
<file path=[Content_Types].xml><?xml version="1.0" encoding="utf-8"?>
<Types xmlns="http://schemas.openxmlformats.org/package/2006/content-types">
  <Default Extension="png" ContentType="image/png"/>
  <Default Extension="bin" ContentType="application/vnd.ms-office.activeX"/>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printerSettings/printerSettings1.bin" ContentType="application/vnd.openxmlformats-officedocument.spreadsheetml.printerSettings"/>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printerSettings/printerSettings2.bin" ContentType="application/vnd.openxmlformats-officedocument.spreadsheetml.printerSettings"/>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6.xml" ContentType="application/vnd.openxmlformats-officedocument.drawing+xml"/>
  <Override PartName="/xl/activeX/activeX2.xml" ContentType="application/vnd.ms-office.activeX+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7.xml" ContentType="application/vnd.openxmlformats-officedocument.drawing+xml"/>
  <Override PartName="/xl/ctrlProps/ctrlProp10.xml" ContentType="application/vnd.ms-excel.controlproperties+xml"/>
  <Override PartName="/xl/ctrlProps/ctrlProp11.xml" ContentType="application/vnd.ms-excel.controlproperties+xml"/>
  <Override PartName="/xl/drawings/drawing8.xml" ContentType="application/vnd.openxmlformats-officedocument.drawing+xml"/>
  <Override PartName="/xl/ctrlProps/ctrlProp12.xml" ContentType="application/vnd.ms-excel.controlproperties+xml"/>
  <Override PartName="/xl/ctrlProps/ctrlProp13.xml" ContentType="application/vnd.ms-excel.controlproperties+xml"/>
  <Override PartName="/xl/comments2.xml" ContentType="application/vnd.openxmlformats-officedocument.spreadsheetml.comments+xml"/>
  <Override PartName="/xl/printerSettings/printerSettings3.bin" ContentType="application/vnd.openxmlformats-officedocument.spreadsheetml.printerSettings"/>
  <Override PartName="/xl/drawings/drawing9.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printerSettings/printerSettings4.bin" ContentType="application/vnd.openxmlformats-officedocument.spreadsheetml.printerSettings"/>
  <Override PartName="/xl/drawings/drawing10.xml" ContentType="application/vnd.openxmlformats-officedocument.drawing+xml"/>
  <Override PartName="/xl/activeX/activeX3.xml" ContentType="application/vnd.ms-office.activeX+xml"/>
  <Override PartName="/xl/activeX/activeX4.xml" ContentType="application/vnd.ms-office.activeX+xml"/>
  <Override PartName="/xl/activeX/activeX5.xml" ContentType="application/vnd.ms-office.activeX+xml"/>
  <Override PartName="/xl/activeX/activeX6.xml" ContentType="application/vnd.ms-office.activeX+xml"/>
  <Override PartName="/xl/activeX/activeX7.xml" ContentType="application/vnd.ms-office.activeX+xml"/>
  <Override PartName="/xl/ctrlProps/ctrlProp18.xml" ContentType="application/vnd.ms-excel.controlproperties+xml"/>
  <Override PartName="/xl/ctrlProps/ctrlProp19.xml" ContentType="application/vnd.ms-excel.controlproperties+xml"/>
  <Override PartName="/xl/comments3.xml" ContentType="application/vnd.openxmlformats-officedocument.spreadsheetml.comments+xml"/>
  <Override PartName="/xl/drawings/drawing11.xml" ContentType="application/vnd.openxmlformats-officedocument.drawing+xml"/>
  <Override PartName="/xl/activeX/activeX8.xml" ContentType="application/vnd.ms-office.activeX+xml"/>
  <Override PartName="/xl/activeX/activeX9.xml" ContentType="application/vnd.ms-office.activeX+xml"/>
  <Override PartName="/xl/activeX/activeX10.xml" ContentType="application/vnd.ms-office.activeX+xml"/>
  <Override PartName="/xl/activeX/activeX11.xml" ContentType="application/vnd.ms-office.activeX+xml"/>
  <Override PartName="/xl/activeX/activeX12.xml" ContentType="application/vnd.ms-office.activeX+xml"/>
  <Override PartName="/xl/ctrlProps/ctrlProp20.xml" ContentType="application/vnd.ms-excel.controlproperties+xml"/>
  <Override PartName="/xl/ctrlProps/ctrlProp21.xml" ContentType="application/vnd.ms-excel.controlproperties+xml"/>
  <Override PartName="/xl/comments4.xml" ContentType="application/vnd.openxmlformats-officedocument.spreadsheetml.comments+xml"/>
  <Override PartName="/xl/drawings/drawing12.xml" ContentType="application/vnd.openxmlformats-officedocument.drawing+xml"/>
  <Override PartName="/xl/activeX/activeX13.xml" ContentType="application/vnd.ms-office.activeX+xml"/>
  <Override PartName="/xl/activeX/activeX14.xml" ContentType="application/vnd.ms-office.activeX+xml"/>
  <Override PartName="/xl/activeX/activeX15.xml" ContentType="application/vnd.ms-office.activeX+xml"/>
  <Override PartName="/xl/activeX/activeX16.xml" ContentType="application/vnd.ms-office.activeX+xml"/>
  <Override PartName="/xl/activeX/activeX17.xml" ContentType="application/vnd.ms-office.activeX+xml"/>
  <Override PartName="/xl/ctrlProps/ctrlProp22.xml" ContentType="application/vnd.ms-excel.controlproperties+xml"/>
  <Override PartName="/xl/ctrlProps/ctrlProp23.xml" ContentType="application/vnd.ms-excel.controlproperties+xml"/>
  <Override PartName="/xl/comments5.xml" ContentType="application/vnd.openxmlformats-officedocument.spreadsheetml.comments+xml"/>
  <Override PartName="/xl/drawings/drawing13.xml" ContentType="application/vnd.openxmlformats-officedocument.drawing+xml"/>
  <Override PartName="/xl/activeX/activeX18.xml" ContentType="application/vnd.ms-office.activeX+xml"/>
  <Override PartName="/xl/activeX/activeX19.xml" ContentType="application/vnd.ms-office.activeX+xml"/>
  <Override PartName="/xl/activeX/activeX20.xml" ContentType="application/vnd.ms-office.activeX+xml"/>
  <Override PartName="/xl/activeX/activeX21.xml" ContentType="application/vnd.ms-office.activeX+xml"/>
  <Override PartName="/xl/activeX/activeX22.xml" ContentType="application/vnd.ms-office.activeX+xml"/>
  <Override PartName="/xl/ctrlProps/ctrlProp24.xml" ContentType="application/vnd.ms-excel.controlproperties+xml"/>
  <Override PartName="/xl/ctrlProps/ctrlProp25.xml" ContentType="application/vnd.ms-excel.controlproperties+xml"/>
  <Override PartName="/xl/comments6.xml" ContentType="application/vnd.openxmlformats-officedocument.spreadsheetml.comments+xml"/>
  <Override PartName="/xl/drawings/drawing14.xml" ContentType="application/vnd.openxmlformats-officedocument.drawing+xml"/>
  <Override PartName="/xl/activeX/activeX23.xml" ContentType="application/vnd.ms-office.activeX+xml"/>
  <Override PartName="/xl/activeX/activeX24.xml" ContentType="application/vnd.ms-office.activeX+xml"/>
  <Override PartName="/xl/activeX/activeX25.xml" ContentType="application/vnd.ms-office.activeX+xml"/>
  <Override PartName="/xl/activeX/activeX26.xml" ContentType="application/vnd.ms-office.activeX+xml"/>
  <Override PartName="/xl/activeX/activeX27.xml" ContentType="application/vnd.ms-office.activeX+xml"/>
  <Override PartName="/xl/ctrlProps/ctrlProp26.xml" ContentType="application/vnd.ms-excel.controlproperties+xml"/>
  <Override PartName="/xl/ctrlProps/ctrlProp27.xml" ContentType="application/vnd.ms-excel.controlproperties+xml"/>
  <Override PartName="/xl/comments7.xml" ContentType="application/vnd.openxmlformats-officedocument.spreadsheetml.comments+xml"/>
  <Override PartName="/xl/drawings/drawing15.xml" ContentType="application/vnd.openxmlformats-officedocument.drawing+xml"/>
  <Override PartName="/xl/activeX/activeX28.xml" ContentType="application/vnd.ms-office.activeX+xml"/>
  <Override PartName="/xl/activeX/activeX29.xml" ContentType="application/vnd.ms-office.activeX+xml"/>
  <Override PartName="/xl/activeX/activeX30.xml" ContentType="application/vnd.ms-office.activeX+xml"/>
  <Override PartName="/xl/activeX/activeX31.xml" ContentType="application/vnd.ms-office.activeX+xml"/>
  <Override PartName="/xl/activeX/activeX32.xml" ContentType="application/vnd.ms-office.activeX+xml"/>
  <Override PartName="/xl/activeX/activeX33.xml" ContentType="application/vnd.ms-office.activeX+xml"/>
  <Override PartName="/xl/activeX/activeX34.xml" ContentType="application/vnd.ms-office.activeX+xml"/>
  <Override PartName="/xl/ctrlProps/ctrlProp28.xml" ContentType="application/vnd.ms-excel.controlproperties+xml"/>
  <Override PartName="/xl/ctrlProps/ctrlProp29.xml" ContentType="application/vnd.ms-excel.controlproperties+xml"/>
  <Override PartName="/xl/comments8.xml" ContentType="application/vnd.openxmlformats-officedocument.spreadsheetml.comments+xml"/>
  <Override PartName="/xl/drawings/drawing16.xml" ContentType="application/vnd.openxmlformats-officedocument.drawing+xml"/>
  <Override PartName="/xl/activeX/activeX35.xml" ContentType="application/vnd.ms-office.activeX+xml"/>
  <Override PartName="/xl/activeX/activeX36.xml" ContentType="application/vnd.ms-office.activeX+xml"/>
  <Override PartName="/xl/activeX/activeX37.xml" ContentType="application/vnd.ms-office.activeX+xml"/>
  <Override PartName="/xl/activeX/activeX38.xml" ContentType="application/vnd.ms-office.activeX+xml"/>
  <Override PartName="/xl/activeX/activeX39.xml" ContentType="application/vnd.ms-office.activeX+xml"/>
  <Override PartName="/xl/ctrlProps/ctrlProp30.xml" ContentType="application/vnd.ms-excel.controlproperties+xml"/>
  <Override PartName="/xl/ctrlProps/ctrlProp31.xml" ContentType="application/vnd.ms-excel.controlproperties+xml"/>
  <Override PartName="/xl/comments9.xml" ContentType="application/vnd.openxmlformats-officedocument.spreadsheetml.comments+xml"/>
  <Override PartName="/xl/drawings/drawing17.xml" ContentType="application/vnd.openxmlformats-officedocument.drawing+xml"/>
  <Override PartName="/xl/activeX/activeX40.xml" ContentType="application/vnd.ms-office.activeX+xml"/>
  <Override PartName="/xl/activeX/activeX41.xml" ContentType="application/vnd.ms-office.activeX+xml"/>
  <Override PartName="/xl/activeX/activeX42.xml" ContentType="application/vnd.ms-office.activeX+xml"/>
  <Override PartName="/xl/activeX/activeX43.xml" ContentType="application/vnd.ms-office.activeX+xml"/>
  <Override PartName="/xl/activeX/activeX44.xml" ContentType="application/vnd.ms-office.activeX+xml"/>
  <Override PartName="/xl/ctrlProps/ctrlProp32.xml" ContentType="application/vnd.ms-excel.controlproperties+xml"/>
  <Override PartName="/xl/ctrlProps/ctrlProp33.xml" ContentType="application/vnd.ms-excel.controlproperties+xml"/>
  <Override PartName="/xl/comments10.xml" ContentType="application/vnd.openxmlformats-officedocument.spreadsheetml.comments+xml"/>
  <Override PartName="/xl/drawings/drawing18.xml" ContentType="application/vnd.openxmlformats-officedocument.drawing+xml"/>
  <Override PartName="/xl/activeX/activeX45.xml" ContentType="application/vnd.ms-office.activeX+xml"/>
  <Override PartName="/xl/activeX/activeX46.xml" ContentType="application/vnd.ms-office.activeX+xml"/>
  <Override PartName="/xl/activeX/activeX47.xml" ContentType="application/vnd.ms-office.activeX+xml"/>
  <Override PartName="/xl/activeX/activeX48.xml" ContentType="application/vnd.ms-office.activeX+xml"/>
  <Override PartName="/xl/activeX/activeX49.xml" ContentType="application/vnd.ms-office.activeX+xml"/>
  <Override PartName="/xl/ctrlProps/ctrlProp34.xml" ContentType="application/vnd.ms-excel.controlproperties+xml"/>
  <Override PartName="/xl/ctrlProps/ctrlProp35.xml" ContentType="application/vnd.ms-excel.controlproperties+xml"/>
  <Override PartName="/xl/comments11.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1.xml" ContentType="application/vnd.ms-office.activeX+xml"/>
  <Override PartName="/xl/activeX/activeX52.xml" ContentType="application/vnd.ms-office.activeX+xml"/>
  <Override PartName="/xl/activeX/activeX53.xml" ContentType="application/vnd.ms-office.activeX+xml"/>
  <Override PartName="/xl/activeX/activeX54.xml" ContentType="application/vnd.ms-office.activeX+xml"/>
  <Override PartName="/xl/ctrlProps/ctrlProp36.xml" ContentType="application/vnd.ms-excel.controlproperties+xml"/>
  <Override PartName="/xl/ctrlProps/ctrlProp37.xml" ContentType="application/vnd.ms-excel.controlproperties+xml"/>
  <Override PartName="/xl/comments12.xml" ContentType="application/vnd.openxmlformats-officedocument.spreadsheetml.comments+xml"/>
  <Override PartName="/xl/drawings/drawing20.xml" ContentType="application/vnd.openxmlformats-officedocument.drawing+xml"/>
  <Override PartName="/xl/activeX/activeX55.xml" ContentType="application/vnd.ms-office.activeX+xml"/>
  <Override PartName="/xl/activeX/activeX56.xml" ContentType="application/vnd.ms-office.activeX+xml"/>
  <Override PartName="/xl/activeX/activeX57.xml" ContentType="application/vnd.ms-office.activeX+xml"/>
  <Override PartName="/xl/activeX/activeX58.xml" ContentType="application/vnd.ms-office.activeX+xml"/>
  <Override PartName="/xl/activeX/activeX59.xml" ContentType="application/vnd.ms-office.activeX+xml"/>
  <Override PartName="/xl/ctrlProps/ctrlProp38.xml" ContentType="application/vnd.ms-excel.controlproperties+xml"/>
  <Override PartName="/xl/ctrlProps/ctrlProp39.xml" ContentType="application/vnd.ms-excel.controlproperties+xml"/>
  <Override PartName="/xl/comments13.xml" ContentType="application/vnd.openxmlformats-officedocument.spreadsheetml.comments+xml"/>
  <Override PartName="/xl/drawings/drawing21.xml" ContentType="application/vnd.openxmlformats-officedocument.drawing+xml"/>
  <Override PartName="/xl/activeX/activeX60.xml" ContentType="application/vnd.ms-office.activeX+xml"/>
  <Override PartName="/xl/activeX/activeX61.xml" ContentType="application/vnd.ms-office.activeX+xml"/>
  <Override PartName="/xl/activeX/activeX62.xml" ContentType="application/vnd.ms-office.activeX+xml"/>
  <Override PartName="/xl/activeX/activeX63.xml" ContentType="application/vnd.ms-office.activeX+xml"/>
  <Override PartName="/xl/activeX/activeX64.xml" ContentType="application/vnd.ms-office.activeX+xml"/>
  <Override PartName="/xl/ctrlProps/ctrlProp40.xml" ContentType="application/vnd.ms-excel.controlproperties+xml"/>
  <Override PartName="/xl/ctrlProps/ctrlProp41.xml" ContentType="application/vnd.ms-excel.controlproperties+xml"/>
  <Override PartName="/xl/comments14.xml" ContentType="application/vnd.openxmlformats-officedocument.spreadsheetml.comments+xml"/>
  <Override PartName="/xl/drawings/drawing22.xml" ContentType="application/vnd.openxmlformats-officedocument.drawing+xml"/>
  <Override PartName="/xl/activeX/activeX65.xml" ContentType="application/vnd.ms-office.activeX+xml"/>
  <Override PartName="/xl/activeX/activeX66.xml" ContentType="application/vnd.ms-office.activeX+xml"/>
  <Override PartName="/xl/activeX/activeX67.xml" ContentType="application/vnd.ms-office.activeX+xml"/>
  <Override PartName="/xl/activeX/activeX68.xml" ContentType="application/vnd.ms-office.activeX+xml"/>
  <Override PartName="/xl/activeX/activeX69.xml" ContentType="application/vnd.ms-office.activeX+xml"/>
  <Override PartName="/xl/ctrlProps/ctrlProp42.xml" ContentType="application/vnd.ms-excel.controlproperties+xml"/>
  <Override PartName="/xl/ctrlProps/ctrlProp43.xml" ContentType="application/vnd.ms-excel.controlproperties+xml"/>
  <Override PartName="/xl/comments15.xml" ContentType="application/vnd.openxmlformats-officedocument.spreadsheetml.comments+xml"/>
  <Override PartName="/xl/printerSettings/printerSettings5.bin" ContentType="application/vnd.openxmlformats-officedocument.spreadsheetml.printerSettings"/>
  <Override PartName="/xl/drawings/drawing23.xml" ContentType="application/vnd.openxmlformats-officedocument.drawing+xml"/>
  <Override PartName="/xl/activeX/activeX70.xml" ContentType="application/vnd.ms-office.activeX+xml"/>
  <Override PartName="/xl/activeX/activeX71.xml" ContentType="application/vnd.ms-office.activeX+xml"/>
  <Override PartName="/xl/activeX/activeX72.xml" ContentType="application/vnd.ms-office.activeX+xml"/>
  <Override PartName="/xl/ctrlProps/ctrlProp44.xml" ContentType="application/vnd.ms-excel.controlproperties+xml"/>
  <Override PartName="/xl/ctrlProps/ctrlProp45.xml" ContentType="application/vnd.ms-excel.controlproperties+xml"/>
  <Override PartName="/xl/comments16.xml" ContentType="application/vnd.openxmlformats-officedocument.spreadsheetml.comments+xml"/>
  <Override PartName="/xl/drawings/drawing24.xml" ContentType="application/vnd.openxmlformats-officedocument.drawing+xml"/>
  <Override PartName="/xl/activeX/activeX73.xml" ContentType="application/vnd.ms-office.activeX+xml"/>
  <Override PartName="/xl/activeX/activeX74.xml" ContentType="application/vnd.ms-office.activeX+xml"/>
  <Override PartName="/xl/activeX/activeX75.xml" ContentType="application/vnd.ms-office.activeX+xml"/>
  <Override PartName="/xl/activeX/activeX76.xml" ContentType="application/vnd.ms-office.activeX+xml"/>
  <Override PartName="/xl/activeX/activeX77.xml" ContentType="application/vnd.ms-office.activeX+xml"/>
  <Override PartName="/xl/ctrlProps/ctrlProp46.xml" ContentType="application/vnd.ms-excel.controlproperties+xml"/>
  <Override PartName="/xl/ctrlProps/ctrlProp47.xml" ContentType="application/vnd.ms-excel.controlproperties+xml"/>
  <Override PartName="/xl/comments17.xml" ContentType="application/vnd.openxmlformats-officedocument.spreadsheetml.comments+xml"/>
  <Override PartName="/xl/drawings/drawing25.xml" ContentType="application/vnd.openxmlformats-officedocument.drawing+xml"/>
  <Override PartName="/xl/activeX/activeX78.xml" ContentType="application/vnd.ms-office.activeX+xml"/>
  <Override PartName="/xl/activeX/activeX79.xml" ContentType="application/vnd.ms-office.activeX+xml"/>
  <Override PartName="/xl/activeX/activeX80.xml" ContentType="application/vnd.ms-office.activeX+xml"/>
  <Override PartName="/xl/activeX/activeX81.xml" ContentType="application/vnd.ms-office.activeX+xml"/>
  <Override PartName="/xl/activeX/activeX82.xml" ContentType="application/vnd.ms-office.activeX+xml"/>
  <Override PartName="/xl/ctrlProps/ctrlProp48.xml" ContentType="application/vnd.ms-excel.controlproperties+xml"/>
  <Override PartName="/xl/ctrlProps/ctrlProp49.xml" ContentType="application/vnd.ms-excel.controlproperties+xml"/>
  <Override PartName="/xl/comments18.xml" ContentType="application/vnd.openxmlformats-officedocument.spreadsheetml.comments+xml"/>
  <Override PartName="/xl/drawings/drawing26.xml" ContentType="application/vnd.openxmlformats-officedocument.drawing+xml"/>
  <Override PartName="/xl/activeX/activeX83.xml" ContentType="application/vnd.ms-office.activeX+xml"/>
  <Override PartName="/xl/activeX/activeX84.xml" ContentType="application/vnd.ms-office.activeX+xml"/>
  <Override PartName="/xl/activeX/activeX85.xml" ContentType="application/vnd.ms-office.activeX+xml"/>
  <Override PartName="/xl/activeX/activeX86.xml" ContentType="application/vnd.ms-office.activeX+xml"/>
  <Override PartName="/xl/activeX/activeX87.xml" ContentType="application/vnd.ms-office.activeX+xml"/>
  <Override PartName="/xl/ctrlProps/ctrlProp50.xml" ContentType="application/vnd.ms-excel.controlproperties+xml"/>
  <Override PartName="/xl/ctrlProps/ctrlProp51.xml" ContentType="application/vnd.ms-excel.controlproperties+xml"/>
  <Override PartName="/xl/comments19.xml" ContentType="application/vnd.openxmlformats-officedocument.spreadsheetml.comments+xml"/>
  <Override PartName="/xl/drawings/drawing27.xml" ContentType="application/vnd.openxmlformats-officedocument.drawing+xml"/>
  <Override PartName="/xl/activeX/activeX88.xml" ContentType="application/vnd.ms-office.activeX+xml"/>
  <Override PartName="/xl/activeX/activeX89.xml" ContentType="application/vnd.ms-office.activeX+xml"/>
  <Override PartName="/xl/activeX/activeX90.xml" ContentType="application/vnd.ms-office.activeX+xml"/>
  <Override PartName="/xl/activeX/activeX91.xml" ContentType="application/vnd.ms-office.activeX+xml"/>
  <Override PartName="/xl/activeX/activeX92.xml" ContentType="application/vnd.ms-office.activeX+xml"/>
  <Override PartName="/xl/ctrlProps/ctrlProp52.xml" ContentType="application/vnd.ms-excel.controlproperties+xml"/>
  <Override PartName="/xl/ctrlProps/ctrlProp53.xml" ContentType="application/vnd.ms-excel.controlproperties+xml"/>
  <Override PartName="/xl/comments20.xml" ContentType="application/vnd.openxmlformats-officedocument.spreadsheetml.comments+xml"/>
  <Override PartName="/xl/drawings/drawing28.xml" ContentType="application/vnd.openxmlformats-officedocument.drawing+xml"/>
  <Override PartName="/xl/activeX/activeX93.xml" ContentType="application/vnd.ms-office.activeX+xml"/>
  <Override PartName="/xl/activeX/activeX94.xml" ContentType="application/vnd.ms-office.activeX+xml"/>
  <Override PartName="/xl/activeX/activeX95.xml" ContentType="application/vnd.ms-office.activeX+xml"/>
  <Override PartName="/xl/activeX/activeX96.xml" ContentType="application/vnd.ms-office.activeX+xml"/>
  <Override PartName="/xl/activeX/activeX97.xml" ContentType="application/vnd.ms-office.activeX+xml"/>
  <Override PartName="/xl/ctrlProps/ctrlProp54.xml" ContentType="application/vnd.ms-excel.controlproperties+xml"/>
  <Override PartName="/xl/ctrlProps/ctrlProp55.xml" ContentType="application/vnd.ms-excel.controlproperties+xml"/>
  <Override PartName="/xl/comments21.xml" ContentType="application/vnd.openxmlformats-officedocument.spreadsheetml.comments+xml"/>
  <Override PartName="/xl/drawings/drawing29.xml" ContentType="application/vnd.openxmlformats-officedocument.drawing+xml"/>
  <Override PartName="/xl/activeX/activeX98.xml" ContentType="application/vnd.ms-office.activeX+xml"/>
  <Override PartName="/xl/activeX/activeX99.xml" ContentType="application/vnd.ms-office.activeX+xml"/>
  <Override PartName="/xl/activeX/activeX100.xml" ContentType="application/vnd.ms-office.activeX+xml"/>
  <Override PartName="/xl/ctrlProps/ctrlProp56.xml" ContentType="application/vnd.ms-excel.controlproperties+xml"/>
  <Override PartName="/xl/ctrlProps/ctrlProp57.xml" ContentType="application/vnd.ms-excel.controlproperties+xml"/>
  <Override PartName="/xl/comments22.xml" ContentType="application/vnd.openxmlformats-officedocument.spreadsheetml.comments+xml"/>
  <Override PartName="/xl/drawings/drawing30.xml" ContentType="application/vnd.openxmlformats-officedocument.drawing+xml"/>
  <Override PartName="/xl/activeX/activeX101.xml" ContentType="application/vnd.ms-office.activeX+xml"/>
  <Override PartName="/xl/activeX/activeX102.xml" ContentType="application/vnd.ms-office.activeX+xml"/>
  <Override PartName="/xl/activeX/activeX103.xml" ContentType="application/vnd.ms-office.activeX+xml"/>
  <Override PartName="/xl/ctrlProps/ctrlProp58.xml" ContentType="application/vnd.ms-excel.controlproperties+xml"/>
  <Override PartName="/xl/ctrlProps/ctrlProp59.xml" ContentType="application/vnd.ms-excel.controlproperties+xml"/>
  <Override PartName="/xl/comments23.xml" ContentType="application/vnd.openxmlformats-officedocument.spreadsheetml.comments+xml"/>
  <Override PartName="/xl/drawings/drawing31.xml" ContentType="application/vnd.openxmlformats-officedocument.drawing+xml"/>
  <Override PartName="/xl/activeX/activeX104.xml" ContentType="application/vnd.ms-office.activeX+xml"/>
  <Override PartName="/xl/activeX/activeX105.xml" ContentType="application/vnd.ms-office.activeX+xml"/>
  <Override PartName="/xl/activeX/activeX106.xml" ContentType="application/vnd.ms-office.activeX+xml"/>
  <Override PartName="/xl/ctrlProps/ctrlProp60.xml" ContentType="application/vnd.ms-excel.controlproperties+xml"/>
  <Override PartName="/xl/ctrlProps/ctrlProp61.xml" ContentType="application/vnd.ms-excel.controlproperties+xml"/>
  <Override PartName="/xl/comments24.xml" ContentType="application/vnd.openxmlformats-officedocument.spreadsheetml.comments+xml"/>
  <Override PartName="/xl/drawings/drawing32.xml" ContentType="application/vnd.openxmlformats-officedocument.drawing+xml"/>
  <Override PartName="/xl/ctrlProps/ctrlProp62.xml" ContentType="application/vnd.ms-excel.controlproperties+xml"/>
  <Override PartName="/xl/ctrlProps/ctrlProp63.xml" ContentType="application/vnd.ms-excel.controlproperties+xml"/>
  <Override PartName="/xl/drawings/drawing33.xml" ContentType="application/vnd.openxmlformats-officedocument.drawing+xml"/>
  <Override PartName="/xl/ctrlProps/ctrlProp64.xml" ContentType="application/vnd.ms-excel.controlproperties+xml"/>
  <Override PartName="/xl/ctrlProps/ctrlProp65.xml" ContentType="application/vnd.ms-excel.controlproperties+xml"/>
  <Override PartName="/xl/comments25.xml" ContentType="application/vnd.openxmlformats-officedocument.spreadsheetml.comments+xml"/>
  <Override PartName="/xl/drawings/drawing34.xml" ContentType="application/vnd.openxmlformats-officedocument.drawing+xml"/>
  <Override PartName="/xl/ctrlProps/ctrlProp66.xml" ContentType="application/vnd.ms-excel.controlproperties+xml"/>
  <Override PartName="/xl/ctrlProps/ctrlProp67.xml" ContentType="application/vnd.ms-excel.controlproperties+xml"/>
  <Override PartName="/xl/comments2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90" codeName="{3D1A710C-6663-3D7B-7F91-EC182F24A4BC}"/>
  <workbookPr showObjects="placeholders" codeName="ThisWorkbook" defaultThemeVersion="124226"/>
  <mc:AlternateContent xmlns:mc="http://schemas.openxmlformats.org/markup-compatibility/2006">
    <mc:Choice Requires="x15">
      <x15ac:absPath xmlns:x15ac="http://schemas.microsoft.com/office/spreadsheetml/2010/11/ac" url="C:\Users\h_kage\Nextcloud2\R_Projekte\RBioGraceII\Literatur\"/>
    </mc:Choice>
  </mc:AlternateContent>
  <xr:revisionPtr revIDLastSave="0" documentId="8_{0C9619BC-E9C6-4272-8412-8BD0745F622C}" xr6:coauthVersionLast="36" xr6:coauthVersionMax="36" xr10:uidLastSave="{00000000-0000-0000-0000-000000000000}"/>
  <bookViews>
    <workbookView xWindow="0" yWindow="0" windowWidth="13320" windowHeight="12375" tabRatio="731" firstSheet="8" activeTab="17" xr2:uid="{00000000-000D-0000-FFFF-FFFF00000000}"/>
  </bookViews>
  <sheets>
    <sheet name="Warning - macro security level" sheetId="31" state="veryHidden" r:id="rId1"/>
    <sheet name="Start (macro's disabled)" sheetId="33" state="veryHidden" r:id="rId2"/>
    <sheet name="Start" sheetId="32" r:id="rId3"/>
    <sheet name="About" sheetId="1" r:id="rId4"/>
    <sheet name="Directory" sheetId="3" r:id="rId5"/>
    <sheet name="LUC" sheetId="4" r:id="rId6"/>
    <sheet name="Esca" sheetId="5" r:id="rId7"/>
    <sheet name="N2O emissions IPCC " sheetId="35" r:id="rId8"/>
    <sheet name="Calculate efficiencies" sheetId="38" r:id="rId9"/>
    <sheet name="E-Sb" sheetId="7" r:id="rId10"/>
    <sheet name="E-Wt (not.spec.)" sheetId="8" r:id="rId11"/>
    <sheet name="E-Wt (Lign-chp)" sheetId="9" r:id="rId12"/>
    <sheet name="E-Wt (NG-b)" sheetId="10" r:id="rId13"/>
    <sheet name="E-Wt (NG-chp)" sheetId="11" r:id="rId14"/>
    <sheet name="E-Wt (Str-chp)" sheetId="12" r:id="rId15"/>
    <sheet name="E-Co" sheetId="13" r:id="rId16"/>
    <sheet name="E-Sc" sheetId="14" r:id="rId17"/>
    <sheet name="F-Rs" sheetId="15" r:id="rId18"/>
    <sheet name="F-Sf" sheetId="16" r:id="rId19"/>
    <sheet name="F-Sy" sheetId="17" r:id="rId20"/>
    <sheet name="F-Po" sheetId="18" r:id="rId21"/>
    <sheet name="F-Po (CH4 capt)" sheetId="19" r:id="rId22"/>
    <sheet name="F-Wo" sheetId="20" r:id="rId23"/>
    <sheet name="H-Rs" sheetId="21" r:id="rId24"/>
    <sheet name="H-Sf" sheetId="22" r:id="rId25"/>
    <sheet name="H-Po" sheetId="23" r:id="rId26"/>
    <sheet name="H-Po (CH4 capt)" sheetId="24" r:id="rId27"/>
    <sheet name="P-Rs" sheetId="25" r:id="rId28"/>
    <sheet name="CNG-OW" sheetId="28" r:id="rId29"/>
    <sheet name="CNG-wM" sheetId="26" r:id="rId30"/>
    <sheet name="CNG-dM" sheetId="27" r:id="rId31"/>
    <sheet name="User specific calculations" sheetId="37" r:id="rId32"/>
    <sheet name="User defined standard values" sheetId="29" r:id="rId33"/>
    <sheet name="Standard values" sheetId="30" r:id="rId34"/>
  </sheets>
  <externalReferences>
    <externalReference r:id="rId35"/>
  </externalReferences>
  <definedNames>
    <definedName name="_xlnm._FilterDatabase" localSheetId="33" hidden="1">'Standard values'!$C$8:$C$162</definedName>
    <definedName name="_xlnm._FilterDatabase" localSheetId="32" hidden="1">'User defined standard values'!$C$7:$C$48</definedName>
    <definedName name="_xlnm._FilterDatabase" localSheetId="31" hidden="1">'User specific calculations'!#REF!</definedName>
    <definedName name="agro_inputs" localSheetId="32">'User defined standard values'!#REF!</definedName>
    <definedName name="agro_inputs" localSheetId="31">'User specific calculations'!#REF!</definedName>
    <definedName name="chemicals" localSheetId="32">'User defined standard values'!#REF!</definedName>
    <definedName name="chemicals" localSheetId="31">'User specific calculations'!#REF!</definedName>
    <definedName name="_xlnm.Print_Area" localSheetId="3">About!$A$1:$D$120</definedName>
    <definedName name="_xlnm.Print_Area" localSheetId="30">'CNG-dM'!$A$1:$O$138</definedName>
    <definedName name="_xlnm.Print_Area" localSheetId="28">'CNG-OW'!$A$1:$O$129</definedName>
    <definedName name="_xlnm.Print_Area" localSheetId="29">'CNG-wM'!$A$1:$O$138</definedName>
    <definedName name="_xlnm.Print_Area" localSheetId="4">Directory!$A$1:$I$29</definedName>
    <definedName name="_xlnm.Print_Area" localSheetId="15">'E-Co'!$A$1:$O$169</definedName>
    <definedName name="_xlnm.Print_Area" localSheetId="9">'E-Sb'!$A$1:$O$159</definedName>
    <definedName name="_xlnm.Print_Area" localSheetId="16">'E-Sc'!$A$1:$O$207</definedName>
    <definedName name="_xlnm.Print_Area" localSheetId="11">'E-Wt (Lign-chp)'!$A$1:$O$178</definedName>
    <definedName name="_xlnm.Print_Area" localSheetId="12">'E-Wt (NG-b)'!$A$1:$O$170</definedName>
    <definedName name="_xlnm.Print_Area" localSheetId="13">'E-Wt (NG-chp)'!$A$1:$O$178</definedName>
    <definedName name="_xlnm.Print_Area" localSheetId="10">'E-Wt (not.spec.)'!$A$1:$O$178</definedName>
    <definedName name="_xlnm.Print_Area" localSheetId="14">'E-Wt (Str-chp)'!$A$1:$O$178</definedName>
    <definedName name="_xlnm.Print_Area" localSheetId="20">'F-Po'!$A$1:$O$272</definedName>
    <definedName name="_xlnm.Print_Area" localSheetId="21">'F-Po (CH4 capt)'!$A$1:$O$271</definedName>
    <definedName name="_xlnm.Print_Area" localSheetId="17">'F-Rs'!$A$1:$O$255</definedName>
    <definedName name="_xlnm.Print_Area" localSheetId="18">'F-Sf'!$A$1:$O$255</definedName>
    <definedName name="_xlnm.Print_Area" localSheetId="19">'F-Sy'!$A$1:$O$245</definedName>
    <definedName name="_xlnm.Print_Area" localSheetId="22">'F-Wo'!$A$1:$O$159</definedName>
    <definedName name="_xlnm.Print_Area" localSheetId="25">'H-Po'!$A$1:$O$226</definedName>
    <definedName name="_xlnm.Print_Area" localSheetId="26">'H-Po (CH4 capt)'!$A$1:$O$224</definedName>
    <definedName name="_xlnm.Print_Area" localSheetId="23">'H-Rs'!$A$1:$O$208</definedName>
    <definedName name="_xlnm.Print_Area" localSheetId="24">'H-Sf'!$A$1:$O$208</definedName>
    <definedName name="_xlnm.Print_Area" localSheetId="27">'P-Rs'!$A$1:$O$203</definedName>
    <definedName name="_xlnm.Print_Area" localSheetId="33">'Standard values'!$A$1:$U$162</definedName>
    <definedName name="_xlnm.Print_Area" localSheetId="2">Start!$A$1:$E$40</definedName>
    <definedName name="_xlnm.Print_Area" localSheetId="1">'Start (macro''s disabled)'!$A$1:$E$40</definedName>
    <definedName name="_xlnm.Print_Area" localSheetId="32">'User defined standard values'!$A$1:$U$48</definedName>
    <definedName name="_xlnm.Print_Area" localSheetId="31">'User specific calculations'!$A$1:$U$5</definedName>
    <definedName name="EF_agro_inputs" localSheetId="32">'User defined standard values'!#REF!</definedName>
    <definedName name="EF_agro_inputs" localSheetId="31">'User specific calculations'!#REF!</definedName>
    <definedName name="EF_chemicals_kg" localSheetId="32">'User defined standard values'!#REF!</definedName>
    <definedName name="EF_chemicals_kg" localSheetId="31">'User specific calculations'!#REF!</definedName>
    <definedName name="EF_chemicals_MJ" localSheetId="32">'User defined standard values'!#REF!</definedName>
    <definedName name="EF_chemicals_MJ" localSheetId="31">'User specific calculations'!#REF!</definedName>
    <definedName name="EF_electricity" localSheetId="32">'User defined standard values'!#REF!</definedName>
    <definedName name="EF_electricity" localSheetId="31">'User specific calculations'!#REF!</definedName>
    <definedName name="EF_fuels_MJ" localSheetId="32">'User defined standard values'!#REF!</definedName>
    <definedName name="EF_fuels_MJ" localSheetId="31">'User specific calculations'!#REF!</definedName>
    <definedName name="electricity" localSheetId="32">'User defined standard values'!#REF!</definedName>
    <definedName name="electricity" localSheetId="31">'User specific calculations'!#REF!</definedName>
    <definedName name="FE_transport" localSheetId="32">'User defined standard values'!#REF!</definedName>
    <definedName name="FE_transport" localSheetId="31">'User specific calculations'!#REF!</definedName>
    <definedName name="fuels" localSheetId="32">'User defined standard values'!#REF!</definedName>
    <definedName name="fuels" localSheetId="31">'User specific calculations'!#REF!</definedName>
    <definedName name="Hide_AF_FFR">'[1]Options pathway configuration'!#REF!</definedName>
    <definedName name="LHV_fuels" localSheetId="32">'User defined standard values'!#REF!</definedName>
    <definedName name="LHV_fuels" localSheetId="31">'User specific calculations'!#REF!</definedName>
    <definedName name="LHV_solids" localSheetId="32">'User defined standard values'!#REF!</definedName>
    <definedName name="LHV_solids" localSheetId="31">'User specific calculations'!#REF!</definedName>
    <definedName name="Option_A_0_B_1" localSheetId="2">Start!#REF!</definedName>
    <definedName name="Option_A_0_B_1" localSheetId="1">'Start (macro''s disabled)'!#REF!</definedName>
    <definedName name="Option_A_0_B_1">About!$B$87</definedName>
    <definedName name="rngCommentsScreenOriginalText">'[1]Options pathway configuration'!#REF!</definedName>
    <definedName name="rngCommentsScreenOriginalTitle">'[1]Options pathway configuration'!#REF!</definedName>
    <definedName name="solids" localSheetId="32">'User defined standard values'!#REF!</definedName>
    <definedName name="solids" localSheetId="31">'User specific calculations'!#REF!</definedName>
    <definedName name="Transport" localSheetId="32">'User defined standard values'!#REF!</definedName>
    <definedName name="Transport" localSheetId="31">'User specific calculations'!#REF!</definedName>
    <definedName name="Z_7EB5D807_CE20_46E2_AEE6_2C193E010EA4_.wvu.FilterData" localSheetId="33" hidden="1">'Standard values'!$C$8:$C$162</definedName>
    <definedName name="Z_7EB5D807_CE20_46E2_AEE6_2C193E010EA4_.wvu.FilterData" localSheetId="32" hidden="1">'User defined standard values'!$C$7:$C$48</definedName>
    <definedName name="Z_7EB5D807_CE20_46E2_AEE6_2C193E010EA4_.wvu.FilterData" localSheetId="31" hidden="1">'User specific calculations'!#REF!</definedName>
    <definedName name="Z_7EB5D807_CE20_46E2_AEE6_2C193E010EA4_.wvu.PrintArea" localSheetId="3" hidden="1">About!$A$1:$D$120</definedName>
    <definedName name="Z_7EB5D807_CE20_46E2_AEE6_2C193E010EA4_.wvu.PrintArea" localSheetId="30" hidden="1">'CNG-dM'!$A$1:$O$138</definedName>
    <definedName name="Z_7EB5D807_CE20_46E2_AEE6_2C193E010EA4_.wvu.PrintArea" localSheetId="28" hidden="1">'CNG-OW'!$A$1:$O$129</definedName>
    <definedName name="Z_7EB5D807_CE20_46E2_AEE6_2C193E010EA4_.wvu.PrintArea" localSheetId="29" hidden="1">'CNG-wM'!$A$1:$O$138</definedName>
    <definedName name="Z_7EB5D807_CE20_46E2_AEE6_2C193E010EA4_.wvu.PrintArea" localSheetId="4" hidden="1">Directory!$A$1:$I$29</definedName>
    <definedName name="Z_7EB5D807_CE20_46E2_AEE6_2C193E010EA4_.wvu.PrintArea" localSheetId="15" hidden="1">'E-Co'!$A$1:$O$169</definedName>
    <definedName name="Z_7EB5D807_CE20_46E2_AEE6_2C193E010EA4_.wvu.PrintArea" localSheetId="9" hidden="1">'E-Sb'!$A$1:$O$159</definedName>
    <definedName name="Z_7EB5D807_CE20_46E2_AEE6_2C193E010EA4_.wvu.PrintArea" localSheetId="16" hidden="1">'E-Sc'!$A$1:$O$207</definedName>
    <definedName name="Z_7EB5D807_CE20_46E2_AEE6_2C193E010EA4_.wvu.PrintArea" localSheetId="11" hidden="1">'E-Wt (Lign-chp)'!$A$1:$O$178</definedName>
    <definedName name="Z_7EB5D807_CE20_46E2_AEE6_2C193E010EA4_.wvu.PrintArea" localSheetId="12" hidden="1">'E-Wt (NG-b)'!$A$1:$O$170</definedName>
    <definedName name="Z_7EB5D807_CE20_46E2_AEE6_2C193E010EA4_.wvu.PrintArea" localSheetId="13" hidden="1">'E-Wt (NG-chp)'!$A$1:$O$178</definedName>
    <definedName name="Z_7EB5D807_CE20_46E2_AEE6_2C193E010EA4_.wvu.PrintArea" localSheetId="10" hidden="1">'E-Wt (not.spec.)'!$A$1:$O$178</definedName>
    <definedName name="Z_7EB5D807_CE20_46E2_AEE6_2C193E010EA4_.wvu.PrintArea" localSheetId="14" hidden="1">'E-Wt (Str-chp)'!$A$1:$O$178</definedName>
    <definedName name="Z_7EB5D807_CE20_46E2_AEE6_2C193E010EA4_.wvu.PrintArea" localSheetId="20" hidden="1">'F-Po'!$A$1:$O$272</definedName>
    <definedName name="Z_7EB5D807_CE20_46E2_AEE6_2C193E010EA4_.wvu.PrintArea" localSheetId="21" hidden="1">'F-Po (CH4 capt)'!$A$1:$O$271</definedName>
    <definedName name="Z_7EB5D807_CE20_46E2_AEE6_2C193E010EA4_.wvu.PrintArea" localSheetId="17" hidden="1">'F-Rs'!$A$1:$O$255</definedName>
    <definedName name="Z_7EB5D807_CE20_46E2_AEE6_2C193E010EA4_.wvu.PrintArea" localSheetId="18" hidden="1">'F-Sf'!$A$1:$O$255</definedName>
    <definedName name="Z_7EB5D807_CE20_46E2_AEE6_2C193E010EA4_.wvu.PrintArea" localSheetId="19" hidden="1">'F-Sy'!$A$1:$O$245</definedName>
    <definedName name="Z_7EB5D807_CE20_46E2_AEE6_2C193E010EA4_.wvu.PrintArea" localSheetId="22" hidden="1">'F-Wo'!$A$1:$O$159</definedName>
    <definedName name="Z_7EB5D807_CE20_46E2_AEE6_2C193E010EA4_.wvu.PrintArea" localSheetId="25" hidden="1">'H-Po'!$A$1:$O$226</definedName>
    <definedName name="Z_7EB5D807_CE20_46E2_AEE6_2C193E010EA4_.wvu.PrintArea" localSheetId="26" hidden="1">'H-Po (CH4 capt)'!$A$1:$O$224</definedName>
    <definedName name="Z_7EB5D807_CE20_46E2_AEE6_2C193E010EA4_.wvu.PrintArea" localSheetId="23" hidden="1">'H-Rs'!$A$1:$O$208</definedName>
    <definedName name="Z_7EB5D807_CE20_46E2_AEE6_2C193E010EA4_.wvu.PrintArea" localSheetId="24" hidden="1">'H-Sf'!$A$1:$O$208</definedName>
    <definedName name="Z_7EB5D807_CE20_46E2_AEE6_2C193E010EA4_.wvu.PrintArea" localSheetId="27" hidden="1">'P-Rs'!$A$1:$O$203</definedName>
    <definedName name="Z_7EB5D807_CE20_46E2_AEE6_2C193E010EA4_.wvu.PrintArea" localSheetId="33" hidden="1">'Standard values'!$A$1:$U$162</definedName>
    <definedName name="Z_7EB5D807_CE20_46E2_AEE6_2C193E010EA4_.wvu.PrintArea" localSheetId="2" hidden="1">Start!$A$1:$E$40</definedName>
    <definedName name="Z_7EB5D807_CE20_46E2_AEE6_2C193E010EA4_.wvu.PrintArea" localSheetId="1" hidden="1">'Start (macro''s disabled)'!$A$1:$E$40</definedName>
    <definedName name="Z_7EB5D807_CE20_46E2_AEE6_2C193E010EA4_.wvu.PrintArea" localSheetId="32" hidden="1">'User defined standard values'!$A$1:$U$48</definedName>
    <definedName name="Z_7EB5D807_CE20_46E2_AEE6_2C193E010EA4_.wvu.PrintArea" localSheetId="31" hidden="1">'User specific calculations'!$A$1:$U$5</definedName>
    <definedName name="Z_AD88818B_9F97_4B1E_9426_0DECE603685E_.wvu.FilterData" localSheetId="33" hidden="1">'Standard values'!$C$8:$C$162</definedName>
    <definedName name="Z_AD88818B_9F97_4B1E_9426_0DECE603685E_.wvu.FilterData" localSheetId="32" hidden="1">'User defined standard values'!$C$7:$C$48</definedName>
    <definedName name="Z_AD88818B_9F97_4B1E_9426_0DECE603685E_.wvu.FilterData" localSheetId="31" hidden="1">'User specific calculations'!#REF!</definedName>
    <definedName name="Z_AD88818B_9F97_4B1E_9426_0DECE603685E_.wvu.PrintArea" localSheetId="3" hidden="1">About!$A$1:$D$120</definedName>
    <definedName name="Z_AD88818B_9F97_4B1E_9426_0DECE603685E_.wvu.PrintArea" localSheetId="30" hidden="1">'CNG-dM'!$A$1:$O$138</definedName>
    <definedName name="Z_AD88818B_9F97_4B1E_9426_0DECE603685E_.wvu.PrintArea" localSheetId="28" hidden="1">'CNG-OW'!$A$1:$O$129</definedName>
    <definedName name="Z_AD88818B_9F97_4B1E_9426_0DECE603685E_.wvu.PrintArea" localSheetId="29" hidden="1">'CNG-wM'!$A$1:$O$138</definedName>
    <definedName name="Z_AD88818B_9F97_4B1E_9426_0DECE603685E_.wvu.PrintArea" localSheetId="4" hidden="1">Directory!$A$1:$I$29</definedName>
    <definedName name="Z_AD88818B_9F97_4B1E_9426_0DECE603685E_.wvu.PrintArea" localSheetId="15" hidden="1">'E-Co'!$A$1:$O$169</definedName>
    <definedName name="Z_AD88818B_9F97_4B1E_9426_0DECE603685E_.wvu.PrintArea" localSheetId="9" hidden="1">'E-Sb'!$A$1:$O$159</definedName>
    <definedName name="Z_AD88818B_9F97_4B1E_9426_0DECE603685E_.wvu.PrintArea" localSheetId="16" hidden="1">'E-Sc'!$A$1:$O$207</definedName>
    <definedName name="Z_AD88818B_9F97_4B1E_9426_0DECE603685E_.wvu.PrintArea" localSheetId="11" hidden="1">'E-Wt (Lign-chp)'!$A$1:$O$178</definedName>
    <definedName name="Z_AD88818B_9F97_4B1E_9426_0DECE603685E_.wvu.PrintArea" localSheetId="12" hidden="1">'E-Wt (NG-b)'!$A$1:$O$170</definedName>
    <definedName name="Z_AD88818B_9F97_4B1E_9426_0DECE603685E_.wvu.PrintArea" localSheetId="13" hidden="1">'E-Wt (NG-chp)'!$A$1:$O$178</definedName>
    <definedName name="Z_AD88818B_9F97_4B1E_9426_0DECE603685E_.wvu.PrintArea" localSheetId="10" hidden="1">'E-Wt (not.spec.)'!$A$1:$O$178</definedName>
    <definedName name="Z_AD88818B_9F97_4B1E_9426_0DECE603685E_.wvu.PrintArea" localSheetId="14" hidden="1">'E-Wt (Str-chp)'!$A$1:$O$178</definedName>
    <definedName name="Z_AD88818B_9F97_4B1E_9426_0DECE603685E_.wvu.PrintArea" localSheetId="20" hidden="1">'F-Po'!$A$1:$O$272</definedName>
    <definedName name="Z_AD88818B_9F97_4B1E_9426_0DECE603685E_.wvu.PrintArea" localSheetId="21" hidden="1">'F-Po (CH4 capt)'!$A$1:$O$271</definedName>
    <definedName name="Z_AD88818B_9F97_4B1E_9426_0DECE603685E_.wvu.PrintArea" localSheetId="17" hidden="1">'F-Rs'!$A$1:$O$255</definedName>
    <definedName name="Z_AD88818B_9F97_4B1E_9426_0DECE603685E_.wvu.PrintArea" localSheetId="18" hidden="1">'F-Sf'!$A$1:$O$255</definedName>
    <definedName name="Z_AD88818B_9F97_4B1E_9426_0DECE603685E_.wvu.PrintArea" localSheetId="19" hidden="1">'F-Sy'!$A$1:$O$245</definedName>
    <definedName name="Z_AD88818B_9F97_4B1E_9426_0DECE603685E_.wvu.PrintArea" localSheetId="22" hidden="1">'F-Wo'!$A$1:$O$159</definedName>
    <definedName name="Z_AD88818B_9F97_4B1E_9426_0DECE603685E_.wvu.PrintArea" localSheetId="25" hidden="1">'H-Po'!$A$1:$O$226</definedName>
    <definedName name="Z_AD88818B_9F97_4B1E_9426_0DECE603685E_.wvu.PrintArea" localSheetId="26" hidden="1">'H-Po (CH4 capt)'!$A$1:$O$224</definedName>
    <definedName name="Z_AD88818B_9F97_4B1E_9426_0DECE603685E_.wvu.PrintArea" localSheetId="23" hidden="1">'H-Rs'!$A$1:$O$208</definedName>
    <definedName name="Z_AD88818B_9F97_4B1E_9426_0DECE603685E_.wvu.PrintArea" localSheetId="24" hidden="1">'H-Sf'!$A$1:$O$208</definedName>
    <definedName name="Z_AD88818B_9F97_4B1E_9426_0DECE603685E_.wvu.PrintArea" localSheetId="27" hidden="1">'P-Rs'!$A$1:$O$203</definedName>
    <definedName name="Z_AD88818B_9F97_4B1E_9426_0DECE603685E_.wvu.PrintArea" localSheetId="33" hidden="1">'Standard values'!$A$1:$U$162</definedName>
    <definedName name="Z_AD88818B_9F97_4B1E_9426_0DECE603685E_.wvu.PrintArea" localSheetId="2" hidden="1">Start!$A$1:$E$40</definedName>
    <definedName name="Z_AD88818B_9F97_4B1E_9426_0DECE603685E_.wvu.PrintArea" localSheetId="1" hidden="1">'Start (macro''s disabled)'!$A$1:$E$40</definedName>
    <definedName name="Z_AD88818B_9F97_4B1E_9426_0DECE603685E_.wvu.PrintArea" localSheetId="32" hidden="1">'User defined standard values'!$A$1:$U$48</definedName>
    <definedName name="Z_AD88818B_9F97_4B1E_9426_0DECE603685E_.wvu.PrintArea" localSheetId="31" hidden="1">'User specific calculations'!$A$1:$U$5</definedName>
  </definedNames>
  <calcPr calcId="191029"/>
  <customWorkbookViews>
    <customWorkbookView name="Yolanda Lechón - Vista personalizada" guid="{AD88818B-9F97-4B1E-9426-0DECE603685E}" mergeInterval="0" personalView="1" maximized="1" windowWidth="1020" windowHeight="552" tabRatio="693" activeSheetId="6" showObjects="placeholders"/>
    <customWorkbookView name="neeft - Persoonlijke weergave" guid="{7EB5D807-CE20-46E2-AEE6-2C193E010EA4}" mergeInterval="0" personalView="1" maximized="1" windowWidth="1276" windowHeight="836" tabRatio="693" activeSheetId="6" showObjects="placeholders"/>
  </customWorkbookViews>
</workbook>
</file>

<file path=xl/calcChain.xml><?xml version="1.0" encoding="utf-8"?>
<calcChain xmlns="http://schemas.openxmlformats.org/spreadsheetml/2006/main">
  <c r="E248" i="15" l="1"/>
  <c r="E52" i="15" l="1"/>
  <c r="E63" i="15"/>
  <c r="C7" i="15" l="1"/>
  <c r="A14" i="25" l="1"/>
  <c r="A14" i="22"/>
  <c r="A14" i="21"/>
  <c r="A13" i="20"/>
  <c r="A12" i="20"/>
  <c r="E153" i="20"/>
  <c r="E33" i="20"/>
  <c r="E35" i="20"/>
  <c r="I35" i="20" s="1"/>
  <c r="A16" i="19"/>
  <c r="A16" i="18"/>
  <c r="A15" i="19"/>
  <c r="A15" i="18"/>
  <c r="A15" i="17"/>
  <c r="A14" i="17"/>
  <c r="A16" i="16"/>
  <c r="A15" i="16"/>
  <c r="A16" i="15"/>
  <c r="A15" i="15"/>
  <c r="E29" i="38"/>
  <c r="C29" i="38"/>
  <c r="E28" i="38"/>
  <c r="C28" i="38"/>
  <c r="E27" i="38"/>
  <c r="C27" i="38"/>
  <c r="E26" i="38"/>
  <c r="C26" i="38"/>
  <c r="H16" i="38"/>
  <c r="P15" i="38"/>
  <c r="H15" i="38"/>
  <c r="P14" i="38"/>
  <c r="H14" i="38"/>
  <c r="P13" i="38"/>
  <c r="H13" i="38"/>
  <c r="P12" i="38"/>
  <c r="H12" i="38"/>
  <c r="H11" i="38"/>
  <c r="H10" i="38"/>
  <c r="H9" i="38"/>
  <c r="H19" i="38" s="1"/>
  <c r="P8" i="38"/>
  <c r="H8" i="38"/>
  <c r="H7" i="38"/>
  <c r="L90" i="23"/>
  <c r="E25" i="23"/>
  <c r="E219" i="23" s="1"/>
  <c r="I32" i="23" s="1"/>
  <c r="B87" i="1"/>
  <c r="D11" i="30" s="1"/>
  <c r="D12" i="30"/>
  <c r="E22" i="27"/>
  <c r="E22" i="26"/>
  <c r="E24" i="25"/>
  <c r="E49" i="25" s="1"/>
  <c r="E60" i="25" s="1"/>
  <c r="E71" i="25" s="1"/>
  <c r="E101" i="25" s="1"/>
  <c r="E112" i="25" s="1"/>
  <c r="E25" i="24"/>
  <c r="E47" i="24" s="1"/>
  <c r="E57" i="24" s="1"/>
  <c r="E69" i="24" s="1"/>
  <c r="L82" i="24"/>
  <c r="L83" i="24"/>
  <c r="L88" i="24"/>
  <c r="L84" i="23"/>
  <c r="L85" i="23"/>
  <c r="I29" i="23"/>
  <c r="I36" i="23"/>
  <c r="K34" i="23"/>
  <c r="E25" i="22"/>
  <c r="E201" i="22" s="1"/>
  <c r="E25" i="21"/>
  <c r="E24" i="20"/>
  <c r="E25" i="20" s="1"/>
  <c r="E27" i="19"/>
  <c r="E264" i="19" s="1"/>
  <c r="L84" i="19"/>
  <c r="L85" i="19"/>
  <c r="L90" i="19"/>
  <c r="L86" i="18"/>
  <c r="L87" i="18"/>
  <c r="L92" i="18"/>
  <c r="E27" i="18"/>
  <c r="E265" i="18" s="1"/>
  <c r="I35" i="18" s="1"/>
  <c r="E26" i="17"/>
  <c r="E51" i="17" s="1"/>
  <c r="E64" i="17" s="1"/>
  <c r="E94" i="17" s="1"/>
  <c r="E105" i="17" s="1"/>
  <c r="E125" i="17" s="1"/>
  <c r="E136" i="17" s="1"/>
  <c r="E170" i="17" s="1"/>
  <c r="E182" i="17" s="1"/>
  <c r="E27" i="15"/>
  <c r="E74" i="15" s="1"/>
  <c r="E104" i="15" s="1"/>
  <c r="E115" i="15" s="1"/>
  <c r="E27" i="16"/>
  <c r="E52" i="16" s="1"/>
  <c r="E63" i="16" s="1"/>
  <c r="E74" i="16" s="1"/>
  <c r="E23" i="14"/>
  <c r="E59" i="14" s="1"/>
  <c r="E56" i="14"/>
  <c r="E22" i="13"/>
  <c r="E162" i="13" s="1"/>
  <c r="I32" i="13" s="1"/>
  <c r="E23" i="8"/>
  <c r="E171" i="8" s="1"/>
  <c r="K32" i="8" s="1"/>
  <c r="E23" i="9"/>
  <c r="E171" i="9" s="1"/>
  <c r="E23" i="10"/>
  <c r="E163" i="10" s="1"/>
  <c r="E164" i="10" s="1"/>
  <c r="E23" i="11"/>
  <c r="E171" i="11"/>
  <c r="E23" i="12"/>
  <c r="E171" i="12" s="1"/>
  <c r="I33" i="12" s="1"/>
  <c r="E172" i="12"/>
  <c r="J33" i="12"/>
  <c r="J38" i="12"/>
  <c r="K31" i="12"/>
  <c r="I28" i="10"/>
  <c r="I33" i="10"/>
  <c r="I34" i="10"/>
  <c r="J33" i="10"/>
  <c r="J34" i="10"/>
  <c r="K28" i="10"/>
  <c r="K34" i="10"/>
  <c r="J38" i="8"/>
  <c r="E22" i="7"/>
  <c r="E152" i="7" s="1"/>
  <c r="K39" i="7" s="1"/>
  <c r="L39" i="7" s="1"/>
  <c r="O39" i="7" s="1"/>
  <c r="D2" i="1"/>
  <c r="R8" i="31" s="1"/>
  <c r="C159" i="25"/>
  <c r="C176" i="25"/>
  <c r="C180" i="24"/>
  <c r="C197" i="24"/>
  <c r="C182" i="23"/>
  <c r="I182" i="23" s="1"/>
  <c r="C199" i="23"/>
  <c r="I199" i="23" s="1"/>
  <c r="C164" i="22"/>
  <c r="C181" i="22"/>
  <c r="C164" i="21"/>
  <c r="C181" i="21"/>
  <c r="F189" i="19"/>
  <c r="F190" i="19"/>
  <c r="F191" i="19" s="1"/>
  <c r="C227" i="19"/>
  <c r="C244" i="19"/>
  <c r="F190" i="18"/>
  <c r="F191" i="18"/>
  <c r="C228" i="18"/>
  <c r="C245" i="18"/>
  <c r="F163" i="17"/>
  <c r="F164" i="17"/>
  <c r="C201" i="17"/>
  <c r="C218" i="17"/>
  <c r="F173" i="16"/>
  <c r="F174" i="16"/>
  <c r="F175" i="16" s="1"/>
  <c r="C211" i="16"/>
  <c r="C228" i="16"/>
  <c r="F173" i="15"/>
  <c r="F175" i="15" s="1"/>
  <c r="J9" i="15" s="1"/>
  <c r="F174" i="15"/>
  <c r="C211" i="15"/>
  <c r="C228" i="15"/>
  <c r="L96" i="14"/>
  <c r="L97" i="14"/>
  <c r="L102" i="14"/>
  <c r="C163" i="14"/>
  <c r="C180" i="14"/>
  <c r="F87" i="13"/>
  <c r="F88" i="13"/>
  <c r="C125" i="13"/>
  <c r="C142" i="13"/>
  <c r="F96" i="12"/>
  <c r="F97" i="12"/>
  <c r="C134" i="12"/>
  <c r="I134" i="12" s="1"/>
  <c r="C151" i="12"/>
  <c r="I151" i="12" s="1"/>
  <c r="F96" i="11"/>
  <c r="F97" i="11"/>
  <c r="C134" i="11"/>
  <c r="C151" i="11"/>
  <c r="F88" i="10"/>
  <c r="F89" i="10"/>
  <c r="C126" i="10"/>
  <c r="I126" i="10" s="1"/>
  <c r="L126" i="10" s="1"/>
  <c r="L127" i="10" s="1"/>
  <c r="B15" i="10" s="1"/>
  <c r="C143" i="10"/>
  <c r="I143" i="10"/>
  <c r="F96" i="9"/>
  <c r="F97" i="9"/>
  <c r="F98" i="9" s="1"/>
  <c r="J6" i="9" s="1"/>
  <c r="C7" i="9"/>
  <c r="C134" i="9"/>
  <c r="C151" i="9"/>
  <c r="F96" i="8"/>
  <c r="F98" i="8" s="1"/>
  <c r="F97" i="8"/>
  <c r="C134" i="8"/>
  <c r="C151" i="8"/>
  <c r="C132" i="7"/>
  <c r="I30" i="7"/>
  <c r="C115" i="7"/>
  <c r="L109" i="26"/>
  <c r="L100" i="28"/>
  <c r="I24" i="27"/>
  <c r="J24" i="27"/>
  <c r="K24" i="27"/>
  <c r="E21" i="27"/>
  <c r="C76" i="27"/>
  <c r="C41" i="27"/>
  <c r="C50" i="27"/>
  <c r="C53" i="27" s="1"/>
  <c r="C68" i="27"/>
  <c r="C7" i="27"/>
  <c r="C59" i="27"/>
  <c r="C49" i="27"/>
  <c r="C62" i="27"/>
  <c r="C9" i="27"/>
  <c r="E30" i="27"/>
  <c r="E33" i="27"/>
  <c r="C10" i="27"/>
  <c r="C12" i="27"/>
  <c r="L121" i="27"/>
  <c r="L127" i="27"/>
  <c r="L121" i="26"/>
  <c r="L127" i="26"/>
  <c r="C7" i="26"/>
  <c r="I24" i="26"/>
  <c r="J24" i="26"/>
  <c r="K24" i="26"/>
  <c r="E21" i="26"/>
  <c r="C76" i="26"/>
  <c r="C41" i="26"/>
  <c r="C50" i="26"/>
  <c r="C53" i="26" s="1"/>
  <c r="C68" i="26"/>
  <c r="C9" i="26"/>
  <c r="C59" i="26"/>
  <c r="C49" i="26"/>
  <c r="C62" i="26"/>
  <c r="C10" i="26"/>
  <c r="E30" i="26"/>
  <c r="E33" i="26"/>
  <c r="C12" i="26"/>
  <c r="C67" i="28"/>
  <c r="E67" i="28" s="1"/>
  <c r="E21" i="28"/>
  <c r="C31" i="28"/>
  <c r="C32" i="28" s="1"/>
  <c r="E32" i="28" s="1"/>
  <c r="C40" i="28"/>
  <c r="C58" i="28"/>
  <c r="C7" i="28"/>
  <c r="I24" i="28"/>
  <c r="J24" i="28"/>
  <c r="K24" i="28"/>
  <c r="C9" i="28"/>
  <c r="C49" i="28"/>
  <c r="C39" i="28"/>
  <c r="C52" i="28"/>
  <c r="C54" i="28"/>
  <c r="C10" i="28"/>
  <c r="L112" i="28"/>
  <c r="L118" i="28"/>
  <c r="I118" i="7"/>
  <c r="H35" i="4"/>
  <c r="A37" i="1"/>
  <c r="E72" i="14"/>
  <c r="E83" i="14" s="1"/>
  <c r="E47" i="13"/>
  <c r="E58" i="13" s="1"/>
  <c r="E47" i="12"/>
  <c r="E56" i="12" s="1"/>
  <c r="E67" i="12" s="1"/>
  <c r="E47" i="11"/>
  <c r="E56" i="11" s="1"/>
  <c r="E67" i="11" s="1"/>
  <c r="E47" i="10"/>
  <c r="E56" i="10" s="1"/>
  <c r="E67" i="10" s="1"/>
  <c r="E47" i="9"/>
  <c r="E56" i="9" s="1"/>
  <c r="E67" i="9" s="1"/>
  <c r="E47" i="8"/>
  <c r="E56" i="8" s="1"/>
  <c r="E67" i="8" s="1"/>
  <c r="L136" i="25"/>
  <c r="E50" i="25"/>
  <c r="E61" i="25" s="1"/>
  <c r="C75" i="25"/>
  <c r="C76" i="25"/>
  <c r="C79" i="25"/>
  <c r="C80" i="25"/>
  <c r="C82" i="25"/>
  <c r="C85" i="25"/>
  <c r="F95" i="25"/>
  <c r="F96" i="25"/>
  <c r="J6" i="25" s="1"/>
  <c r="C13" i="25" s="1"/>
  <c r="C115" i="25"/>
  <c r="C116" i="25"/>
  <c r="C119" i="25"/>
  <c r="C120" i="25"/>
  <c r="C122" i="25"/>
  <c r="C125" i="25"/>
  <c r="I162" i="25"/>
  <c r="L185" i="25"/>
  <c r="L191" i="25"/>
  <c r="H15" i="25"/>
  <c r="C132" i="24"/>
  <c r="C134" i="23"/>
  <c r="C116" i="22"/>
  <c r="C76" i="22"/>
  <c r="C116" i="21"/>
  <c r="C76" i="21"/>
  <c r="C79" i="20"/>
  <c r="C46" i="20"/>
  <c r="C166" i="19"/>
  <c r="C134" i="19"/>
  <c r="C167" i="18"/>
  <c r="C135" i="18"/>
  <c r="C140" i="17"/>
  <c r="C108" i="17"/>
  <c r="C68" i="17"/>
  <c r="C150" i="16"/>
  <c r="C118" i="16"/>
  <c r="C78" i="16"/>
  <c r="C150" i="15"/>
  <c r="C118" i="15"/>
  <c r="C71" i="8"/>
  <c r="C78" i="15"/>
  <c r="C71" i="11"/>
  <c r="C43" i="28"/>
  <c r="C88" i="23"/>
  <c r="E48" i="23"/>
  <c r="E50" i="23"/>
  <c r="E58" i="23"/>
  <c r="E70" i="23" s="1"/>
  <c r="C123" i="30"/>
  <c r="C124" i="30"/>
  <c r="C125" i="30"/>
  <c r="C126" i="30"/>
  <c r="C127" i="30"/>
  <c r="C128" i="30"/>
  <c r="C129" i="30"/>
  <c r="C130" i="30"/>
  <c r="C131" i="30"/>
  <c r="C132" i="30"/>
  <c r="C133" i="30"/>
  <c r="C134" i="30"/>
  <c r="C135" i="30"/>
  <c r="C136" i="30"/>
  <c r="C137" i="30"/>
  <c r="C138" i="30"/>
  <c r="C139" i="30"/>
  <c r="C140" i="30"/>
  <c r="C141" i="30"/>
  <c r="C142" i="30"/>
  <c r="C143" i="30"/>
  <c r="C144" i="30"/>
  <c r="C145" i="30"/>
  <c r="C146" i="30"/>
  <c r="C147" i="30"/>
  <c r="C148" i="30"/>
  <c r="C149" i="30"/>
  <c r="C150" i="30"/>
  <c r="C151" i="30"/>
  <c r="C152" i="30"/>
  <c r="C153" i="30"/>
  <c r="C154" i="30"/>
  <c r="C155" i="30"/>
  <c r="C156" i="30"/>
  <c r="C157" i="30"/>
  <c r="C158" i="30"/>
  <c r="C159" i="30"/>
  <c r="C160" i="30"/>
  <c r="C161" i="30"/>
  <c r="C86" i="24"/>
  <c r="C87" i="24"/>
  <c r="C88" i="24"/>
  <c r="E48" i="24"/>
  <c r="C81" i="23"/>
  <c r="C85" i="23" s="1"/>
  <c r="C79" i="24"/>
  <c r="C83" i="24"/>
  <c r="C80" i="24"/>
  <c r="C77" i="24"/>
  <c r="C82" i="23"/>
  <c r="C79" i="23"/>
  <c r="C88" i="19"/>
  <c r="C89" i="19"/>
  <c r="C90" i="19"/>
  <c r="E50" i="19"/>
  <c r="E52" i="19"/>
  <c r="E60" i="19"/>
  <c r="E72" i="19" s="1"/>
  <c r="C81" i="19"/>
  <c r="C85" i="19" s="1"/>
  <c r="C90" i="18"/>
  <c r="C92" i="18" s="1"/>
  <c r="C91" i="18"/>
  <c r="E50" i="18"/>
  <c r="C83" i="18"/>
  <c r="C87" i="18"/>
  <c r="C82" i="19"/>
  <c r="C79" i="19"/>
  <c r="C84" i="18"/>
  <c r="C81" i="18"/>
  <c r="E73" i="14"/>
  <c r="E75" i="14" s="1"/>
  <c r="E84" i="14"/>
  <c r="C100" i="14"/>
  <c r="C101" i="14" s="1"/>
  <c r="E103" i="14" s="1"/>
  <c r="C93" i="14"/>
  <c r="C97" i="14" s="1"/>
  <c r="C94" i="14"/>
  <c r="C91" i="14"/>
  <c r="C62" i="13"/>
  <c r="C77" i="13" s="1"/>
  <c r="C63" i="13"/>
  <c r="C75" i="13"/>
  <c r="E48" i="13"/>
  <c r="E50" i="13"/>
  <c r="E59" i="13"/>
  <c r="C76" i="13"/>
  <c r="C72" i="13"/>
  <c r="C69" i="13"/>
  <c r="C66" i="13"/>
  <c r="C71" i="12"/>
  <c r="C85" i="12" s="1"/>
  <c r="C72" i="12"/>
  <c r="C84" i="12"/>
  <c r="E48" i="12"/>
  <c r="E57" i="12" s="1"/>
  <c r="E68" i="12" s="1"/>
  <c r="E59" i="12"/>
  <c r="I59" i="12" s="1"/>
  <c r="C75" i="12"/>
  <c r="C71" i="9"/>
  <c r="C72" i="9"/>
  <c r="C81" i="9" s="1"/>
  <c r="E48" i="9"/>
  <c r="E57" i="9" s="1"/>
  <c r="E59" i="9" s="1"/>
  <c r="C72" i="11"/>
  <c r="C84" i="11"/>
  <c r="C78" i="11"/>
  <c r="C75" i="11"/>
  <c r="E48" i="11"/>
  <c r="E57" i="11"/>
  <c r="E59" i="11" s="1"/>
  <c r="E68" i="11"/>
  <c r="L120" i="30"/>
  <c r="M2" i="35"/>
  <c r="C25" i="35"/>
  <c r="B26" i="35"/>
  <c r="D26" i="35"/>
  <c r="A38" i="35"/>
  <c r="B39" i="35"/>
  <c r="D39" i="35"/>
  <c r="H39" i="35"/>
  <c r="B40" i="35"/>
  <c r="D40" i="35"/>
  <c r="H40" i="35"/>
  <c r="A41" i="35"/>
  <c r="B42" i="35"/>
  <c r="D42" i="35"/>
  <c r="H42" i="35"/>
  <c r="B43" i="35"/>
  <c r="D43" i="35"/>
  <c r="H43" i="35"/>
  <c r="B44" i="35"/>
  <c r="D44" i="35"/>
  <c r="H44" i="35"/>
  <c r="B45" i="35"/>
  <c r="D45" i="35"/>
  <c r="H45" i="35"/>
  <c r="B46" i="35"/>
  <c r="D46" i="35"/>
  <c r="H46" i="35"/>
  <c r="B47" i="35"/>
  <c r="D47" i="35"/>
  <c r="H47" i="35"/>
  <c r="B48" i="35"/>
  <c r="D48" i="35"/>
  <c r="H48" i="35"/>
  <c r="B49" i="35"/>
  <c r="D49" i="35"/>
  <c r="H49" i="35"/>
  <c r="B50" i="35"/>
  <c r="H50" i="35"/>
  <c r="B51" i="35"/>
  <c r="D51" i="35"/>
  <c r="H51" i="35"/>
  <c r="Y56" i="35"/>
  <c r="L56" i="35"/>
  <c r="Z56" i="35"/>
  <c r="AD56" i="35" s="1"/>
  <c r="AA56" i="35"/>
  <c r="AE56" i="35"/>
  <c r="Y57" i="35"/>
  <c r="AA57" i="35" s="1"/>
  <c r="L58" i="35"/>
  <c r="L60" i="35" s="1"/>
  <c r="L65" i="35" s="1"/>
  <c r="Y58" i="35"/>
  <c r="Z58" i="35"/>
  <c r="AA58" i="35"/>
  <c r="AD58" i="35"/>
  <c r="AE58" i="35" s="1"/>
  <c r="L59" i="35"/>
  <c r="L61" i="35"/>
  <c r="L62" i="35"/>
  <c r="L64" i="35"/>
  <c r="C60" i="35" s="1"/>
  <c r="Q60" i="35"/>
  <c r="Y60" i="35"/>
  <c r="Z60" i="35"/>
  <c r="AA60" i="35"/>
  <c r="AD60" i="35"/>
  <c r="AE60" i="35" s="1"/>
  <c r="C61" i="35"/>
  <c r="R84" i="35" s="1"/>
  <c r="Y61" i="35"/>
  <c r="AA61" i="35" s="1"/>
  <c r="Y62" i="35"/>
  <c r="Z62" i="35" s="1"/>
  <c r="AA62" i="35"/>
  <c r="AD62" i="35"/>
  <c r="AE62" i="35"/>
  <c r="L63" i="35"/>
  <c r="A72" i="35"/>
  <c r="C72" i="35"/>
  <c r="F72" i="35"/>
  <c r="L81" i="35"/>
  <c r="R81" i="35"/>
  <c r="L82" i="35"/>
  <c r="N85" i="35" s="1"/>
  <c r="E83" i="35" s="1"/>
  <c r="R82" i="35"/>
  <c r="L85" i="35"/>
  <c r="C83" i="35"/>
  <c r="C91" i="35" s="1"/>
  <c r="F91" i="35" s="1"/>
  <c r="M85" i="35"/>
  <c r="D83" i="35" s="1"/>
  <c r="D91" i="35" s="1"/>
  <c r="G91" i="35" s="1"/>
  <c r="R85" i="35"/>
  <c r="S85" i="35"/>
  <c r="T85" i="35"/>
  <c r="C86" i="35"/>
  <c r="D86" i="35"/>
  <c r="E86" i="35"/>
  <c r="C87" i="35"/>
  <c r="D87" i="35"/>
  <c r="E87" i="35"/>
  <c r="E91" i="35"/>
  <c r="H91" i="35" s="1"/>
  <c r="H40" i="5"/>
  <c r="E77" i="5"/>
  <c r="H45" i="5"/>
  <c r="I51" i="5" s="1"/>
  <c r="E52" i="5" s="1"/>
  <c r="H46" i="5"/>
  <c r="E51" i="5"/>
  <c r="E55" i="4"/>
  <c r="H49" i="4"/>
  <c r="I55" i="4" s="1"/>
  <c r="E56" i="4"/>
  <c r="D16" i="33"/>
  <c r="D16" i="32"/>
  <c r="C119" i="7"/>
  <c r="C138" i="8"/>
  <c r="I137" i="8"/>
  <c r="C138" i="9"/>
  <c r="I137" i="9"/>
  <c r="C130" i="10"/>
  <c r="I129" i="10"/>
  <c r="L129" i="10"/>
  <c r="L130" i="10" s="1"/>
  <c r="I137" i="11"/>
  <c r="C138" i="11"/>
  <c r="C163" i="25"/>
  <c r="C184" i="24"/>
  <c r="C186" i="23"/>
  <c r="C168" i="22"/>
  <c r="C168" i="21"/>
  <c r="C231" i="19"/>
  <c r="C232" i="18"/>
  <c r="C205" i="17"/>
  <c r="C215" i="16"/>
  <c r="C215" i="15"/>
  <c r="C167" i="14"/>
  <c r="C129" i="13"/>
  <c r="C138" i="12"/>
  <c r="I137" i="12"/>
  <c r="I128" i="13"/>
  <c r="I166" i="14"/>
  <c r="L166" i="14"/>
  <c r="L167" i="14" s="1"/>
  <c r="I214" i="15"/>
  <c r="L214" i="15"/>
  <c r="L215" i="15" s="1"/>
  <c r="I214" i="16"/>
  <c r="I204" i="17"/>
  <c r="I231" i="18"/>
  <c r="L231" i="18" s="1"/>
  <c r="L232" i="18" s="1"/>
  <c r="I230" i="19"/>
  <c r="L230" i="19" s="1"/>
  <c r="L231" i="19" s="1"/>
  <c r="I167" i="21"/>
  <c r="I167" i="22"/>
  <c r="I185" i="23"/>
  <c r="L185" i="23" s="1"/>
  <c r="L186" i="23" s="1"/>
  <c r="L208" i="23"/>
  <c r="L214" i="23"/>
  <c r="I183" i="24"/>
  <c r="L206" i="24"/>
  <c r="L212" i="24"/>
  <c r="D163" i="25"/>
  <c r="B163" i="25"/>
  <c r="C157" i="25"/>
  <c r="C156" i="25"/>
  <c r="F155" i="25"/>
  <c r="E155" i="25"/>
  <c r="C155" i="25"/>
  <c r="F153" i="25"/>
  <c r="E153" i="25"/>
  <c r="E174" i="24"/>
  <c r="F174" i="24"/>
  <c r="C176" i="24"/>
  <c r="E176" i="24"/>
  <c r="F176" i="24"/>
  <c r="C177" i="24"/>
  <c r="C178" i="24"/>
  <c r="B184" i="24"/>
  <c r="D184" i="24"/>
  <c r="D186" i="23"/>
  <c r="B186" i="23"/>
  <c r="C180" i="23"/>
  <c r="C179" i="23"/>
  <c r="F178" i="23"/>
  <c r="E178" i="23"/>
  <c r="C178" i="23"/>
  <c r="F176" i="23"/>
  <c r="E176" i="23"/>
  <c r="D168" i="22"/>
  <c r="B168" i="22"/>
  <c r="C162" i="22"/>
  <c r="C161" i="22"/>
  <c r="F160" i="22"/>
  <c r="E160" i="22"/>
  <c r="C160" i="22"/>
  <c r="F158" i="22"/>
  <c r="E158" i="22"/>
  <c r="D168" i="21"/>
  <c r="B168" i="21"/>
  <c r="C162" i="21"/>
  <c r="C161" i="21"/>
  <c r="F160" i="21"/>
  <c r="E160" i="21"/>
  <c r="C160" i="21"/>
  <c r="F158" i="21"/>
  <c r="E158" i="21"/>
  <c r="D231" i="19"/>
  <c r="B231" i="19"/>
  <c r="C225" i="19"/>
  <c r="C224" i="19"/>
  <c r="F223" i="19"/>
  <c r="E223" i="19"/>
  <c r="C223" i="19"/>
  <c r="F221" i="19"/>
  <c r="E221" i="19"/>
  <c r="D232" i="18"/>
  <c r="B232" i="18"/>
  <c r="C226" i="18"/>
  <c r="C225" i="18"/>
  <c r="F224" i="18"/>
  <c r="E224" i="18"/>
  <c r="C224" i="18"/>
  <c r="F222" i="18"/>
  <c r="E222" i="18"/>
  <c r="D205" i="17"/>
  <c r="B205" i="17"/>
  <c r="C199" i="17"/>
  <c r="C198" i="17"/>
  <c r="F197" i="17"/>
  <c r="E197" i="17"/>
  <c r="C197" i="17"/>
  <c r="F195" i="17"/>
  <c r="E195" i="17"/>
  <c r="D215" i="16"/>
  <c r="B215" i="16"/>
  <c r="C209" i="16"/>
  <c r="C208" i="16"/>
  <c r="F207" i="16"/>
  <c r="E207" i="16"/>
  <c r="C207" i="16"/>
  <c r="F205" i="16"/>
  <c r="E205" i="16"/>
  <c r="D215" i="15"/>
  <c r="B215" i="15"/>
  <c r="C209" i="15"/>
  <c r="C208" i="15"/>
  <c r="F207" i="15"/>
  <c r="E207" i="15"/>
  <c r="C207" i="15"/>
  <c r="F205" i="15"/>
  <c r="E205" i="15"/>
  <c r="D167" i="14"/>
  <c r="B167" i="14"/>
  <c r="C161" i="14"/>
  <c r="C160" i="14"/>
  <c r="F159" i="14"/>
  <c r="E159" i="14"/>
  <c r="C159" i="14"/>
  <c r="F157" i="14"/>
  <c r="E157" i="14"/>
  <c r="D129" i="13"/>
  <c r="B129" i="13"/>
  <c r="C123" i="13"/>
  <c r="C122" i="13"/>
  <c r="F121" i="13"/>
  <c r="E121" i="13"/>
  <c r="C121" i="13"/>
  <c r="F119" i="13"/>
  <c r="E119" i="13"/>
  <c r="D138" i="12"/>
  <c r="B138" i="12"/>
  <c r="C132" i="12"/>
  <c r="C131" i="12"/>
  <c r="F130" i="12"/>
  <c r="E130" i="12"/>
  <c r="C130" i="12"/>
  <c r="F128" i="12"/>
  <c r="E128" i="12"/>
  <c r="D138" i="11"/>
  <c r="B138" i="11"/>
  <c r="C132" i="11"/>
  <c r="C131" i="11"/>
  <c r="F130" i="11"/>
  <c r="E130" i="11"/>
  <c r="C130" i="11"/>
  <c r="F128" i="11"/>
  <c r="E128" i="11"/>
  <c r="D130" i="10"/>
  <c r="B130" i="10"/>
  <c r="C124" i="10"/>
  <c r="C123" i="10"/>
  <c r="F122" i="10"/>
  <c r="E122" i="10"/>
  <c r="C122" i="10"/>
  <c r="F120" i="10"/>
  <c r="E120" i="10"/>
  <c r="D138" i="9"/>
  <c r="B138" i="9"/>
  <c r="C132" i="9"/>
  <c r="C131" i="9"/>
  <c r="F130" i="9"/>
  <c r="E130" i="9"/>
  <c r="C130" i="9"/>
  <c r="F128" i="9"/>
  <c r="E128" i="9"/>
  <c r="D138" i="8"/>
  <c r="B138" i="8"/>
  <c r="C132" i="8"/>
  <c r="C131" i="8"/>
  <c r="F130" i="8"/>
  <c r="E130" i="8"/>
  <c r="C130" i="8"/>
  <c r="F128" i="8"/>
  <c r="E128" i="8"/>
  <c r="H11" i="23"/>
  <c r="H11" i="24"/>
  <c r="F88" i="17"/>
  <c r="F89" i="17"/>
  <c r="J6" i="17" s="1"/>
  <c r="C44" i="17"/>
  <c r="J113" i="30"/>
  <c r="F104" i="24"/>
  <c r="F105" i="24"/>
  <c r="J6" i="24"/>
  <c r="C133" i="24"/>
  <c r="C136" i="24"/>
  <c r="C137" i="24"/>
  <c r="C142" i="24"/>
  <c r="F106" i="23"/>
  <c r="F107" i="23" s="1"/>
  <c r="J6" i="23" s="1"/>
  <c r="C135" i="23"/>
  <c r="C138" i="23"/>
  <c r="C139" i="23"/>
  <c r="C144" i="23"/>
  <c r="E51" i="22"/>
  <c r="F96" i="22"/>
  <c r="F97" i="22" s="1"/>
  <c r="J6" i="22" s="1"/>
  <c r="C77" i="22"/>
  <c r="C80" i="22"/>
  <c r="C81" i="22"/>
  <c r="C117" i="22"/>
  <c r="C120" i="22"/>
  <c r="C121" i="22" s="1"/>
  <c r="C126" i="22"/>
  <c r="E51" i="21"/>
  <c r="F96" i="21"/>
  <c r="F97" i="21" s="1"/>
  <c r="J6" i="21" s="1"/>
  <c r="C77" i="21"/>
  <c r="C80" i="21"/>
  <c r="C81" i="21" s="1"/>
  <c r="C86" i="21"/>
  <c r="C117" i="21"/>
  <c r="C120" i="21"/>
  <c r="C121" i="21" s="1"/>
  <c r="C126" i="21"/>
  <c r="E43" i="20"/>
  <c r="E64" i="20"/>
  <c r="E74" i="20" s="1"/>
  <c r="C47" i="20"/>
  <c r="C51" i="20" s="1"/>
  <c r="C50" i="20"/>
  <c r="C56" i="20"/>
  <c r="F96" i="20"/>
  <c r="F97" i="20"/>
  <c r="F98" i="20" s="1"/>
  <c r="J7" i="20" s="1"/>
  <c r="C80" i="20"/>
  <c r="C83" i="20"/>
  <c r="C84" i="20"/>
  <c r="C86" i="20"/>
  <c r="I26" i="20"/>
  <c r="J26" i="20"/>
  <c r="K26" i="20"/>
  <c r="F107" i="19"/>
  <c r="F108" i="19"/>
  <c r="J6" i="19"/>
  <c r="C135" i="19"/>
  <c r="C138" i="19"/>
  <c r="C139" i="19" s="1"/>
  <c r="C144" i="19"/>
  <c r="C167" i="19"/>
  <c r="C170" i="19"/>
  <c r="C171" i="19"/>
  <c r="C176" i="19"/>
  <c r="C177" i="19"/>
  <c r="C178" i="19"/>
  <c r="C179" i="19"/>
  <c r="C180" i="19"/>
  <c r="F108" i="18"/>
  <c r="F109" i="18" s="1"/>
  <c r="J6" i="18" s="1"/>
  <c r="C136" i="18"/>
  <c r="C139" i="18"/>
  <c r="C140" i="18"/>
  <c r="C145" i="18"/>
  <c r="C168" i="18"/>
  <c r="C171" i="18"/>
  <c r="C172" i="18" s="1"/>
  <c r="C177" i="18"/>
  <c r="C178" i="18"/>
  <c r="C179" i="18"/>
  <c r="C180" i="18"/>
  <c r="C181" i="18"/>
  <c r="E52" i="17"/>
  <c r="E65" i="17"/>
  <c r="E95" i="17" s="1"/>
  <c r="E106" i="17" s="1"/>
  <c r="E126" i="17" s="1"/>
  <c r="E137" i="17" s="1"/>
  <c r="C69" i="17"/>
  <c r="C72" i="17"/>
  <c r="C73" i="17"/>
  <c r="C78" i="17"/>
  <c r="C109" i="17"/>
  <c r="C112" i="17"/>
  <c r="C118" i="17"/>
  <c r="C141" i="17"/>
  <c r="C144" i="17"/>
  <c r="C145" i="17"/>
  <c r="C150" i="17"/>
  <c r="C151" i="17"/>
  <c r="C152" i="17"/>
  <c r="C153" i="17"/>
  <c r="C154" i="17"/>
  <c r="F98" i="16"/>
  <c r="F99" i="16" s="1"/>
  <c r="J6" i="16" s="1"/>
  <c r="E53" i="16"/>
  <c r="C79" i="16"/>
  <c r="C83" i="16" s="1"/>
  <c r="C82" i="16"/>
  <c r="C119" i="16"/>
  <c r="C122" i="16"/>
  <c r="C123" i="16"/>
  <c r="C128" i="16"/>
  <c r="C151" i="16"/>
  <c r="C154" i="16"/>
  <c r="C160" i="16"/>
  <c r="C161" i="16"/>
  <c r="C162" i="16"/>
  <c r="C163" i="16"/>
  <c r="C164" i="16"/>
  <c r="F98" i="15"/>
  <c r="F99" i="15" s="1"/>
  <c r="J6" i="15" s="1"/>
  <c r="E53" i="15"/>
  <c r="E64" i="15" s="1"/>
  <c r="E66" i="15" s="1"/>
  <c r="C79" i="15"/>
  <c r="C82" i="15"/>
  <c r="C83" i="15"/>
  <c r="C119" i="15"/>
  <c r="C122" i="15"/>
  <c r="C123" i="15" s="1"/>
  <c r="C128" i="15"/>
  <c r="C151" i="15"/>
  <c r="C154" i="15"/>
  <c r="C155" i="15" s="1"/>
  <c r="C160" i="15"/>
  <c r="C161" i="15"/>
  <c r="C162" i="15"/>
  <c r="C163" i="15"/>
  <c r="C164" i="15"/>
  <c r="C104" i="14"/>
  <c r="C105" i="14"/>
  <c r="C106" i="14"/>
  <c r="C107" i="14"/>
  <c r="F117" i="14"/>
  <c r="F118" i="14"/>
  <c r="F119" i="14" s="1"/>
  <c r="J6" i="14" s="1"/>
  <c r="H11" i="15"/>
  <c r="E48" i="10"/>
  <c r="C71" i="10"/>
  <c r="I71" i="10" s="1"/>
  <c r="C72" i="10"/>
  <c r="I74" i="10"/>
  <c r="C75" i="10"/>
  <c r="C76" i="10" s="1"/>
  <c r="E48" i="8"/>
  <c r="E57" i="8" s="1"/>
  <c r="E59" i="8" s="1"/>
  <c r="C72" i="8"/>
  <c r="E47" i="7"/>
  <c r="E58" i="7" s="1"/>
  <c r="E85" i="7" s="1"/>
  <c r="F77" i="7"/>
  <c r="F79" i="7" s="1"/>
  <c r="F78" i="7"/>
  <c r="C61" i="7"/>
  <c r="C62" i="7"/>
  <c r="C65" i="7"/>
  <c r="C66" i="7"/>
  <c r="B2" i="29"/>
  <c r="H15" i="30"/>
  <c r="H21" i="30"/>
  <c r="H23" i="30"/>
  <c r="H24" i="30"/>
  <c r="H32" i="30"/>
  <c r="L35" i="30"/>
  <c r="L36" i="30"/>
  <c r="L75" i="30"/>
  <c r="L78" i="30"/>
  <c r="L79" i="30"/>
  <c r="H87" i="30"/>
  <c r="H88" i="30"/>
  <c r="L89" i="30"/>
  <c r="L109" i="30"/>
  <c r="L110" i="30"/>
  <c r="L111" i="30"/>
  <c r="E123" i="30"/>
  <c r="F123" i="30"/>
  <c r="G123" i="30"/>
  <c r="H9" i="29"/>
  <c r="H123" i="30" s="1"/>
  <c r="I123" i="30"/>
  <c r="J123" i="30"/>
  <c r="K123" i="30"/>
  <c r="M123" i="30"/>
  <c r="N123" i="30"/>
  <c r="O123" i="30"/>
  <c r="P123" i="30"/>
  <c r="Q123" i="30"/>
  <c r="R123" i="30"/>
  <c r="S123" i="30"/>
  <c r="T123" i="30"/>
  <c r="U123" i="30"/>
  <c r="E124" i="30"/>
  <c r="F124" i="30"/>
  <c r="G124" i="30"/>
  <c r="I124" i="30"/>
  <c r="J124" i="30"/>
  <c r="K124" i="30"/>
  <c r="L10" i="29"/>
  <c r="L124" i="30" s="1"/>
  <c r="M124" i="30"/>
  <c r="N124" i="30"/>
  <c r="O124" i="30"/>
  <c r="P124" i="30"/>
  <c r="Q124" i="30"/>
  <c r="R124" i="30"/>
  <c r="S124" i="30"/>
  <c r="T124" i="30"/>
  <c r="U124" i="30"/>
  <c r="E125" i="30"/>
  <c r="F125" i="30"/>
  <c r="G125" i="30"/>
  <c r="H11" i="29"/>
  <c r="H125" i="30" s="1"/>
  <c r="I125" i="30"/>
  <c r="J125" i="30"/>
  <c r="K125" i="30"/>
  <c r="M125" i="30"/>
  <c r="N125" i="30"/>
  <c r="O125" i="30"/>
  <c r="P125" i="30"/>
  <c r="Q125" i="30"/>
  <c r="R125" i="30"/>
  <c r="S125" i="30"/>
  <c r="T125" i="30"/>
  <c r="U125" i="30"/>
  <c r="E126" i="30"/>
  <c r="F126" i="30"/>
  <c r="G126" i="30"/>
  <c r="I126" i="30"/>
  <c r="J126" i="30"/>
  <c r="K126" i="30"/>
  <c r="L12" i="29"/>
  <c r="L126" i="30"/>
  <c r="M126" i="30"/>
  <c r="N126" i="30"/>
  <c r="O126" i="30"/>
  <c r="P126" i="30"/>
  <c r="Q126" i="30"/>
  <c r="R126" i="30"/>
  <c r="S126" i="30"/>
  <c r="T126" i="30"/>
  <c r="U126" i="30"/>
  <c r="E127" i="30"/>
  <c r="F127" i="30"/>
  <c r="G127" i="30"/>
  <c r="I127" i="30"/>
  <c r="J127" i="30"/>
  <c r="K127" i="30"/>
  <c r="M127" i="30"/>
  <c r="N127" i="30"/>
  <c r="O127" i="30"/>
  <c r="P127" i="30"/>
  <c r="Q127" i="30"/>
  <c r="R127" i="30"/>
  <c r="S127" i="30"/>
  <c r="T127" i="30"/>
  <c r="U127" i="30"/>
  <c r="E128" i="30"/>
  <c r="F128" i="30"/>
  <c r="G128" i="30"/>
  <c r="H14" i="29"/>
  <c r="H128" i="30" s="1"/>
  <c r="I128" i="30"/>
  <c r="J128" i="30"/>
  <c r="K128" i="30"/>
  <c r="M128" i="30"/>
  <c r="N128" i="30"/>
  <c r="O128" i="30"/>
  <c r="P128" i="30"/>
  <c r="Q128" i="30"/>
  <c r="R128" i="30"/>
  <c r="S128" i="30"/>
  <c r="T128" i="30"/>
  <c r="U128" i="30"/>
  <c r="E129" i="30"/>
  <c r="F129" i="30"/>
  <c r="G129" i="30"/>
  <c r="I129" i="30"/>
  <c r="J129" i="30"/>
  <c r="K129" i="30"/>
  <c r="L15" i="29"/>
  <c r="L129" i="30" s="1"/>
  <c r="M129" i="30"/>
  <c r="N129" i="30"/>
  <c r="O129" i="30"/>
  <c r="P129" i="30"/>
  <c r="Q129" i="30"/>
  <c r="R129" i="30"/>
  <c r="S129" i="30"/>
  <c r="T129" i="30"/>
  <c r="U129" i="30"/>
  <c r="E130" i="30"/>
  <c r="F130" i="30"/>
  <c r="G130" i="30"/>
  <c r="I130" i="30"/>
  <c r="J130" i="30"/>
  <c r="K130" i="30"/>
  <c r="M130" i="30"/>
  <c r="N130" i="30"/>
  <c r="O130" i="30"/>
  <c r="P130" i="30"/>
  <c r="Q130" i="30"/>
  <c r="R130" i="30"/>
  <c r="S130" i="30"/>
  <c r="T130" i="30"/>
  <c r="U130" i="30"/>
  <c r="E131" i="30"/>
  <c r="F131" i="30"/>
  <c r="G131" i="30"/>
  <c r="H17" i="29"/>
  <c r="H131" i="30" s="1"/>
  <c r="I131" i="30"/>
  <c r="J131" i="30"/>
  <c r="K131" i="30"/>
  <c r="M131" i="30"/>
  <c r="N131" i="30"/>
  <c r="O131" i="30"/>
  <c r="P131" i="30"/>
  <c r="Q131" i="30"/>
  <c r="R131" i="30"/>
  <c r="S131" i="30"/>
  <c r="T131" i="30"/>
  <c r="U131" i="30"/>
  <c r="E132" i="30"/>
  <c r="F132" i="30"/>
  <c r="G132" i="30"/>
  <c r="I132" i="30"/>
  <c r="J132" i="30"/>
  <c r="K132" i="30"/>
  <c r="L18" i="29"/>
  <c r="L132" i="30" s="1"/>
  <c r="M132" i="30"/>
  <c r="N132" i="30"/>
  <c r="O132" i="30"/>
  <c r="P132" i="30"/>
  <c r="Q132" i="30"/>
  <c r="R132" i="30"/>
  <c r="S132" i="30"/>
  <c r="T132" i="30"/>
  <c r="U132" i="30"/>
  <c r="E133" i="30"/>
  <c r="F133" i="30"/>
  <c r="G133" i="30"/>
  <c r="H19" i="29"/>
  <c r="H133" i="30" s="1"/>
  <c r="I133" i="30"/>
  <c r="J133" i="30"/>
  <c r="K133" i="30"/>
  <c r="M133" i="30"/>
  <c r="N133" i="30"/>
  <c r="O133" i="30"/>
  <c r="P133" i="30"/>
  <c r="Q133" i="30"/>
  <c r="R133" i="30"/>
  <c r="S133" i="30"/>
  <c r="T133" i="30"/>
  <c r="U133" i="30"/>
  <c r="E134" i="30"/>
  <c r="F134" i="30"/>
  <c r="G134" i="30"/>
  <c r="I134" i="30"/>
  <c r="J134" i="30"/>
  <c r="K134" i="30"/>
  <c r="L20" i="29"/>
  <c r="L134" i="30" s="1"/>
  <c r="M134" i="30"/>
  <c r="N134" i="30"/>
  <c r="O134" i="30"/>
  <c r="P134" i="30"/>
  <c r="Q134" i="30"/>
  <c r="R134" i="30"/>
  <c r="S134" i="30"/>
  <c r="T134" i="30"/>
  <c r="U134" i="30"/>
  <c r="E135" i="30"/>
  <c r="F135" i="30"/>
  <c r="G135" i="30"/>
  <c r="I135" i="30"/>
  <c r="J135" i="30"/>
  <c r="K135" i="30"/>
  <c r="M135" i="30"/>
  <c r="N135" i="30"/>
  <c r="O135" i="30"/>
  <c r="P135" i="30"/>
  <c r="Q135" i="30"/>
  <c r="R135" i="30"/>
  <c r="S135" i="30"/>
  <c r="T135" i="30"/>
  <c r="U135" i="30"/>
  <c r="E136" i="30"/>
  <c r="F136" i="30"/>
  <c r="G136" i="30"/>
  <c r="H22" i="29"/>
  <c r="H136" i="30" s="1"/>
  <c r="I136" i="30"/>
  <c r="J136" i="30"/>
  <c r="K136" i="30"/>
  <c r="M136" i="30"/>
  <c r="N136" i="30"/>
  <c r="O136" i="30"/>
  <c r="P136" i="30"/>
  <c r="Q136" i="30"/>
  <c r="R136" i="30"/>
  <c r="S136" i="30"/>
  <c r="T136" i="30"/>
  <c r="U136" i="30"/>
  <c r="E137" i="30"/>
  <c r="F137" i="30"/>
  <c r="G137" i="30"/>
  <c r="I137" i="30"/>
  <c r="J137" i="30"/>
  <c r="K137" i="30"/>
  <c r="L23" i="29"/>
  <c r="L137" i="30" s="1"/>
  <c r="M137" i="30"/>
  <c r="N137" i="30"/>
  <c r="O137" i="30"/>
  <c r="P137" i="30"/>
  <c r="Q137" i="30"/>
  <c r="R137" i="30"/>
  <c r="S137" i="30"/>
  <c r="T137" i="30"/>
  <c r="U137" i="30"/>
  <c r="E138" i="30"/>
  <c r="F138" i="30"/>
  <c r="G138" i="30"/>
  <c r="I138" i="30"/>
  <c r="J138" i="30"/>
  <c r="K138" i="30"/>
  <c r="M138" i="30"/>
  <c r="N138" i="30"/>
  <c r="O138" i="30"/>
  <c r="P138" i="30"/>
  <c r="Q138" i="30"/>
  <c r="R138" i="30"/>
  <c r="S138" i="30"/>
  <c r="T138" i="30"/>
  <c r="U138" i="30"/>
  <c r="E139" i="30"/>
  <c r="F139" i="30"/>
  <c r="G139" i="30"/>
  <c r="H25" i="29"/>
  <c r="H139" i="30" s="1"/>
  <c r="I139" i="30"/>
  <c r="J139" i="30"/>
  <c r="K139" i="30"/>
  <c r="M139" i="30"/>
  <c r="N139" i="30"/>
  <c r="O139" i="30"/>
  <c r="P139" i="30"/>
  <c r="Q139" i="30"/>
  <c r="R139" i="30"/>
  <c r="S139" i="30"/>
  <c r="T139" i="30"/>
  <c r="U139" i="30"/>
  <c r="E140" i="30"/>
  <c r="F140" i="30"/>
  <c r="G140" i="30"/>
  <c r="I140" i="30"/>
  <c r="J140" i="30"/>
  <c r="K140" i="30"/>
  <c r="L26" i="29"/>
  <c r="L140" i="30" s="1"/>
  <c r="M140" i="30"/>
  <c r="N140" i="30"/>
  <c r="O140" i="30"/>
  <c r="P140" i="30"/>
  <c r="Q140" i="30"/>
  <c r="R140" i="30"/>
  <c r="S140" i="30"/>
  <c r="T140" i="30"/>
  <c r="U140" i="30"/>
  <c r="E141" i="30"/>
  <c r="F141" i="30"/>
  <c r="G141" i="30"/>
  <c r="H27" i="29"/>
  <c r="H141" i="30" s="1"/>
  <c r="I141" i="30"/>
  <c r="J141" i="30"/>
  <c r="K141" i="30"/>
  <c r="M141" i="30"/>
  <c r="N141" i="30"/>
  <c r="O141" i="30"/>
  <c r="P141" i="30"/>
  <c r="Q141" i="30"/>
  <c r="R141" i="30"/>
  <c r="S141" i="30"/>
  <c r="T141" i="30"/>
  <c r="U141" i="30"/>
  <c r="E142" i="30"/>
  <c r="F142" i="30"/>
  <c r="G142" i="30"/>
  <c r="I142" i="30"/>
  <c r="J142" i="30"/>
  <c r="K142" i="30"/>
  <c r="L28" i="29"/>
  <c r="L142" i="30" s="1"/>
  <c r="M142" i="30"/>
  <c r="N142" i="30"/>
  <c r="O142" i="30"/>
  <c r="P142" i="30"/>
  <c r="Q142" i="30"/>
  <c r="R142" i="30"/>
  <c r="S142" i="30"/>
  <c r="T142" i="30"/>
  <c r="U142" i="30"/>
  <c r="E143" i="30"/>
  <c r="F143" i="30"/>
  <c r="G143" i="30"/>
  <c r="I143" i="30"/>
  <c r="J143" i="30"/>
  <c r="K143" i="30"/>
  <c r="M143" i="30"/>
  <c r="N143" i="30"/>
  <c r="O143" i="30"/>
  <c r="P143" i="30"/>
  <c r="Q143" i="30"/>
  <c r="R143" i="30"/>
  <c r="S143" i="30"/>
  <c r="T143" i="30"/>
  <c r="U143" i="30"/>
  <c r="E144" i="30"/>
  <c r="F144" i="30"/>
  <c r="G144" i="30"/>
  <c r="H30" i="29"/>
  <c r="H144" i="30" s="1"/>
  <c r="I144" i="30"/>
  <c r="J144" i="30"/>
  <c r="K144" i="30"/>
  <c r="M144" i="30"/>
  <c r="N144" i="30"/>
  <c r="O144" i="30"/>
  <c r="P144" i="30"/>
  <c r="Q144" i="30"/>
  <c r="R144" i="30"/>
  <c r="S144" i="30"/>
  <c r="T144" i="30"/>
  <c r="U144" i="30"/>
  <c r="E145" i="30"/>
  <c r="F145" i="30"/>
  <c r="G145" i="30"/>
  <c r="I145" i="30"/>
  <c r="J145" i="30"/>
  <c r="K145" i="30"/>
  <c r="L31" i="29"/>
  <c r="L145" i="30" s="1"/>
  <c r="M145" i="30"/>
  <c r="N145" i="30"/>
  <c r="O145" i="30"/>
  <c r="P145" i="30"/>
  <c r="Q145" i="30"/>
  <c r="R145" i="30"/>
  <c r="S145" i="30"/>
  <c r="T145" i="30"/>
  <c r="U145" i="30"/>
  <c r="E146" i="30"/>
  <c r="F146" i="30"/>
  <c r="G146" i="30"/>
  <c r="I146" i="30"/>
  <c r="J146" i="30"/>
  <c r="K146" i="30"/>
  <c r="M146" i="30"/>
  <c r="N146" i="30"/>
  <c r="O146" i="30"/>
  <c r="P146" i="30"/>
  <c r="Q146" i="30"/>
  <c r="R146" i="30"/>
  <c r="S146" i="30"/>
  <c r="T146" i="30"/>
  <c r="U146" i="30"/>
  <c r="E147" i="30"/>
  <c r="F147" i="30"/>
  <c r="G147" i="30"/>
  <c r="H33" i="29"/>
  <c r="H147" i="30" s="1"/>
  <c r="I147" i="30"/>
  <c r="J147" i="30"/>
  <c r="K147" i="30"/>
  <c r="M147" i="30"/>
  <c r="N147" i="30"/>
  <c r="O147" i="30"/>
  <c r="P147" i="30"/>
  <c r="Q147" i="30"/>
  <c r="R147" i="30"/>
  <c r="S147" i="30"/>
  <c r="T147" i="30"/>
  <c r="U147" i="30"/>
  <c r="E148" i="30"/>
  <c r="F148" i="30"/>
  <c r="G148" i="30"/>
  <c r="I148" i="30"/>
  <c r="J148" i="30"/>
  <c r="K148" i="30"/>
  <c r="L34" i="29"/>
  <c r="L148" i="30" s="1"/>
  <c r="M148" i="30"/>
  <c r="N148" i="30"/>
  <c r="O148" i="30"/>
  <c r="P148" i="30"/>
  <c r="Q148" i="30"/>
  <c r="R148" i="30"/>
  <c r="S148" i="30"/>
  <c r="T148" i="30"/>
  <c r="U148" i="30"/>
  <c r="E149" i="30"/>
  <c r="F149" i="30"/>
  <c r="G149" i="30"/>
  <c r="H35" i="29"/>
  <c r="H149" i="30" s="1"/>
  <c r="I149" i="30"/>
  <c r="J149" i="30"/>
  <c r="K149" i="30"/>
  <c r="M149" i="30"/>
  <c r="N149" i="30"/>
  <c r="O149" i="30"/>
  <c r="P149" i="30"/>
  <c r="Q149" i="30"/>
  <c r="R149" i="30"/>
  <c r="S149" i="30"/>
  <c r="T149" i="30"/>
  <c r="U149" i="30"/>
  <c r="E150" i="30"/>
  <c r="F150" i="30"/>
  <c r="G150" i="30"/>
  <c r="I150" i="30"/>
  <c r="J150" i="30"/>
  <c r="K150" i="30"/>
  <c r="L36" i="29"/>
  <c r="L150" i="30" s="1"/>
  <c r="M150" i="30"/>
  <c r="N150" i="30"/>
  <c r="O150" i="30"/>
  <c r="P150" i="30"/>
  <c r="Q150" i="30"/>
  <c r="R150" i="30"/>
  <c r="S150" i="30"/>
  <c r="T150" i="30"/>
  <c r="U150" i="30"/>
  <c r="E151" i="30"/>
  <c r="F151" i="30"/>
  <c r="G151" i="30"/>
  <c r="I151" i="30"/>
  <c r="J151" i="30"/>
  <c r="K151" i="30"/>
  <c r="M151" i="30"/>
  <c r="N151" i="30"/>
  <c r="O151" i="30"/>
  <c r="P151" i="30"/>
  <c r="Q151" i="30"/>
  <c r="R151" i="30"/>
  <c r="S151" i="30"/>
  <c r="T151" i="30"/>
  <c r="U151" i="30"/>
  <c r="E152" i="30"/>
  <c r="F152" i="30"/>
  <c r="G152" i="30"/>
  <c r="H38" i="29"/>
  <c r="H152" i="30" s="1"/>
  <c r="I152" i="30"/>
  <c r="J152" i="30"/>
  <c r="K152" i="30"/>
  <c r="M152" i="30"/>
  <c r="N152" i="30"/>
  <c r="O152" i="30"/>
  <c r="P152" i="30"/>
  <c r="Q152" i="30"/>
  <c r="R152" i="30"/>
  <c r="S152" i="30"/>
  <c r="T152" i="30"/>
  <c r="U152" i="30"/>
  <c r="E153" i="30"/>
  <c r="F153" i="30"/>
  <c r="G153" i="30"/>
  <c r="I153" i="30"/>
  <c r="J153" i="30"/>
  <c r="K153" i="30"/>
  <c r="L39" i="29"/>
  <c r="L153" i="30" s="1"/>
  <c r="M153" i="30"/>
  <c r="N153" i="30"/>
  <c r="O153" i="30"/>
  <c r="P153" i="30"/>
  <c r="Q153" i="30"/>
  <c r="R153" i="30"/>
  <c r="S153" i="30"/>
  <c r="T153" i="30"/>
  <c r="U153" i="30"/>
  <c r="E154" i="30"/>
  <c r="F154" i="30"/>
  <c r="G154" i="30"/>
  <c r="I154" i="30"/>
  <c r="J154" i="30"/>
  <c r="K154" i="30"/>
  <c r="M154" i="30"/>
  <c r="N154" i="30"/>
  <c r="O154" i="30"/>
  <c r="P154" i="30"/>
  <c r="Q154" i="30"/>
  <c r="R154" i="30"/>
  <c r="S154" i="30"/>
  <c r="T154" i="30"/>
  <c r="U154" i="30"/>
  <c r="E155" i="30"/>
  <c r="F155" i="30"/>
  <c r="G155" i="30"/>
  <c r="H41" i="29"/>
  <c r="H155" i="30" s="1"/>
  <c r="I155" i="30"/>
  <c r="J155" i="30"/>
  <c r="K155" i="30"/>
  <c r="M155" i="30"/>
  <c r="N155" i="30"/>
  <c r="O155" i="30"/>
  <c r="P155" i="30"/>
  <c r="Q155" i="30"/>
  <c r="R155" i="30"/>
  <c r="S155" i="30"/>
  <c r="T155" i="30"/>
  <c r="U155" i="30"/>
  <c r="E156" i="30"/>
  <c r="F156" i="30"/>
  <c r="G156" i="30"/>
  <c r="I156" i="30"/>
  <c r="J156" i="30"/>
  <c r="K156" i="30"/>
  <c r="L42" i="29"/>
  <c r="L156" i="30" s="1"/>
  <c r="M156" i="30"/>
  <c r="N156" i="30"/>
  <c r="O156" i="30"/>
  <c r="P156" i="30"/>
  <c r="Q156" i="30"/>
  <c r="R156" i="30"/>
  <c r="S156" i="30"/>
  <c r="T156" i="30"/>
  <c r="U156" i="30"/>
  <c r="E157" i="30"/>
  <c r="F157" i="30"/>
  <c r="G157" i="30"/>
  <c r="H43" i="29"/>
  <c r="H157" i="30" s="1"/>
  <c r="I157" i="30"/>
  <c r="J157" i="30"/>
  <c r="K157" i="30"/>
  <c r="M157" i="30"/>
  <c r="N157" i="30"/>
  <c r="O157" i="30"/>
  <c r="P157" i="30"/>
  <c r="Q157" i="30"/>
  <c r="R157" i="30"/>
  <c r="S157" i="30"/>
  <c r="T157" i="30"/>
  <c r="U157" i="30"/>
  <c r="E158" i="30"/>
  <c r="F158" i="30"/>
  <c r="G158" i="30"/>
  <c r="I158" i="30"/>
  <c r="J158" i="30"/>
  <c r="K158" i="30"/>
  <c r="L44" i="29"/>
  <c r="L158" i="30" s="1"/>
  <c r="M158" i="30"/>
  <c r="N158" i="30"/>
  <c r="O158" i="30"/>
  <c r="P158" i="30"/>
  <c r="Q158" i="30"/>
  <c r="R158" i="30"/>
  <c r="S158" i="30"/>
  <c r="T158" i="30"/>
  <c r="U158" i="30"/>
  <c r="E159" i="30"/>
  <c r="F159" i="30"/>
  <c r="G159" i="30"/>
  <c r="I159" i="30"/>
  <c r="J159" i="30"/>
  <c r="K159" i="30"/>
  <c r="M159" i="30"/>
  <c r="N159" i="30"/>
  <c r="O159" i="30"/>
  <c r="P159" i="30"/>
  <c r="Q159" i="30"/>
  <c r="R159" i="30"/>
  <c r="S159" i="30"/>
  <c r="T159" i="30"/>
  <c r="U159" i="30"/>
  <c r="E160" i="30"/>
  <c r="F160" i="30"/>
  <c r="G160" i="30"/>
  <c r="H46" i="29"/>
  <c r="H160" i="30" s="1"/>
  <c r="I160" i="30"/>
  <c r="J160" i="30"/>
  <c r="K160" i="30"/>
  <c r="M160" i="30"/>
  <c r="N160" i="30"/>
  <c r="O160" i="30"/>
  <c r="P160" i="30"/>
  <c r="Q160" i="30"/>
  <c r="R160" i="30"/>
  <c r="S160" i="30"/>
  <c r="T160" i="30"/>
  <c r="U160" i="30"/>
  <c r="E161" i="30"/>
  <c r="F161" i="30"/>
  <c r="G161" i="30"/>
  <c r="I161" i="30"/>
  <c r="J161" i="30"/>
  <c r="K161" i="30"/>
  <c r="L47" i="29"/>
  <c r="L161" i="30" s="1"/>
  <c r="M161" i="30"/>
  <c r="N161" i="30"/>
  <c r="O161" i="30"/>
  <c r="P161" i="30"/>
  <c r="Q161" i="30"/>
  <c r="R161" i="30"/>
  <c r="S161" i="30"/>
  <c r="T161" i="30"/>
  <c r="U161" i="30"/>
  <c r="O2" i="28"/>
  <c r="J5" i="28"/>
  <c r="A7" i="28"/>
  <c r="H7" i="28"/>
  <c r="J7" i="28"/>
  <c r="L106" i="28"/>
  <c r="A9" i="28"/>
  <c r="H9" i="28"/>
  <c r="A10" i="28"/>
  <c r="A12" i="28"/>
  <c r="A13" i="28"/>
  <c r="L111" i="28"/>
  <c r="L117" i="28"/>
  <c r="O2" i="27"/>
  <c r="J5" i="27"/>
  <c r="A7" i="27"/>
  <c r="H7" i="27"/>
  <c r="J7" i="27"/>
  <c r="L109" i="27"/>
  <c r="L115" i="27"/>
  <c r="A9" i="27"/>
  <c r="H9" i="27"/>
  <c r="A10" i="27"/>
  <c r="A12" i="27"/>
  <c r="A13" i="27"/>
  <c r="A14" i="27"/>
  <c r="L120" i="27"/>
  <c r="L126" i="27"/>
  <c r="O2" i="26"/>
  <c r="J5" i="26"/>
  <c r="A7" i="26"/>
  <c r="H7" i="26"/>
  <c r="J7" i="26"/>
  <c r="L115" i="26"/>
  <c r="A9" i="26"/>
  <c r="H9" i="26"/>
  <c r="A10" i="26"/>
  <c r="A12" i="26"/>
  <c r="A13" i="26"/>
  <c r="A14" i="26"/>
  <c r="L120" i="26"/>
  <c r="L126" i="26"/>
  <c r="O2" i="25"/>
  <c r="J5" i="25"/>
  <c r="A7" i="25"/>
  <c r="H7" i="25"/>
  <c r="A8" i="25"/>
  <c r="H8" i="25"/>
  <c r="A10" i="25"/>
  <c r="H10" i="25"/>
  <c r="A11" i="25"/>
  <c r="H11" i="25"/>
  <c r="A13" i="25"/>
  <c r="H13" i="25"/>
  <c r="A15" i="25"/>
  <c r="E170" i="25"/>
  <c r="F170" i="25"/>
  <c r="C172" i="25"/>
  <c r="E172" i="25"/>
  <c r="F172" i="25"/>
  <c r="C173" i="25"/>
  <c r="C174" i="25"/>
  <c r="L184" i="25"/>
  <c r="L190" i="25"/>
  <c r="O2" i="24"/>
  <c r="J5" i="24"/>
  <c r="A7" i="24"/>
  <c r="A8" i="24"/>
  <c r="A10" i="24"/>
  <c r="A11" i="24"/>
  <c r="A13" i="24"/>
  <c r="A15" i="24"/>
  <c r="A16" i="24"/>
  <c r="E191" i="24"/>
  <c r="F191" i="24"/>
  <c r="C193" i="24"/>
  <c r="E193" i="24"/>
  <c r="F193" i="24"/>
  <c r="C194" i="24"/>
  <c r="C195" i="24"/>
  <c r="L205" i="24"/>
  <c r="L211" i="24"/>
  <c r="O2" i="23"/>
  <c r="J5" i="23"/>
  <c r="A7" i="23"/>
  <c r="A8" i="23"/>
  <c r="A10" i="23"/>
  <c r="H10" i="23"/>
  <c r="A11" i="23"/>
  <c r="A13" i="23"/>
  <c r="A15" i="23"/>
  <c r="A16" i="23"/>
  <c r="E193" i="23"/>
  <c r="F193" i="23"/>
  <c r="C195" i="23"/>
  <c r="E195" i="23"/>
  <c r="F195" i="23"/>
  <c r="C196" i="23"/>
  <c r="C197" i="23"/>
  <c r="L207" i="23"/>
  <c r="L213" i="23"/>
  <c r="O2" i="22"/>
  <c r="J5" i="22"/>
  <c r="A7" i="22"/>
  <c r="A8" i="22"/>
  <c r="L190" i="22"/>
  <c r="L196" i="22"/>
  <c r="A10" i="22"/>
  <c r="H10" i="22"/>
  <c r="A11" i="22"/>
  <c r="H11" i="22"/>
  <c r="A13" i="22"/>
  <c r="A15" i="22"/>
  <c r="A16" i="22"/>
  <c r="H16" i="22"/>
  <c r="E175" i="22"/>
  <c r="F175" i="22"/>
  <c r="C177" i="22"/>
  <c r="E177" i="22"/>
  <c r="F177" i="22"/>
  <c r="C178" i="22"/>
  <c r="C179" i="22"/>
  <c r="L189" i="22"/>
  <c r="L195" i="22"/>
  <c r="O2" i="21"/>
  <c r="J5" i="21"/>
  <c r="A7" i="21"/>
  <c r="H7" i="21"/>
  <c r="A8" i="21"/>
  <c r="H8" i="21"/>
  <c r="L190" i="21"/>
  <c r="L196" i="21"/>
  <c r="A10" i="21"/>
  <c r="H10" i="21"/>
  <c r="A11" i="21"/>
  <c r="H11" i="21"/>
  <c r="A13" i="21"/>
  <c r="H13" i="21"/>
  <c r="A15" i="21"/>
  <c r="H15" i="21"/>
  <c r="A16" i="21"/>
  <c r="H16" i="21"/>
  <c r="E175" i="21"/>
  <c r="F175" i="21"/>
  <c r="C177" i="21"/>
  <c r="E177" i="21"/>
  <c r="F177" i="21"/>
  <c r="C178" i="21"/>
  <c r="C179" i="21"/>
  <c r="L189" i="21"/>
  <c r="L195" i="21"/>
  <c r="O2" i="20"/>
  <c r="J5" i="20"/>
  <c r="A7" i="20"/>
  <c r="L129" i="20"/>
  <c r="L135" i="20"/>
  <c r="L141" i="20"/>
  <c r="L147" i="20"/>
  <c r="A9" i="20"/>
  <c r="H9" i="20"/>
  <c r="A10" i="20"/>
  <c r="A14" i="20"/>
  <c r="H14" i="20"/>
  <c r="A15" i="20"/>
  <c r="H15" i="20"/>
  <c r="C85" i="20"/>
  <c r="L140" i="20"/>
  <c r="L146" i="20"/>
  <c r="O2" i="19"/>
  <c r="J5" i="19"/>
  <c r="A7" i="19"/>
  <c r="A8" i="19"/>
  <c r="J8" i="19"/>
  <c r="L253" i="19"/>
  <c r="L259" i="19"/>
  <c r="A10" i="19"/>
  <c r="A11" i="19"/>
  <c r="A12" i="19"/>
  <c r="A14" i="19"/>
  <c r="A17" i="19"/>
  <c r="A18" i="19"/>
  <c r="E238" i="19"/>
  <c r="F238" i="19"/>
  <c r="C240" i="19"/>
  <c r="E240" i="19"/>
  <c r="F240" i="19"/>
  <c r="C241" i="19"/>
  <c r="C242" i="19"/>
  <c r="L252" i="19"/>
  <c r="L258" i="19"/>
  <c r="O2" i="18"/>
  <c r="J5" i="18"/>
  <c r="A7" i="18"/>
  <c r="A8" i="18"/>
  <c r="J8" i="18"/>
  <c r="L254" i="18"/>
  <c r="L260" i="18"/>
  <c r="B21" i="18"/>
  <c r="A10" i="18"/>
  <c r="A11" i="18"/>
  <c r="A12" i="18"/>
  <c r="A14" i="18"/>
  <c r="A17" i="18"/>
  <c r="A18" i="18"/>
  <c r="E239" i="18"/>
  <c r="F239" i="18"/>
  <c r="C241" i="18"/>
  <c r="E241" i="18"/>
  <c r="F241" i="18"/>
  <c r="C242" i="18"/>
  <c r="C243" i="18"/>
  <c r="L253" i="18"/>
  <c r="L259" i="18"/>
  <c r="O2" i="17"/>
  <c r="J5" i="17"/>
  <c r="A7" i="17"/>
  <c r="J8" i="17"/>
  <c r="L227" i="17"/>
  <c r="L233" i="17"/>
  <c r="B20" i="17"/>
  <c r="D20" i="17"/>
  <c r="E20" i="17"/>
  <c r="A9" i="17"/>
  <c r="H9" i="17"/>
  <c r="A10" i="17"/>
  <c r="H10" i="17"/>
  <c r="A11" i="17"/>
  <c r="A13" i="17"/>
  <c r="H13" i="17"/>
  <c r="A16" i="17"/>
  <c r="A17" i="17"/>
  <c r="H17" i="17"/>
  <c r="E212" i="17"/>
  <c r="F212" i="17"/>
  <c r="C214" i="17"/>
  <c r="E214" i="17"/>
  <c r="F214" i="17"/>
  <c r="C215" i="17"/>
  <c r="C216" i="17"/>
  <c r="L226" i="17"/>
  <c r="L232" i="17"/>
  <c r="O2" i="16"/>
  <c r="J5" i="16"/>
  <c r="A7" i="16"/>
  <c r="H7" i="16"/>
  <c r="J7" i="16"/>
  <c r="A8" i="16"/>
  <c r="J8" i="16"/>
  <c r="L237" i="16"/>
  <c r="B21" i="16" s="1"/>
  <c r="L243" i="16"/>
  <c r="D21" i="16"/>
  <c r="E21" i="16" s="1"/>
  <c r="A10" i="16"/>
  <c r="H10" i="16"/>
  <c r="A11" i="16"/>
  <c r="H11" i="16"/>
  <c r="A12" i="16"/>
  <c r="A14" i="16"/>
  <c r="H14" i="16"/>
  <c r="A17" i="16"/>
  <c r="H17" i="16"/>
  <c r="A18" i="16"/>
  <c r="H18" i="16"/>
  <c r="E222" i="16"/>
  <c r="F222" i="16"/>
  <c r="C224" i="16"/>
  <c r="E224" i="16"/>
  <c r="F224" i="16"/>
  <c r="C225" i="16"/>
  <c r="C226" i="16"/>
  <c r="L236" i="16"/>
  <c r="L242" i="16"/>
  <c r="O2" i="15"/>
  <c r="J5" i="15"/>
  <c r="A7" i="15"/>
  <c r="H7" i="15"/>
  <c r="A8" i="15"/>
  <c r="H8" i="15"/>
  <c r="J8" i="15"/>
  <c r="L237" i="15"/>
  <c r="L243" i="15"/>
  <c r="B21" i="15"/>
  <c r="D21" i="15" s="1"/>
  <c r="E21" i="15" s="1"/>
  <c r="A10" i="15"/>
  <c r="H10" i="15"/>
  <c r="A11" i="15"/>
  <c r="A12" i="15"/>
  <c r="A14" i="15"/>
  <c r="H14" i="15"/>
  <c r="A17" i="15"/>
  <c r="H17" i="15"/>
  <c r="A18" i="15"/>
  <c r="H18" i="15"/>
  <c r="E222" i="15"/>
  <c r="F222" i="15"/>
  <c r="C224" i="15"/>
  <c r="E224" i="15"/>
  <c r="F224" i="15"/>
  <c r="C225" i="15"/>
  <c r="C226" i="15"/>
  <c r="L236" i="15"/>
  <c r="L242" i="15"/>
  <c r="O2" i="14"/>
  <c r="J5" i="14"/>
  <c r="A7" i="14"/>
  <c r="A8" i="14"/>
  <c r="L189" i="14"/>
  <c r="L195" i="14"/>
  <c r="A10" i="14"/>
  <c r="H10" i="14"/>
  <c r="A12" i="14"/>
  <c r="A13" i="14"/>
  <c r="H13" i="14"/>
  <c r="A14" i="14"/>
  <c r="H14" i="14"/>
  <c r="E51" i="14"/>
  <c r="E124" i="14"/>
  <c r="E144" i="14" s="1"/>
  <c r="E174" i="14"/>
  <c r="F174" i="14"/>
  <c r="C176" i="14"/>
  <c r="E176" i="14"/>
  <c r="F176" i="14"/>
  <c r="C177" i="14"/>
  <c r="C178" i="14"/>
  <c r="L188" i="14"/>
  <c r="L194" i="14"/>
  <c r="O2" i="13"/>
  <c r="J5" i="13"/>
  <c r="A7" i="13"/>
  <c r="H7" i="13"/>
  <c r="L151" i="13"/>
  <c r="L157" i="13"/>
  <c r="A9" i="13"/>
  <c r="H9" i="13"/>
  <c r="A11" i="13"/>
  <c r="H11" i="13"/>
  <c r="A12" i="13"/>
  <c r="H12" i="13"/>
  <c r="A13" i="13"/>
  <c r="H13" i="13"/>
  <c r="E136" i="13"/>
  <c r="F136" i="13"/>
  <c r="C138" i="13"/>
  <c r="E138" i="13"/>
  <c r="F138" i="13"/>
  <c r="C139" i="13"/>
  <c r="C140" i="13"/>
  <c r="L150" i="13"/>
  <c r="L156" i="13"/>
  <c r="O2" i="12"/>
  <c r="J5" i="12"/>
  <c r="A7" i="12"/>
  <c r="H7" i="12"/>
  <c r="L160" i="12"/>
  <c r="B17" i="12" s="1"/>
  <c r="D17" i="12" s="1"/>
  <c r="E17" i="12" s="1"/>
  <c r="L166" i="12"/>
  <c r="A9" i="12"/>
  <c r="H9" i="12"/>
  <c r="A11" i="12"/>
  <c r="H11" i="12"/>
  <c r="A12" i="12"/>
  <c r="A13" i="12"/>
  <c r="H13" i="12"/>
  <c r="A14" i="12"/>
  <c r="H14" i="12"/>
  <c r="E145" i="12"/>
  <c r="F145" i="12"/>
  <c r="C147" i="12"/>
  <c r="E147" i="12"/>
  <c r="F147" i="12"/>
  <c r="C148" i="12"/>
  <c r="C149" i="12"/>
  <c r="L159" i="12"/>
  <c r="L165" i="12"/>
  <c r="O2" i="11"/>
  <c r="J5" i="11"/>
  <c r="A7" i="11"/>
  <c r="H7" i="11"/>
  <c r="L160" i="11"/>
  <c r="B17" i="11" s="1"/>
  <c r="D17" i="11" s="1"/>
  <c r="E17" i="11"/>
  <c r="L166" i="11"/>
  <c r="A9" i="11"/>
  <c r="H9" i="11"/>
  <c r="A11" i="11"/>
  <c r="H11" i="11"/>
  <c r="A12" i="11"/>
  <c r="A13" i="11"/>
  <c r="H13" i="11"/>
  <c r="A14" i="11"/>
  <c r="H14" i="11"/>
  <c r="E145" i="11"/>
  <c r="F145" i="11"/>
  <c r="C147" i="11"/>
  <c r="E147" i="11"/>
  <c r="F147" i="11"/>
  <c r="C148" i="11"/>
  <c r="C149" i="11"/>
  <c r="L159" i="11"/>
  <c r="L165" i="11"/>
  <c r="O2" i="10"/>
  <c r="J5" i="10"/>
  <c r="A7" i="10"/>
  <c r="H7" i="10"/>
  <c r="L152" i="10"/>
  <c r="B17" i="10" s="1"/>
  <c r="D17" i="10" s="1"/>
  <c r="E17" i="10"/>
  <c r="L158" i="10"/>
  <c r="A9" i="10"/>
  <c r="H9" i="10"/>
  <c r="A11" i="10"/>
  <c r="H11" i="10"/>
  <c r="A12" i="10"/>
  <c r="A13" i="10"/>
  <c r="H13" i="10"/>
  <c r="A14" i="10"/>
  <c r="H14" i="10"/>
  <c r="E137" i="10"/>
  <c r="F137" i="10"/>
  <c r="C139" i="10"/>
  <c r="E139" i="10"/>
  <c r="F139" i="10"/>
  <c r="C140" i="10"/>
  <c r="C141" i="10"/>
  <c r="L151" i="10"/>
  <c r="L157" i="10"/>
  <c r="O2" i="9"/>
  <c r="J5" i="9"/>
  <c r="A7" i="9"/>
  <c r="H7" i="9"/>
  <c r="J7" i="9"/>
  <c r="L160" i="9"/>
  <c r="L166" i="9"/>
  <c r="B17" i="9" s="1"/>
  <c r="D17" i="9" s="1"/>
  <c r="E17" i="9" s="1"/>
  <c r="A9" i="9"/>
  <c r="H9" i="9"/>
  <c r="A11" i="9"/>
  <c r="H11" i="9"/>
  <c r="A12" i="9"/>
  <c r="A13" i="9"/>
  <c r="H13" i="9"/>
  <c r="A14" i="9"/>
  <c r="H14" i="9"/>
  <c r="E145" i="9"/>
  <c r="F145" i="9"/>
  <c r="C147" i="9"/>
  <c r="E147" i="9"/>
  <c r="F147" i="9"/>
  <c r="C148" i="9"/>
  <c r="C149" i="9"/>
  <c r="L159" i="9"/>
  <c r="L165" i="9"/>
  <c r="O2" i="8"/>
  <c r="J5" i="8"/>
  <c r="A7" i="8"/>
  <c r="H7" i="8"/>
  <c r="L160" i="8"/>
  <c r="B17" i="8"/>
  <c r="D17" i="8" s="1"/>
  <c r="E17" i="8" s="1"/>
  <c r="L166" i="8"/>
  <c r="A9" i="8"/>
  <c r="H9" i="8"/>
  <c r="A11" i="8"/>
  <c r="H11" i="8"/>
  <c r="A12" i="8"/>
  <c r="A13" i="8"/>
  <c r="H13" i="8"/>
  <c r="A14" i="8"/>
  <c r="H14" i="8"/>
  <c r="E145" i="8"/>
  <c r="F145" i="8"/>
  <c r="C147" i="8"/>
  <c r="E147" i="8"/>
  <c r="F147" i="8"/>
  <c r="C148" i="8"/>
  <c r="C149" i="8"/>
  <c r="L159" i="8"/>
  <c r="L165" i="8"/>
  <c r="O2" i="7"/>
  <c r="J5" i="7"/>
  <c r="A7" i="7"/>
  <c r="L141" i="7"/>
  <c r="B16" i="7" s="1"/>
  <c r="D16" i="7" s="1"/>
  <c r="E16" i="7" s="1"/>
  <c r="L147" i="7"/>
  <c r="A9" i="7"/>
  <c r="H9" i="7"/>
  <c r="A11" i="7"/>
  <c r="H11" i="7"/>
  <c r="A12" i="7"/>
  <c r="H12" i="7"/>
  <c r="A13" i="7"/>
  <c r="H13" i="7"/>
  <c r="E97" i="7"/>
  <c r="E99" i="7" s="1"/>
  <c r="E109" i="7"/>
  <c r="F109" i="7"/>
  <c r="C111" i="7"/>
  <c r="E111" i="7"/>
  <c r="F111" i="7"/>
  <c r="C112" i="7"/>
  <c r="C113" i="7"/>
  <c r="B119" i="7"/>
  <c r="D119" i="7"/>
  <c r="E126" i="7"/>
  <c r="F126" i="7"/>
  <c r="C128" i="7"/>
  <c r="E128" i="7"/>
  <c r="F128" i="7"/>
  <c r="C129" i="7"/>
  <c r="C130" i="7"/>
  <c r="L140" i="7"/>
  <c r="L146" i="7"/>
  <c r="L2" i="5"/>
  <c r="H41" i="5"/>
  <c r="J81" i="5"/>
  <c r="E81" i="5"/>
  <c r="L2" i="4"/>
  <c r="P43" i="4"/>
  <c r="D44" i="4"/>
  <c r="H44" i="4" s="1"/>
  <c r="H45" i="4"/>
  <c r="P51" i="4"/>
  <c r="J86" i="4"/>
  <c r="E82" i="4"/>
  <c r="I82" i="4"/>
  <c r="E83" i="4" s="1"/>
  <c r="E86" i="4"/>
  <c r="I2" i="3"/>
  <c r="E103" i="9"/>
  <c r="E115" i="9" s="1"/>
  <c r="E103" i="11"/>
  <c r="E115" i="11" s="1"/>
  <c r="C8" i="14"/>
  <c r="C15" i="14"/>
  <c r="J7" i="18"/>
  <c r="J8" i="20"/>
  <c r="J6" i="20"/>
  <c r="C9" i="20" s="1"/>
  <c r="C10" i="23"/>
  <c r="C8" i="23"/>
  <c r="C7" i="23"/>
  <c r="C10" i="25"/>
  <c r="C8" i="25"/>
  <c r="J7" i="25"/>
  <c r="C7" i="25"/>
  <c r="C16" i="25"/>
  <c r="C7" i="24"/>
  <c r="J7" i="24"/>
  <c r="C17" i="24"/>
  <c r="C13" i="24"/>
  <c r="C10" i="24"/>
  <c r="C8" i="24"/>
  <c r="J7" i="17"/>
  <c r="C68" i="7"/>
  <c r="E68" i="8"/>
  <c r="E104" i="8"/>
  <c r="C78" i="10"/>
  <c r="E57" i="10"/>
  <c r="E68" i="10" s="1"/>
  <c r="E59" i="10"/>
  <c r="C81" i="11"/>
  <c r="E104" i="11"/>
  <c r="E95" i="13"/>
  <c r="E125" i="14"/>
  <c r="E145" i="14" s="1"/>
  <c r="E75" i="15"/>
  <c r="E105" i="15"/>
  <c r="E64" i="16"/>
  <c r="E66" i="16" s="1"/>
  <c r="E62" i="21"/>
  <c r="E64" i="21"/>
  <c r="E62" i="22"/>
  <c r="E73" i="22" s="1"/>
  <c r="E103" i="22" s="1"/>
  <c r="L34" i="10"/>
  <c r="O34" i="10" s="1"/>
  <c r="E113" i="23"/>
  <c r="E73" i="21"/>
  <c r="E103" i="21" s="1"/>
  <c r="E147" i="14"/>
  <c r="E116" i="11"/>
  <c r="E118" i="11" s="1"/>
  <c r="E104" i="12"/>
  <c r="I110" i="12"/>
  <c r="E114" i="19"/>
  <c r="E131" i="23"/>
  <c r="E152" i="23"/>
  <c r="E132" i="19"/>
  <c r="E152" i="19"/>
  <c r="E154" i="19" s="1"/>
  <c r="E116" i="12"/>
  <c r="E118" i="12"/>
  <c r="L132" i="10"/>
  <c r="E93" i="18"/>
  <c r="E92" i="18"/>
  <c r="E91" i="19"/>
  <c r="E90" i="19"/>
  <c r="E89" i="24"/>
  <c r="E88" i="24"/>
  <c r="E116" i="19"/>
  <c r="E118" i="19"/>
  <c r="E115" i="23"/>
  <c r="E117" i="23"/>
  <c r="B21" i="19"/>
  <c r="D21" i="19" s="1"/>
  <c r="E21" i="19" s="1"/>
  <c r="B16" i="20"/>
  <c r="B19" i="21"/>
  <c r="D19" i="21" s="1"/>
  <c r="E19" i="21" s="1"/>
  <c r="B19" i="22"/>
  <c r="D19" i="22"/>
  <c r="E19" i="22" s="1"/>
  <c r="J50" i="10"/>
  <c r="E54" i="17"/>
  <c r="E56" i="17"/>
  <c r="L26" i="20"/>
  <c r="I56" i="20"/>
  <c r="J56" i="20"/>
  <c r="K56" i="20"/>
  <c r="I51" i="20"/>
  <c r="L51" i="20" s="1"/>
  <c r="J51" i="20"/>
  <c r="K51" i="20"/>
  <c r="I49" i="20"/>
  <c r="J49" i="20"/>
  <c r="L49" i="20" s="1"/>
  <c r="K49" i="20"/>
  <c r="B19" i="24"/>
  <c r="D19" i="24" s="1"/>
  <c r="E19" i="24" s="1"/>
  <c r="B19" i="23"/>
  <c r="D19" i="23" s="1"/>
  <c r="E19" i="23"/>
  <c r="C78" i="9"/>
  <c r="C84" i="9"/>
  <c r="C85" i="9" s="1"/>
  <c r="E68" i="9"/>
  <c r="E104" i="9" s="1"/>
  <c r="C75" i="9"/>
  <c r="C75" i="8"/>
  <c r="C78" i="8"/>
  <c r="C81" i="8"/>
  <c r="C84" i="8"/>
  <c r="C85" i="8" s="1"/>
  <c r="I50" i="12"/>
  <c r="J50" i="12"/>
  <c r="L50" i="12" s="1"/>
  <c r="K50" i="12"/>
  <c r="E87" i="12"/>
  <c r="E78" i="13"/>
  <c r="C85" i="15"/>
  <c r="C125" i="15"/>
  <c r="C157" i="15"/>
  <c r="C85" i="16"/>
  <c r="C125" i="16"/>
  <c r="C157" i="16"/>
  <c r="C75" i="17"/>
  <c r="C115" i="17"/>
  <c r="C147" i="17"/>
  <c r="E102" i="14"/>
  <c r="C142" i="18"/>
  <c r="C174" i="18"/>
  <c r="C141" i="19"/>
  <c r="C173" i="19"/>
  <c r="I46" i="20"/>
  <c r="J46" i="20"/>
  <c r="K46" i="20"/>
  <c r="L46" i="20" s="1"/>
  <c r="C53" i="20"/>
  <c r="C83" i="21"/>
  <c r="C123" i="21"/>
  <c r="C83" i="22"/>
  <c r="C123" i="22"/>
  <c r="C141" i="23"/>
  <c r="C139" i="24"/>
  <c r="B18" i="25"/>
  <c r="D18" i="25" s="1"/>
  <c r="E18" i="25" s="1"/>
  <c r="E116" i="8"/>
  <c r="E107" i="13"/>
  <c r="B14" i="28"/>
  <c r="L24" i="28"/>
  <c r="L26" i="28" s="1"/>
  <c r="B7" i="28" s="1"/>
  <c r="D7" i="28" s="1"/>
  <c r="E6" i="28" s="1"/>
  <c r="L24" i="26"/>
  <c r="B15" i="26"/>
  <c r="B15" i="27"/>
  <c r="D15" i="27" s="1"/>
  <c r="E15" i="27" s="1"/>
  <c r="L24" i="27"/>
  <c r="E87" i="7"/>
  <c r="E106" i="8"/>
  <c r="K78" i="10"/>
  <c r="K76" i="10"/>
  <c r="K74" i="10"/>
  <c r="J76" i="10"/>
  <c r="E106" i="11"/>
  <c r="K122" i="12"/>
  <c r="J122" i="12"/>
  <c r="I122" i="12"/>
  <c r="E106" i="12"/>
  <c r="I106" i="12" s="1"/>
  <c r="K110" i="12"/>
  <c r="J110" i="12"/>
  <c r="K80" i="12"/>
  <c r="J80" i="12"/>
  <c r="E97" i="13"/>
  <c r="E131" i="14"/>
  <c r="E132" i="14" s="1"/>
  <c r="E129" i="14"/>
  <c r="D15" i="26"/>
  <c r="E15" i="26" s="1"/>
  <c r="D14" i="28"/>
  <c r="E14" i="28"/>
  <c r="E109" i="13"/>
  <c r="E118" i="8"/>
  <c r="I53" i="20"/>
  <c r="J53" i="20"/>
  <c r="L53" i="20" s="1"/>
  <c r="K53" i="20"/>
  <c r="C86" i="8"/>
  <c r="E106" i="9"/>
  <c r="E116" i="9"/>
  <c r="B86" i="9"/>
  <c r="E87" i="9"/>
  <c r="E86" i="9"/>
  <c r="L56" i="20"/>
  <c r="D16" i="20"/>
  <c r="E16" i="20"/>
  <c r="C86" i="9"/>
  <c r="E118" i="9"/>
  <c r="E66" i="20"/>
  <c r="K66" i="20" s="1"/>
  <c r="C12" i="20"/>
  <c r="E202" i="22"/>
  <c r="E27" i="22"/>
  <c r="I30" i="22"/>
  <c r="I33" i="22"/>
  <c r="I34" i="22"/>
  <c r="I35" i="22"/>
  <c r="I36" i="22"/>
  <c r="L36" i="22" s="1"/>
  <c r="I37" i="22"/>
  <c r="I38" i="22"/>
  <c r="I41" i="22"/>
  <c r="J30" i="22"/>
  <c r="J33" i="22"/>
  <c r="J34" i="22"/>
  <c r="J35" i="22"/>
  <c r="J36" i="22"/>
  <c r="J37" i="22"/>
  <c r="J38" i="22"/>
  <c r="J41" i="22"/>
  <c r="K30" i="22"/>
  <c r="K33" i="22"/>
  <c r="K34" i="22"/>
  <c r="K35" i="22"/>
  <c r="K36" i="22"/>
  <c r="K37" i="22"/>
  <c r="K38" i="22"/>
  <c r="K41" i="22"/>
  <c r="K43" i="22"/>
  <c r="L43" i="22" s="1"/>
  <c r="I164" i="22"/>
  <c r="L164" i="22" s="1"/>
  <c r="L165" i="22" s="1"/>
  <c r="I181" i="22"/>
  <c r="L181" i="22"/>
  <c r="L182" i="22" s="1"/>
  <c r="L184" i="22" s="1"/>
  <c r="E105" i="22"/>
  <c r="K105" i="22" s="1"/>
  <c r="E114" i="22"/>
  <c r="J105" i="22"/>
  <c r="I105" i="22"/>
  <c r="E105" i="21"/>
  <c r="E114" i="21"/>
  <c r="K35" i="20"/>
  <c r="E265" i="19"/>
  <c r="I84" i="19" s="1"/>
  <c r="I98" i="19" s="1"/>
  <c r="E29" i="19"/>
  <c r="I31" i="19"/>
  <c r="I34" i="19"/>
  <c r="I35" i="19"/>
  <c r="I36" i="19"/>
  <c r="I37" i="19"/>
  <c r="I38" i="19"/>
  <c r="I39" i="19"/>
  <c r="I40" i="19"/>
  <c r="J31" i="19"/>
  <c r="J34" i="19"/>
  <c r="J35" i="19"/>
  <c r="J36" i="19"/>
  <c r="J37" i="19"/>
  <c r="J38" i="19"/>
  <c r="J39" i="19"/>
  <c r="J40" i="19"/>
  <c r="L40" i="19" s="1"/>
  <c r="K31" i="19"/>
  <c r="K34" i="19"/>
  <c r="K35" i="19"/>
  <c r="K36" i="19"/>
  <c r="K37" i="19"/>
  <c r="K38" i="19"/>
  <c r="K39" i="19"/>
  <c r="K40" i="19"/>
  <c r="K42" i="19"/>
  <c r="L42" i="19" s="1"/>
  <c r="I227" i="19"/>
  <c r="L227" i="19" s="1"/>
  <c r="L228" i="19" s="1"/>
  <c r="I244" i="19"/>
  <c r="L244" i="19" s="1"/>
  <c r="L245" i="19" s="1"/>
  <c r="L247" i="19" s="1"/>
  <c r="B20" i="19" s="1"/>
  <c r="D20" i="19" s="1"/>
  <c r="E20" i="19" s="1"/>
  <c r="E29" i="18"/>
  <c r="I34" i="18"/>
  <c r="L34" i="18" s="1"/>
  <c r="O34" i="18" s="1"/>
  <c r="I40" i="18"/>
  <c r="J34" i="18"/>
  <c r="J40" i="18"/>
  <c r="L40" i="18" s="1"/>
  <c r="K34" i="18"/>
  <c r="K40" i="18"/>
  <c r="I228" i="18"/>
  <c r="L228" i="18" s="1"/>
  <c r="L229" i="18" s="1"/>
  <c r="E163" i="19"/>
  <c r="D21" i="18"/>
  <c r="E21" i="18"/>
  <c r="E97" i="17"/>
  <c r="E116" i="15"/>
  <c r="E136" i="15" s="1"/>
  <c r="E107" i="15"/>
  <c r="E135" i="15"/>
  <c r="E146" i="15" s="1"/>
  <c r="E104" i="20"/>
  <c r="I86" i="20"/>
  <c r="J86" i="20"/>
  <c r="K86" i="20"/>
  <c r="I84" i="20"/>
  <c r="J84" i="20"/>
  <c r="K84" i="20"/>
  <c r="I83" i="20"/>
  <c r="J83" i="20"/>
  <c r="K83" i="20"/>
  <c r="I80" i="20"/>
  <c r="J80" i="20"/>
  <c r="K80" i="20"/>
  <c r="I79" i="20"/>
  <c r="J79" i="20"/>
  <c r="K79" i="20"/>
  <c r="L38" i="22"/>
  <c r="L33" i="22"/>
  <c r="O33" i="22" s="1"/>
  <c r="I86" i="22"/>
  <c r="J86" i="22"/>
  <c r="K86" i="22"/>
  <c r="I81" i="22"/>
  <c r="J81" i="22"/>
  <c r="K81" i="22"/>
  <c r="I79" i="22"/>
  <c r="J79" i="22"/>
  <c r="K79" i="22"/>
  <c r="I53" i="22"/>
  <c r="I54" i="22"/>
  <c r="J53" i="22"/>
  <c r="J55" i="22" s="1"/>
  <c r="J54" i="22"/>
  <c r="K53" i="22"/>
  <c r="K54" i="22"/>
  <c r="I76" i="22"/>
  <c r="L76" i="22" s="1"/>
  <c r="J76" i="22"/>
  <c r="K76" i="22"/>
  <c r="I83" i="22"/>
  <c r="L83" i="22" s="1"/>
  <c r="J83" i="22"/>
  <c r="K83" i="22"/>
  <c r="E134" i="22"/>
  <c r="I126" i="22"/>
  <c r="J126" i="22"/>
  <c r="L126" i="22" s="1"/>
  <c r="K126" i="22"/>
  <c r="I121" i="22"/>
  <c r="J121" i="22"/>
  <c r="K121" i="22"/>
  <c r="I119" i="22"/>
  <c r="J119" i="22"/>
  <c r="K119" i="22"/>
  <c r="L119" i="22" s="1"/>
  <c r="I116" i="22"/>
  <c r="J116" i="22"/>
  <c r="K116" i="22"/>
  <c r="I123" i="22"/>
  <c r="J123" i="22"/>
  <c r="K123" i="22"/>
  <c r="E134" i="21"/>
  <c r="E146" i="21" s="1"/>
  <c r="B19" i="19"/>
  <c r="L233" i="19"/>
  <c r="L38" i="19"/>
  <c r="L36" i="19"/>
  <c r="O36" i="19" s="1"/>
  <c r="J85" i="19"/>
  <c r="K139" i="19"/>
  <c r="I63" i="19"/>
  <c r="J134" i="19"/>
  <c r="K116" i="19"/>
  <c r="E197" i="19"/>
  <c r="I180" i="19"/>
  <c r="J177" i="19"/>
  <c r="J169" i="19"/>
  <c r="E128" i="17"/>
  <c r="E180" i="15"/>
  <c r="E192" i="15" s="1"/>
  <c r="E116" i="20"/>
  <c r="I110" i="20"/>
  <c r="J110" i="20"/>
  <c r="K110" i="20"/>
  <c r="E106" i="20"/>
  <c r="I106" i="20" s="1"/>
  <c r="K55" i="22"/>
  <c r="L81" i="22"/>
  <c r="N38" i="22"/>
  <c r="O38" i="22"/>
  <c r="L123" i="22"/>
  <c r="E146" i="22"/>
  <c r="I140" i="22"/>
  <c r="J140" i="22"/>
  <c r="K140" i="22"/>
  <c r="E136" i="22"/>
  <c r="I136" i="22" s="1"/>
  <c r="E136" i="21"/>
  <c r="N36" i="19"/>
  <c r="E209" i="19"/>
  <c r="E199" i="19"/>
  <c r="E171" i="17"/>
  <c r="E118" i="20"/>
  <c r="I118" i="20" s="1"/>
  <c r="I122" i="20"/>
  <c r="L122" i="20" s="1"/>
  <c r="J122" i="20"/>
  <c r="K122" i="20"/>
  <c r="L140" i="22"/>
  <c r="E148" i="22"/>
  <c r="I148" i="22" s="1"/>
  <c r="I152" i="22"/>
  <c r="L152" i="22" s="1"/>
  <c r="J152" i="22"/>
  <c r="K152" i="22"/>
  <c r="E148" i="21"/>
  <c r="E183" i="17"/>
  <c r="E173" i="17"/>
  <c r="N40" i="19" l="1"/>
  <c r="O40" i="19"/>
  <c r="N36" i="22"/>
  <c r="O36" i="22"/>
  <c r="J31" i="9"/>
  <c r="J28" i="9"/>
  <c r="K118" i="20"/>
  <c r="L41" i="22"/>
  <c r="N26" i="20"/>
  <c r="L28" i="20" s="1"/>
  <c r="B7" i="20" s="1"/>
  <c r="K127" i="22"/>
  <c r="L121" i="22"/>
  <c r="K87" i="22"/>
  <c r="I55" i="22"/>
  <c r="L86" i="22"/>
  <c r="J32" i="8"/>
  <c r="J32" i="12"/>
  <c r="K106" i="20"/>
  <c r="K136" i="22"/>
  <c r="J106" i="20"/>
  <c r="L106" i="20" s="1"/>
  <c r="K59" i="12"/>
  <c r="E69" i="11"/>
  <c r="F90" i="10"/>
  <c r="J6" i="10" s="1"/>
  <c r="C11" i="10" s="1"/>
  <c r="I38" i="8"/>
  <c r="J31" i="12"/>
  <c r="E248" i="16"/>
  <c r="E76" i="16" s="1"/>
  <c r="E50" i="22"/>
  <c r="E61" i="22" s="1"/>
  <c r="E72" i="22" s="1"/>
  <c r="I127" i="22"/>
  <c r="J87" i="20"/>
  <c r="L37" i="19"/>
  <c r="J59" i="12"/>
  <c r="I38" i="12"/>
  <c r="J136" i="22"/>
  <c r="L54" i="22"/>
  <c r="N54" i="22" s="1"/>
  <c r="J118" i="19"/>
  <c r="J9" i="16"/>
  <c r="F192" i="18"/>
  <c r="K38" i="12"/>
  <c r="I32" i="12"/>
  <c r="J118" i="20"/>
  <c r="L83" i="20"/>
  <c r="K44" i="22"/>
  <c r="J44" i="22"/>
  <c r="K106" i="12"/>
  <c r="K33" i="10"/>
  <c r="L33" i="10" s="1"/>
  <c r="O33" i="10" s="1"/>
  <c r="K32" i="12"/>
  <c r="I31" i="12"/>
  <c r="L31" i="12" s="1"/>
  <c r="E172" i="8"/>
  <c r="L79" i="20"/>
  <c r="L105" i="22"/>
  <c r="I118" i="8"/>
  <c r="E153" i="7"/>
  <c r="E217" i="24"/>
  <c r="F165" i="17"/>
  <c r="J9" i="17" s="1"/>
  <c r="E69" i="10"/>
  <c r="E95" i="10"/>
  <c r="E107" i="10" s="1"/>
  <c r="J7" i="10"/>
  <c r="N37" i="19"/>
  <c r="O37" i="19"/>
  <c r="E69" i="12"/>
  <c r="E103" i="12"/>
  <c r="E115" i="12" s="1"/>
  <c r="E104" i="16"/>
  <c r="E115" i="16" s="1"/>
  <c r="C19" i="16"/>
  <c r="C15" i="16"/>
  <c r="C16" i="16"/>
  <c r="B19" i="18"/>
  <c r="L234" i="18"/>
  <c r="E69" i="8"/>
  <c r="E103" i="8"/>
  <c r="E115" i="8" s="1"/>
  <c r="K203" i="19"/>
  <c r="I169" i="19"/>
  <c r="K178" i="19"/>
  <c r="J123" i="19"/>
  <c r="I116" i="19"/>
  <c r="I134" i="19"/>
  <c r="I62" i="19"/>
  <c r="J139" i="19"/>
  <c r="I85" i="19"/>
  <c r="L116" i="22"/>
  <c r="K42" i="18"/>
  <c r="L42" i="18" s="1"/>
  <c r="K31" i="18"/>
  <c r="J31" i="18"/>
  <c r="I31" i="18"/>
  <c r="J35" i="20"/>
  <c r="L35" i="20" s="1"/>
  <c r="N35" i="20" s="1"/>
  <c r="L38" i="20" s="1"/>
  <c r="B12" i="20" s="1"/>
  <c r="D12" i="20" s="1"/>
  <c r="J106" i="8"/>
  <c r="C18" i="17"/>
  <c r="L110" i="12"/>
  <c r="J10" i="17"/>
  <c r="J35" i="8"/>
  <c r="J29" i="23"/>
  <c r="K36" i="24"/>
  <c r="J87" i="22"/>
  <c r="J171" i="19"/>
  <c r="K118" i="19"/>
  <c r="K124" i="19" s="1"/>
  <c r="J96" i="19"/>
  <c r="L96" i="19" s="1"/>
  <c r="K90" i="19"/>
  <c r="K123" i="19"/>
  <c r="I178" i="19"/>
  <c r="J52" i="19"/>
  <c r="K94" i="19"/>
  <c r="J144" i="19"/>
  <c r="K39" i="18"/>
  <c r="J39" i="18"/>
  <c r="I39" i="18"/>
  <c r="E266" i="18"/>
  <c r="K118" i="8"/>
  <c r="C8" i="15"/>
  <c r="K50" i="8"/>
  <c r="K148" i="22"/>
  <c r="K121" i="19"/>
  <c r="N33" i="22"/>
  <c r="K166" i="19"/>
  <c r="K176" i="19"/>
  <c r="K179" i="19"/>
  <c r="I118" i="19"/>
  <c r="I52" i="19"/>
  <c r="I94" i="19"/>
  <c r="I144" i="19"/>
  <c r="I90" i="19"/>
  <c r="K38" i="18"/>
  <c r="J38" i="18"/>
  <c r="I38" i="18"/>
  <c r="L38" i="18" s="1"/>
  <c r="J118" i="8"/>
  <c r="J106" i="12"/>
  <c r="L106" i="12" s="1"/>
  <c r="N106" i="12" s="1"/>
  <c r="J80" i="8"/>
  <c r="J50" i="8"/>
  <c r="E46" i="7"/>
  <c r="E57" i="7" s="1"/>
  <c r="E84" i="7" s="1"/>
  <c r="E96" i="7" s="1"/>
  <c r="I151" i="8"/>
  <c r="I142" i="13"/>
  <c r="L142" i="13" s="1"/>
  <c r="L143" i="13" s="1"/>
  <c r="L145" i="13" s="1"/>
  <c r="K40" i="8"/>
  <c r="L40" i="8" s="1"/>
  <c r="O40" i="8" s="1"/>
  <c r="I35" i="8"/>
  <c r="K31" i="13"/>
  <c r="L39" i="19"/>
  <c r="L30" i="22"/>
  <c r="I173" i="19"/>
  <c r="I171" i="19"/>
  <c r="J90" i="19"/>
  <c r="J148" i="22"/>
  <c r="J121" i="19"/>
  <c r="J127" i="22"/>
  <c r="J166" i="19"/>
  <c r="J176" i="19"/>
  <c r="J179" i="19"/>
  <c r="K141" i="19"/>
  <c r="K63" i="19"/>
  <c r="K137" i="19"/>
  <c r="K84" i="19"/>
  <c r="K98" i="19" s="1"/>
  <c r="K154" i="19"/>
  <c r="J154" i="19"/>
  <c r="K37" i="18"/>
  <c r="J37" i="18"/>
  <c r="I37" i="18"/>
  <c r="E140" i="25"/>
  <c r="K80" i="8"/>
  <c r="K81" i="8"/>
  <c r="I50" i="8"/>
  <c r="I110" i="8"/>
  <c r="I134" i="8"/>
  <c r="J9" i="19"/>
  <c r="C16" i="19" s="1"/>
  <c r="K38" i="8"/>
  <c r="I32" i="8"/>
  <c r="L32" i="8" s="1"/>
  <c r="O32" i="8" s="1"/>
  <c r="K30" i="13"/>
  <c r="K173" i="19"/>
  <c r="J178" i="19"/>
  <c r="K52" i="19"/>
  <c r="L52" i="19" s="1"/>
  <c r="N52" i="19" s="1"/>
  <c r="L55" i="19" s="1"/>
  <c r="B14" i="19" s="1"/>
  <c r="I139" i="19"/>
  <c r="L139" i="19" s="1"/>
  <c r="C14" i="17"/>
  <c r="I123" i="19"/>
  <c r="I124" i="19" s="1"/>
  <c r="L53" i="22"/>
  <c r="N53" i="22" s="1"/>
  <c r="I166" i="19"/>
  <c r="L166" i="19" s="1"/>
  <c r="I176" i="19"/>
  <c r="I179" i="19"/>
  <c r="L179" i="19" s="1"/>
  <c r="J141" i="19"/>
  <c r="K62" i="19"/>
  <c r="J137" i="19"/>
  <c r="J145" i="19" s="1"/>
  <c r="J84" i="19"/>
  <c r="J98" i="19" s="1"/>
  <c r="C16" i="15"/>
  <c r="I245" i="18"/>
  <c r="L245" i="18" s="1"/>
  <c r="L246" i="18" s="1"/>
  <c r="L248" i="18" s="1"/>
  <c r="B20" i="18" s="1"/>
  <c r="D20" i="18" s="1"/>
  <c r="E20" i="18" s="1"/>
  <c r="K36" i="18"/>
  <c r="J36" i="18"/>
  <c r="L36" i="18" s="1"/>
  <c r="I36" i="18"/>
  <c r="K43" i="19"/>
  <c r="J43" i="19"/>
  <c r="K59" i="8"/>
  <c r="I80" i="8"/>
  <c r="C7" i="16"/>
  <c r="C7" i="17"/>
  <c r="J9" i="18"/>
  <c r="C11" i="18" s="1"/>
  <c r="K35" i="8"/>
  <c r="K35" i="9"/>
  <c r="I34" i="13"/>
  <c r="J203" i="19"/>
  <c r="L86" i="20"/>
  <c r="N34" i="18"/>
  <c r="C15" i="17"/>
  <c r="L136" i="22"/>
  <c r="I121" i="19"/>
  <c r="K169" i="19"/>
  <c r="K177" i="19"/>
  <c r="K180" i="19"/>
  <c r="I141" i="19"/>
  <c r="J62" i="19"/>
  <c r="L62" i="19" s="1"/>
  <c r="N62" i="19" s="1"/>
  <c r="I137" i="19"/>
  <c r="K85" i="19"/>
  <c r="K35" i="18"/>
  <c r="J35" i="18"/>
  <c r="I81" i="8"/>
  <c r="J122" i="8"/>
  <c r="J110" i="8"/>
  <c r="E69" i="9"/>
  <c r="I33" i="13"/>
  <c r="K38" i="23"/>
  <c r="E196" i="25"/>
  <c r="L108" i="22"/>
  <c r="B14" i="22" s="1"/>
  <c r="D14" i="22" s="1"/>
  <c r="B17" i="22"/>
  <c r="L34" i="22"/>
  <c r="I44" i="22"/>
  <c r="L44" i="22" s="1"/>
  <c r="K103" i="7"/>
  <c r="J103" i="7"/>
  <c r="J66" i="7"/>
  <c r="I66" i="7"/>
  <c r="K66" i="7"/>
  <c r="K64" i="7"/>
  <c r="K91" i="7"/>
  <c r="J91" i="7"/>
  <c r="J61" i="7"/>
  <c r="K61" i="7"/>
  <c r="J68" i="7"/>
  <c r="J64" i="7"/>
  <c r="E185" i="17"/>
  <c r="N42" i="19"/>
  <c r="O42" i="19"/>
  <c r="N40" i="18"/>
  <c r="O40" i="18"/>
  <c r="D26" i="38"/>
  <c r="D30" i="38" s="1"/>
  <c r="D27" i="38"/>
  <c r="D29" i="38"/>
  <c r="D25" i="38"/>
  <c r="D31" i="38" s="1"/>
  <c r="D28" i="38"/>
  <c r="P18" i="38"/>
  <c r="L110" i="20"/>
  <c r="I64" i="19"/>
  <c r="O38" i="19"/>
  <c r="N38" i="19"/>
  <c r="L34" i="19"/>
  <c r="L31" i="19"/>
  <c r="I43" i="19"/>
  <c r="I215" i="19"/>
  <c r="J215" i="19"/>
  <c r="E211" i="19"/>
  <c r="K215" i="19"/>
  <c r="L127" i="22"/>
  <c r="O41" i="22"/>
  <c r="N41" i="22"/>
  <c r="J199" i="19"/>
  <c r="I199" i="19"/>
  <c r="K199" i="19"/>
  <c r="N110" i="12"/>
  <c r="N43" i="22"/>
  <c r="O43" i="22"/>
  <c r="N30" i="22"/>
  <c r="O30" i="22"/>
  <c r="L55" i="22"/>
  <c r="N55" i="22" s="1"/>
  <c r="L57" i="22" s="1"/>
  <c r="B8" i="22" s="1"/>
  <c r="L118" i="20"/>
  <c r="L123" i="20" s="1"/>
  <c r="B15" i="20" s="1"/>
  <c r="D15" i="20" s="1"/>
  <c r="E147" i="15"/>
  <c r="E138" i="15"/>
  <c r="L148" i="22"/>
  <c r="I87" i="22"/>
  <c r="L87" i="22" s="1"/>
  <c r="L79" i="22"/>
  <c r="L80" i="20"/>
  <c r="K87" i="20"/>
  <c r="L84" i="20"/>
  <c r="I87" i="20"/>
  <c r="L35" i="19"/>
  <c r="I203" i="19"/>
  <c r="L203" i="19" s="1"/>
  <c r="J180" i="19"/>
  <c r="L180" i="19" s="1"/>
  <c r="I177" i="19"/>
  <c r="K171" i="19"/>
  <c r="J173" i="19"/>
  <c r="L37" i="22"/>
  <c r="I86" i="8"/>
  <c r="K86" i="8"/>
  <c r="K88" i="8" s="1"/>
  <c r="J86" i="8"/>
  <c r="I59" i="10"/>
  <c r="J59" i="10"/>
  <c r="K59" i="10"/>
  <c r="L35" i="22"/>
  <c r="I154" i="19"/>
  <c r="L154" i="19" s="1"/>
  <c r="B86" i="8"/>
  <c r="E87" i="8"/>
  <c r="E86" i="8"/>
  <c r="E164" i="23"/>
  <c r="E154" i="23"/>
  <c r="C13" i="21"/>
  <c r="C7" i="21"/>
  <c r="C17" i="21"/>
  <c r="C10" i="21"/>
  <c r="J7" i="21"/>
  <c r="C8" i="21"/>
  <c r="C8" i="22"/>
  <c r="C7" i="22"/>
  <c r="J7" i="22"/>
  <c r="C17" i="22"/>
  <c r="C13" i="22"/>
  <c r="C10" i="22"/>
  <c r="I66" i="20"/>
  <c r="L66" i="20" s="1"/>
  <c r="L69" i="20" s="1"/>
  <c r="B13" i="20" s="1"/>
  <c r="J7" i="15"/>
  <c r="C14" i="15"/>
  <c r="C19" i="15"/>
  <c r="C10" i="15"/>
  <c r="J7" i="19"/>
  <c r="C14" i="19"/>
  <c r="J116" i="19"/>
  <c r="L116" i="19" s="1"/>
  <c r="K134" i="19"/>
  <c r="J63" i="19"/>
  <c r="J64" i="19" s="1"/>
  <c r="J94" i="19"/>
  <c r="L94" i="19" s="1"/>
  <c r="K144" i="19"/>
  <c r="L144" i="19" s="1"/>
  <c r="J66" i="20"/>
  <c r="K87" i="7"/>
  <c r="I87" i="7"/>
  <c r="J87" i="7"/>
  <c r="K57" i="20"/>
  <c r="J81" i="8"/>
  <c r="E96" i="10"/>
  <c r="K71" i="10"/>
  <c r="K79" i="10" s="1"/>
  <c r="J74" i="10"/>
  <c r="L74" i="10" s="1"/>
  <c r="N74" i="10" s="1"/>
  <c r="J78" i="10"/>
  <c r="I78" i="10"/>
  <c r="J71" i="10"/>
  <c r="C11" i="16"/>
  <c r="C12" i="16"/>
  <c r="J10" i="16"/>
  <c r="C14" i="16"/>
  <c r="C10" i="16"/>
  <c r="C8" i="16"/>
  <c r="C12" i="19"/>
  <c r="J10" i="19"/>
  <c r="J57" i="20"/>
  <c r="C90" i="23"/>
  <c r="C89" i="23"/>
  <c r="F98" i="11"/>
  <c r="J6" i="11" s="1"/>
  <c r="L122" i="12"/>
  <c r="N122" i="12" s="1"/>
  <c r="I57" i="20"/>
  <c r="E148" i="14"/>
  <c r="E52" i="18"/>
  <c r="E60" i="18"/>
  <c r="I99" i="7"/>
  <c r="J99" i="7"/>
  <c r="K99" i="7"/>
  <c r="K68" i="7"/>
  <c r="E127" i="14"/>
  <c r="E49" i="7"/>
  <c r="I103" i="7"/>
  <c r="I118" i="12"/>
  <c r="J118" i="12"/>
  <c r="K118" i="12"/>
  <c r="C10" i="20"/>
  <c r="E64" i="22"/>
  <c r="I91" i="7"/>
  <c r="C15" i="15"/>
  <c r="C11" i="15"/>
  <c r="J10" i="15"/>
  <c r="C12" i="15"/>
  <c r="C12" i="14"/>
  <c r="C7" i="14"/>
  <c r="C10" i="14"/>
  <c r="O31" i="12"/>
  <c r="J7" i="23"/>
  <c r="C17" i="23"/>
  <c r="C13" i="23"/>
  <c r="I68" i="7"/>
  <c r="C13" i="20"/>
  <c r="C7" i="20"/>
  <c r="D7" i="20" s="1"/>
  <c r="E6" i="20" s="1"/>
  <c r="I76" i="10"/>
  <c r="L76" i="10" s="1"/>
  <c r="N76" i="10" s="1"/>
  <c r="B77" i="13"/>
  <c r="E77" i="13"/>
  <c r="C63" i="26"/>
  <c r="C64" i="26"/>
  <c r="I50" i="10"/>
  <c r="K50" i="10"/>
  <c r="B17" i="14"/>
  <c r="D17" i="14" s="1"/>
  <c r="E17" i="14" s="1"/>
  <c r="I64" i="7"/>
  <c r="L64" i="7" s="1"/>
  <c r="E60" i="13"/>
  <c r="E94" i="13"/>
  <c r="E106" i="13" s="1"/>
  <c r="J75" i="28"/>
  <c r="L75" i="28" s="1"/>
  <c r="E81" i="28"/>
  <c r="L137" i="8"/>
  <c r="L138" i="8" s="1"/>
  <c r="H16" i="30"/>
  <c r="H25" i="30"/>
  <c r="L40" i="30"/>
  <c r="L82" i="30"/>
  <c r="H90" i="30"/>
  <c r="L112" i="30"/>
  <c r="H12" i="29"/>
  <c r="H126" i="30" s="1"/>
  <c r="L13" i="29"/>
  <c r="L127" i="30" s="1"/>
  <c r="H20" i="29"/>
  <c r="H134" i="30" s="1"/>
  <c r="L21" i="29"/>
  <c r="L135" i="30" s="1"/>
  <c r="H28" i="29"/>
  <c r="H142" i="30" s="1"/>
  <c r="L29" i="29"/>
  <c r="L143" i="30" s="1"/>
  <c r="H36" i="29"/>
  <c r="H150" i="30" s="1"/>
  <c r="L37" i="29"/>
  <c r="L151" i="30" s="1"/>
  <c r="H44" i="29"/>
  <c r="H158" i="30" s="1"/>
  <c r="L45" i="29"/>
  <c r="L159" i="30" s="1"/>
  <c r="L113" i="30"/>
  <c r="H17" i="30"/>
  <c r="H26" i="30"/>
  <c r="L42" i="30"/>
  <c r="H83" i="30"/>
  <c r="H91" i="30"/>
  <c r="L117" i="30"/>
  <c r="H15" i="29"/>
  <c r="H129" i="30" s="1"/>
  <c r="L16" i="29"/>
  <c r="L130" i="30" s="1"/>
  <c r="H23" i="29"/>
  <c r="H137" i="30" s="1"/>
  <c r="L24" i="29"/>
  <c r="L138" i="30" s="1"/>
  <c r="H31" i="29"/>
  <c r="H145" i="30" s="1"/>
  <c r="L32" i="29"/>
  <c r="L146" i="30" s="1"/>
  <c r="H39" i="29"/>
  <c r="H153" i="30" s="1"/>
  <c r="L40" i="29"/>
  <c r="L154" i="30" s="1"/>
  <c r="H47" i="29"/>
  <c r="H161" i="30" s="1"/>
  <c r="L118" i="7"/>
  <c r="L119" i="7" s="1"/>
  <c r="L214" i="16"/>
  <c r="L215" i="16" s="1"/>
  <c r="H18" i="30"/>
  <c r="H29" i="30"/>
  <c r="L45" i="30"/>
  <c r="H84" i="30"/>
  <c r="H92" i="30"/>
  <c r="L118" i="30"/>
  <c r="H10" i="29"/>
  <c r="H124" i="30" s="1"/>
  <c r="L11" i="29"/>
  <c r="L125" i="30" s="1"/>
  <c r="H18" i="29"/>
  <c r="H132" i="30" s="1"/>
  <c r="L19" i="29"/>
  <c r="L133" i="30" s="1"/>
  <c r="H26" i="29"/>
  <c r="H140" i="30" s="1"/>
  <c r="L27" i="29"/>
  <c r="L141" i="30" s="1"/>
  <c r="H34" i="29"/>
  <c r="H148" i="30" s="1"/>
  <c r="L35" i="29"/>
  <c r="L149" i="30" s="1"/>
  <c r="H42" i="29"/>
  <c r="H156" i="30" s="1"/>
  <c r="L43" i="29"/>
  <c r="L157" i="30" s="1"/>
  <c r="H19" i="30"/>
  <c r="H30" i="30"/>
  <c r="L52" i="30"/>
  <c r="H85" i="30"/>
  <c r="H93" i="30"/>
  <c r="L119" i="30"/>
  <c r="H13" i="29"/>
  <c r="H127" i="30" s="1"/>
  <c r="L14" i="29"/>
  <c r="L128" i="30" s="1"/>
  <c r="H21" i="29"/>
  <c r="H135" i="30" s="1"/>
  <c r="L22" i="29"/>
  <c r="L136" i="30" s="1"/>
  <c r="H29" i="29"/>
  <c r="H143" i="30" s="1"/>
  <c r="L30" i="29"/>
  <c r="L144" i="30" s="1"/>
  <c r="H37" i="29"/>
  <c r="H151" i="30" s="1"/>
  <c r="L38" i="29"/>
  <c r="L152" i="30" s="1"/>
  <c r="H45" i="29"/>
  <c r="H159" i="30" s="1"/>
  <c r="L46" i="29"/>
  <c r="L160" i="30" s="1"/>
  <c r="L32" i="12"/>
  <c r="H20" i="30"/>
  <c r="H31" i="30"/>
  <c r="L53" i="30"/>
  <c r="H86" i="30"/>
  <c r="H94" i="30"/>
  <c r="L9" i="29"/>
  <c r="L123" i="30" s="1"/>
  <c r="H16" i="29"/>
  <c r="H130" i="30" s="1"/>
  <c r="L17" i="29"/>
  <c r="L131" i="30" s="1"/>
  <c r="H24" i="29"/>
  <c r="H138" i="30" s="1"/>
  <c r="L25" i="29"/>
  <c r="L139" i="30" s="1"/>
  <c r="H32" i="29"/>
  <c r="H146" i="30" s="1"/>
  <c r="L33" i="29"/>
  <c r="L147" i="30" s="1"/>
  <c r="H40" i="29"/>
  <c r="H154" i="30" s="1"/>
  <c r="L41" i="29"/>
  <c r="L155" i="30" s="1"/>
  <c r="E75" i="16"/>
  <c r="I61" i="7"/>
  <c r="C68" i="35"/>
  <c r="D68" i="35"/>
  <c r="E68" i="35"/>
  <c r="R83" i="35"/>
  <c r="R86" i="35" s="1"/>
  <c r="C84" i="35" s="1"/>
  <c r="C92" i="35" s="1"/>
  <c r="F92" i="35" s="1"/>
  <c r="E50" i="24"/>
  <c r="E58" i="24"/>
  <c r="C12" i="9"/>
  <c r="C11" i="9"/>
  <c r="C9" i="9"/>
  <c r="C15" i="9"/>
  <c r="C155" i="16"/>
  <c r="Z57" i="35"/>
  <c r="AD57" i="35" s="1"/>
  <c r="AE57" i="35" s="1"/>
  <c r="B86" i="12"/>
  <c r="E86" i="12"/>
  <c r="E63" i="25"/>
  <c r="E72" i="25"/>
  <c r="E110" i="24"/>
  <c r="E128" i="24" s="1"/>
  <c r="E71" i="24"/>
  <c r="B16" i="13"/>
  <c r="D16" i="13" s="1"/>
  <c r="E16" i="13" s="1"/>
  <c r="T86" i="35"/>
  <c r="E84" i="35" s="1"/>
  <c r="E92" i="35" s="1"/>
  <c r="H92" i="35" s="1"/>
  <c r="C63" i="27"/>
  <c r="C64" i="27"/>
  <c r="C10" i="17"/>
  <c r="C11" i="17"/>
  <c r="I35" i="11"/>
  <c r="J35" i="11"/>
  <c r="K35" i="11"/>
  <c r="I31" i="11"/>
  <c r="J31" i="11"/>
  <c r="K31" i="11"/>
  <c r="I32" i="11"/>
  <c r="J32" i="11"/>
  <c r="K32" i="11"/>
  <c r="I34" i="11"/>
  <c r="J34" i="11"/>
  <c r="K34" i="11"/>
  <c r="I28" i="11"/>
  <c r="K28" i="11"/>
  <c r="I33" i="11"/>
  <c r="K33" i="11"/>
  <c r="I38" i="11"/>
  <c r="K38" i="11"/>
  <c r="K40" i="11"/>
  <c r="L40" i="11" s="1"/>
  <c r="J28" i="11"/>
  <c r="E172" i="11"/>
  <c r="J118" i="11" s="1"/>
  <c r="J33" i="11"/>
  <c r="I134" i="11"/>
  <c r="L134" i="11" s="1"/>
  <c r="L135" i="11" s="1"/>
  <c r="E25" i="11"/>
  <c r="J38" i="11"/>
  <c r="L183" i="24"/>
  <c r="L184" i="24" s="1"/>
  <c r="L167" i="22"/>
  <c r="L168" i="22" s="1"/>
  <c r="B18" i="22" s="1"/>
  <c r="D18" i="22" s="1"/>
  <c r="E18" i="22" s="1"/>
  <c r="L204" i="17"/>
  <c r="L205" i="17" s="1"/>
  <c r="S86" i="35"/>
  <c r="D84" i="35" s="1"/>
  <c r="D92" i="35" s="1"/>
  <c r="G92" i="35" s="1"/>
  <c r="I80" i="12"/>
  <c r="L151" i="8"/>
  <c r="L152" i="8" s="1"/>
  <c r="L154" i="8" s="1"/>
  <c r="I32" i="7"/>
  <c r="J31" i="7"/>
  <c r="K30" i="7"/>
  <c r="I26" i="7"/>
  <c r="J37" i="7"/>
  <c r="K34" i="7"/>
  <c r="I29" i="7"/>
  <c r="J26" i="7"/>
  <c r="K37" i="7"/>
  <c r="E24" i="7"/>
  <c r="N39" i="7" s="1"/>
  <c r="I33" i="7"/>
  <c r="K26" i="7"/>
  <c r="I34" i="7"/>
  <c r="K29" i="7"/>
  <c r="I37" i="7"/>
  <c r="K31" i="7"/>
  <c r="E59" i="7"/>
  <c r="J29" i="7"/>
  <c r="K32" i="7"/>
  <c r="I115" i="7"/>
  <c r="L115" i="7" s="1"/>
  <c r="L116" i="7" s="1"/>
  <c r="J30" i="7"/>
  <c r="L30" i="7" s="1"/>
  <c r="K33" i="7"/>
  <c r="K40" i="9"/>
  <c r="L40" i="9" s="1"/>
  <c r="I33" i="9"/>
  <c r="J33" i="9"/>
  <c r="K33" i="9"/>
  <c r="I34" i="9"/>
  <c r="J34" i="9"/>
  <c r="K34" i="9"/>
  <c r="I38" i="9"/>
  <c r="J38" i="9"/>
  <c r="K38" i="9"/>
  <c r="E172" i="9"/>
  <c r="K110" i="9" s="1"/>
  <c r="J32" i="9"/>
  <c r="E25" i="9"/>
  <c r="J35" i="9"/>
  <c r="I28" i="9"/>
  <c r="K28" i="9"/>
  <c r="I31" i="9"/>
  <c r="K31" i="9"/>
  <c r="I32" i="9"/>
  <c r="K32" i="9"/>
  <c r="L116" i="30"/>
  <c r="L143" i="10"/>
  <c r="L144" i="10" s="1"/>
  <c r="L146" i="10" s="1"/>
  <c r="B16" i="10" s="1"/>
  <c r="D16" i="10" s="1"/>
  <c r="E16" i="10" s="1"/>
  <c r="L162" i="25"/>
  <c r="L163" i="25" s="1"/>
  <c r="J6" i="7"/>
  <c r="L137" i="9"/>
  <c r="L138" i="9" s="1"/>
  <c r="C86" i="12"/>
  <c r="C53" i="28"/>
  <c r="E123" i="28"/>
  <c r="I72" i="28" s="1"/>
  <c r="J34" i="7"/>
  <c r="I151" i="9"/>
  <c r="L151" i="9" s="1"/>
  <c r="L152" i="9" s="1"/>
  <c r="L154" i="9" s="1"/>
  <c r="I35" i="9"/>
  <c r="I37" i="24"/>
  <c r="J36" i="24"/>
  <c r="K35" i="24"/>
  <c r="I32" i="24"/>
  <c r="J29" i="24"/>
  <c r="K38" i="24"/>
  <c r="I33" i="24"/>
  <c r="J32" i="24"/>
  <c r="K29" i="24"/>
  <c r="K40" i="24"/>
  <c r="L40" i="24" s="1"/>
  <c r="I34" i="24"/>
  <c r="J33" i="24"/>
  <c r="K32" i="24"/>
  <c r="I36" i="24"/>
  <c r="L36" i="24" s="1"/>
  <c r="J35" i="24"/>
  <c r="K34" i="24"/>
  <c r="E27" i="24"/>
  <c r="I35" i="24"/>
  <c r="K37" i="24"/>
  <c r="I38" i="24"/>
  <c r="E218" i="24"/>
  <c r="J34" i="24"/>
  <c r="J37" i="24"/>
  <c r="L167" i="21"/>
  <c r="L168" i="21" s="1"/>
  <c r="L128" i="13"/>
  <c r="L129" i="13" s="1"/>
  <c r="C86" i="11"/>
  <c r="J33" i="7"/>
  <c r="L134" i="12"/>
  <c r="L135" i="12" s="1"/>
  <c r="I31" i="13"/>
  <c r="J30" i="13"/>
  <c r="K27" i="13"/>
  <c r="K40" i="13"/>
  <c r="L40" i="13" s="1"/>
  <c r="E163" i="13"/>
  <c r="I35" i="13"/>
  <c r="J34" i="13"/>
  <c r="K33" i="13"/>
  <c r="E24" i="13"/>
  <c r="I38" i="13"/>
  <c r="J35" i="13"/>
  <c r="K34" i="13"/>
  <c r="I30" i="13"/>
  <c r="J27" i="13"/>
  <c r="K38" i="13"/>
  <c r="K35" i="13"/>
  <c r="J31" i="13"/>
  <c r="J32" i="13"/>
  <c r="L32" i="13" s="1"/>
  <c r="J33" i="13"/>
  <c r="I27" i="13"/>
  <c r="J38" i="13"/>
  <c r="L137" i="11"/>
  <c r="L138" i="11" s="1"/>
  <c r="Z61" i="35"/>
  <c r="AD61" i="35" s="1"/>
  <c r="AE61" i="35" s="1"/>
  <c r="C85" i="11"/>
  <c r="C102" i="14"/>
  <c r="C42" i="26"/>
  <c r="E132" i="26" s="1"/>
  <c r="C42" i="27"/>
  <c r="E132" i="27" s="1"/>
  <c r="J32" i="7"/>
  <c r="I134" i="9"/>
  <c r="L134" i="9" s="1"/>
  <c r="L135" i="9" s="1"/>
  <c r="C113" i="17"/>
  <c r="L137" i="12"/>
  <c r="L138" i="12" s="1"/>
  <c r="I31" i="7"/>
  <c r="L199" i="23"/>
  <c r="L200" i="23" s="1"/>
  <c r="L202" i="23" s="1"/>
  <c r="B18" i="23" s="1"/>
  <c r="D18" i="23" s="1"/>
  <c r="E18" i="23" s="1"/>
  <c r="K32" i="13"/>
  <c r="C78" i="12"/>
  <c r="J6" i="8"/>
  <c r="I228" i="15"/>
  <c r="L228" i="15" s="1"/>
  <c r="L229" i="15" s="1"/>
  <c r="L231" i="15" s="1"/>
  <c r="B20" i="15" s="1"/>
  <c r="D20" i="15" s="1"/>
  <c r="E20" i="15" s="1"/>
  <c r="L182" i="23"/>
  <c r="L183" i="23" s="1"/>
  <c r="J35" i="10"/>
  <c r="K33" i="12"/>
  <c r="L33" i="12" s="1"/>
  <c r="I34" i="8"/>
  <c r="J34" i="8"/>
  <c r="K34" i="8"/>
  <c r="I28" i="8"/>
  <c r="J28" i="8"/>
  <c r="K28" i="8"/>
  <c r="I31" i="8"/>
  <c r="J31" i="8"/>
  <c r="K31" i="8"/>
  <c r="E25" i="8"/>
  <c r="I33" i="8"/>
  <c r="J33" i="8"/>
  <c r="K33" i="8"/>
  <c r="K37" i="23"/>
  <c r="L134" i="8"/>
  <c r="L135" i="8" s="1"/>
  <c r="L151" i="12"/>
  <c r="L152" i="12" s="1"/>
  <c r="L154" i="12" s="1"/>
  <c r="F89" i="13"/>
  <c r="J6" i="13" s="1"/>
  <c r="E200" i="14"/>
  <c r="E64" i="14"/>
  <c r="E53" i="14"/>
  <c r="E238" i="17"/>
  <c r="E27" i="23"/>
  <c r="I38" i="23"/>
  <c r="L38" i="23" s="1"/>
  <c r="J37" i="23"/>
  <c r="K36" i="23"/>
  <c r="I33" i="23"/>
  <c r="J32" i="23"/>
  <c r="K29" i="23"/>
  <c r="K40" i="23"/>
  <c r="L40" i="23" s="1"/>
  <c r="E220" i="23"/>
  <c r="K120" i="23" s="1"/>
  <c r="I34" i="23"/>
  <c r="J33" i="23"/>
  <c r="K32" i="23"/>
  <c r="I35" i="23"/>
  <c r="J34" i="23"/>
  <c r="K33" i="23"/>
  <c r="I37" i="23"/>
  <c r="J36" i="23"/>
  <c r="K35" i="23"/>
  <c r="I132" i="7"/>
  <c r="L132" i="7" s="1"/>
  <c r="L133" i="7" s="1"/>
  <c r="L135" i="7" s="1"/>
  <c r="I151" i="11"/>
  <c r="L151" i="11" s="1"/>
  <c r="L152" i="11" s="1"/>
  <c r="L154" i="11" s="1"/>
  <c r="I32" i="10"/>
  <c r="J32" i="10"/>
  <c r="K32" i="10"/>
  <c r="I38" i="10"/>
  <c r="J38" i="10"/>
  <c r="K38" i="10"/>
  <c r="K40" i="10"/>
  <c r="L40" i="10" s="1"/>
  <c r="E25" i="10"/>
  <c r="I31" i="10"/>
  <c r="J31" i="10"/>
  <c r="K31" i="10"/>
  <c r="E50" i="21"/>
  <c r="E61" i="21" s="1"/>
  <c r="E72" i="21" s="1"/>
  <c r="E201" i="21"/>
  <c r="C81" i="12"/>
  <c r="I125" i="13"/>
  <c r="L125" i="13" s="1"/>
  <c r="L126" i="13" s="1"/>
  <c r="Q2" i="38"/>
  <c r="B2" i="37"/>
  <c r="J28" i="10"/>
  <c r="J38" i="23"/>
  <c r="C7" i="10"/>
  <c r="C15" i="10"/>
  <c r="D15" i="10" s="1"/>
  <c r="E15" i="10" s="1"/>
  <c r="C9" i="10"/>
  <c r="C12" i="10"/>
  <c r="F98" i="12"/>
  <c r="J6" i="12"/>
  <c r="I211" i="15"/>
  <c r="L211" i="15" s="1"/>
  <c r="L212" i="15" s="1"/>
  <c r="I197" i="24"/>
  <c r="L197" i="24" s="1"/>
  <c r="L198" i="24" s="1"/>
  <c r="L200" i="24" s="1"/>
  <c r="K35" i="10"/>
  <c r="I35" i="10"/>
  <c r="L35" i="10" s="1"/>
  <c r="I28" i="12"/>
  <c r="J28" i="12"/>
  <c r="K28" i="12"/>
  <c r="I34" i="12"/>
  <c r="J34" i="12"/>
  <c r="K34" i="12"/>
  <c r="I35" i="12"/>
  <c r="J35" i="12"/>
  <c r="K35" i="12"/>
  <c r="E25" i="12"/>
  <c r="K40" i="12"/>
  <c r="L40" i="12" s="1"/>
  <c r="J35" i="23"/>
  <c r="E49" i="18"/>
  <c r="E59" i="18" s="1"/>
  <c r="E71" i="18" s="1"/>
  <c r="E47" i="23"/>
  <c r="E57" i="23" s="1"/>
  <c r="E69" i="23" s="1"/>
  <c r="E49" i="19"/>
  <c r="E59" i="19" s="1"/>
  <c r="E71" i="19" s="1"/>
  <c r="L121" i="19" l="1"/>
  <c r="K158" i="23"/>
  <c r="I145" i="19"/>
  <c r="L59" i="12"/>
  <c r="N59" i="12" s="1"/>
  <c r="L62" i="12" s="1"/>
  <c r="B12" i="12" s="1"/>
  <c r="B16" i="12"/>
  <c r="D16" i="12" s="1"/>
  <c r="E16" i="12" s="1"/>
  <c r="E102" i="22"/>
  <c r="E113" i="22" s="1"/>
  <c r="E74" i="22"/>
  <c r="N79" i="22" s="1"/>
  <c r="J79" i="10"/>
  <c r="I39" i="16"/>
  <c r="K39" i="16"/>
  <c r="E249" i="16"/>
  <c r="I40" i="16"/>
  <c r="J40" i="16"/>
  <c r="K40" i="16"/>
  <c r="K43" i="16"/>
  <c r="J32" i="16"/>
  <c r="E29" i="16"/>
  <c r="I43" i="16"/>
  <c r="J43" i="16"/>
  <c r="K45" i="16"/>
  <c r="L45" i="16" s="1"/>
  <c r="J35" i="16"/>
  <c r="J37" i="16"/>
  <c r="K38" i="16"/>
  <c r="J39" i="16"/>
  <c r="I32" i="16"/>
  <c r="K32" i="16"/>
  <c r="I35" i="16"/>
  <c r="L35" i="16" s="1"/>
  <c r="K35" i="16"/>
  <c r="K37" i="16"/>
  <c r="I36" i="16"/>
  <c r="L36" i="16" s="1"/>
  <c r="J36" i="16"/>
  <c r="K36" i="16"/>
  <c r="I37" i="16"/>
  <c r="I38" i="16"/>
  <c r="J38" i="16"/>
  <c r="L34" i="13"/>
  <c r="L32" i="9"/>
  <c r="D14" i="19"/>
  <c r="L80" i="8"/>
  <c r="N80" i="8" s="1"/>
  <c r="L118" i="8"/>
  <c r="N118" i="8" s="1"/>
  <c r="K43" i="18"/>
  <c r="J59" i="8"/>
  <c r="I122" i="8"/>
  <c r="L122" i="8" s="1"/>
  <c r="I59" i="8"/>
  <c r="L59" i="8" s="1"/>
  <c r="N59" i="8" s="1"/>
  <c r="L62" i="8" s="1"/>
  <c r="B12" i="8" s="1"/>
  <c r="I106" i="8"/>
  <c r="K106" i="8"/>
  <c r="L106" i="8" s="1"/>
  <c r="N106" i="8" s="1"/>
  <c r="K122" i="8"/>
  <c r="K110" i="8"/>
  <c r="L38" i="12"/>
  <c r="O38" i="12" s="1"/>
  <c r="L29" i="7"/>
  <c r="L35" i="18"/>
  <c r="N35" i="18" s="1"/>
  <c r="L38" i="8"/>
  <c r="O38" i="8" s="1"/>
  <c r="L169" i="19"/>
  <c r="C9" i="17"/>
  <c r="C13" i="17"/>
  <c r="I211" i="16"/>
  <c r="L211" i="16" s="1"/>
  <c r="L212" i="16" s="1"/>
  <c r="L35" i="13"/>
  <c r="L111" i="20"/>
  <c r="B14" i="20" s="1"/>
  <c r="D14" i="20" s="1"/>
  <c r="L173" i="19"/>
  <c r="I29" i="24"/>
  <c r="J38" i="24"/>
  <c r="K33" i="24"/>
  <c r="I180" i="24"/>
  <c r="L180" i="24" s="1"/>
  <c r="L181" i="24" s="1"/>
  <c r="I228" i="16"/>
  <c r="L228" i="16" s="1"/>
  <c r="L229" i="16" s="1"/>
  <c r="L231" i="16" s="1"/>
  <c r="B20" i="16" s="1"/>
  <c r="D20" i="16" s="1"/>
  <c r="E20" i="16" s="1"/>
  <c r="N38" i="8"/>
  <c r="E197" i="25"/>
  <c r="J85" i="25" s="1"/>
  <c r="I36" i="25"/>
  <c r="J36" i="25"/>
  <c r="K36" i="25"/>
  <c r="J33" i="25"/>
  <c r="I37" i="25"/>
  <c r="J37" i="25"/>
  <c r="K37" i="25"/>
  <c r="I35" i="25"/>
  <c r="K35" i="25"/>
  <c r="E26" i="25"/>
  <c r="I40" i="25"/>
  <c r="J40" i="25"/>
  <c r="K40" i="25"/>
  <c r="I33" i="25"/>
  <c r="L33" i="25" s="1"/>
  <c r="N33" i="25" s="1"/>
  <c r="K33" i="25"/>
  <c r="I29" i="25"/>
  <c r="J29" i="25"/>
  <c r="K29" i="25"/>
  <c r="K42" i="25"/>
  <c r="L42" i="25" s="1"/>
  <c r="I32" i="25"/>
  <c r="J32" i="25"/>
  <c r="K32" i="25"/>
  <c r="I159" i="25"/>
  <c r="L159" i="25" s="1"/>
  <c r="L160" i="25" s="1"/>
  <c r="B16" i="25" s="1"/>
  <c r="D16" i="25" s="1"/>
  <c r="E16" i="25" s="1"/>
  <c r="J35" i="25"/>
  <c r="I34" i="25"/>
  <c r="L34" i="25" s="1"/>
  <c r="J34" i="25"/>
  <c r="K34" i="25"/>
  <c r="I176" i="25"/>
  <c r="L176" i="25" s="1"/>
  <c r="L177" i="25" s="1"/>
  <c r="L179" i="25" s="1"/>
  <c r="B17" i="25" s="1"/>
  <c r="D17" i="25" s="1"/>
  <c r="E17" i="25" s="1"/>
  <c r="E114" i="25"/>
  <c r="L31" i="7"/>
  <c r="N31" i="7" s="1"/>
  <c r="L57" i="20"/>
  <c r="L59" i="20" s="1"/>
  <c r="B9" i="20" s="1"/>
  <c r="D9" i="20" s="1"/>
  <c r="C15" i="19"/>
  <c r="C7" i="19"/>
  <c r="K64" i="19"/>
  <c r="L37" i="18"/>
  <c r="L118" i="19"/>
  <c r="O42" i="18"/>
  <c r="N42" i="18"/>
  <c r="E117" i="16"/>
  <c r="E135" i="16"/>
  <c r="E146" i="16" s="1"/>
  <c r="I41" i="24"/>
  <c r="K41" i="10"/>
  <c r="C11" i="19"/>
  <c r="I158" i="23"/>
  <c r="J181" i="19"/>
  <c r="L176" i="19"/>
  <c r="L137" i="19"/>
  <c r="C7" i="18"/>
  <c r="C8" i="18"/>
  <c r="J10" i="18"/>
  <c r="C10" i="18"/>
  <c r="C14" i="18"/>
  <c r="C19" i="18"/>
  <c r="D19" i="18" s="1"/>
  <c r="E19" i="18" s="1"/>
  <c r="L50" i="10"/>
  <c r="N50" i="10" s="1"/>
  <c r="L52" i="10" s="1"/>
  <c r="B11" i="10" s="1"/>
  <c r="D11" i="10" s="1"/>
  <c r="L34" i="12"/>
  <c r="L32" i="23"/>
  <c r="N32" i="23" s="1"/>
  <c r="L30" i="13"/>
  <c r="J41" i="9"/>
  <c r="C16" i="18"/>
  <c r="K122" i="23"/>
  <c r="L171" i="19"/>
  <c r="L141" i="19"/>
  <c r="L110" i="8"/>
  <c r="L43" i="19"/>
  <c r="L33" i="9"/>
  <c r="K41" i="12"/>
  <c r="L33" i="23"/>
  <c r="O33" i="23" s="1"/>
  <c r="C15" i="18"/>
  <c r="I110" i="9"/>
  <c r="I79" i="10"/>
  <c r="K145" i="19"/>
  <c r="L87" i="20"/>
  <c r="L89" i="20" s="1"/>
  <c r="B10" i="20" s="1"/>
  <c r="D10" i="20" s="1"/>
  <c r="L111" i="12"/>
  <c r="K118" i="9"/>
  <c r="L50" i="8"/>
  <c r="N39" i="19"/>
  <c r="O39" i="19"/>
  <c r="L178" i="19"/>
  <c r="D17" i="22"/>
  <c r="E17" i="22" s="1"/>
  <c r="C8" i="19"/>
  <c r="C10" i="19"/>
  <c r="J41" i="12"/>
  <c r="N32" i="8"/>
  <c r="L35" i="9"/>
  <c r="O35" i="9" s="1"/>
  <c r="C12" i="18"/>
  <c r="J124" i="19"/>
  <c r="J120" i="23"/>
  <c r="J118" i="9"/>
  <c r="I43" i="18"/>
  <c r="L31" i="18"/>
  <c r="L141" i="22"/>
  <c r="L33" i="24"/>
  <c r="C19" i="19"/>
  <c r="D19" i="19" s="1"/>
  <c r="E19" i="19" s="1"/>
  <c r="J158" i="23"/>
  <c r="E73" i="25"/>
  <c r="L123" i="19"/>
  <c r="L39" i="18"/>
  <c r="L35" i="8"/>
  <c r="O35" i="8" s="1"/>
  <c r="J43" i="18"/>
  <c r="L98" i="19"/>
  <c r="E23" i="27"/>
  <c r="N24" i="27" s="1"/>
  <c r="L26" i="27" s="1"/>
  <c r="I58" i="27"/>
  <c r="J58" i="27"/>
  <c r="I59" i="27"/>
  <c r="J59" i="27"/>
  <c r="K58" i="27"/>
  <c r="I33" i="27"/>
  <c r="J33" i="27"/>
  <c r="K33" i="27"/>
  <c r="K59" i="27"/>
  <c r="J68" i="27"/>
  <c r="L68" i="27" s="1"/>
  <c r="E23" i="26"/>
  <c r="N24" i="26" s="1"/>
  <c r="L26" i="26" s="1"/>
  <c r="I33" i="26"/>
  <c r="J33" i="26"/>
  <c r="J68" i="26"/>
  <c r="L68" i="26" s="1"/>
  <c r="K33" i="26"/>
  <c r="J59" i="26"/>
  <c r="I58" i="26"/>
  <c r="J58" i="26"/>
  <c r="K58" i="26"/>
  <c r="I59" i="26"/>
  <c r="K59" i="26"/>
  <c r="N32" i="13"/>
  <c r="O32" i="13"/>
  <c r="N35" i="13"/>
  <c r="O35" i="13"/>
  <c r="L31" i="9"/>
  <c r="O40" i="9"/>
  <c r="N40" i="9"/>
  <c r="J40" i="7"/>
  <c r="J41" i="11"/>
  <c r="L31" i="11"/>
  <c r="J50" i="24"/>
  <c r="I50" i="24"/>
  <c r="K50" i="24"/>
  <c r="K64" i="26"/>
  <c r="L68" i="7"/>
  <c r="N68" i="7" s="1"/>
  <c r="N30" i="7"/>
  <c r="O30" i="7"/>
  <c r="L78" i="10"/>
  <c r="N78" i="10" s="1"/>
  <c r="J122" i="23"/>
  <c r="I120" i="23"/>
  <c r="L120" i="23" s="1"/>
  <c r="O35" i="22"/>
  <c r="N35" i="22"/>
  <c r="N38" i="18"/>
  <c r="O38" i="18"/>
  <c r="L199" i="19"/>
  <c r="I211" i="19"/>
  <c r="J211" i="19"/>
  <c r="K211" i="19"/>
  <c r="I118" i="9"/>
  <c r="K69" i="7"/>
  <c r="B19" i="16"/>
  <c r="D19" i="16" s="1"/>
  <c r="E19" i="16" s="1"/>
  <c r="L217" i="16"/>
  <c r="D13" i="20"/>
  <c r="E11" i="20" s="1"/>
  <c r="I90" i="23"/>
  <c r="J90" i="23"/>
  <c r="K90" i="23"/>
  <c r="N33" i="24"/>
  <c r="O33" i="24"/>
  <c r="O33" i="9"/>
  <c r="N33" i="9"/>
  <c r="I81" i="11"/>
  <c r="J59" i="11"/>
  <c r="I50" i="11"/>
  <c r="J50" i="11"/>
  <c r="K50" i="11"/>
  <c r="J81" i="11"/>
  <c r="K110" i="11"/>
  <c r="I122" i="11"/>
  <c r="J110" i="11"/>
  <c r="I59" i="11"/>
  <c r="I106" i="11"/>
  <c r="K59" i="11"/>
  <c r="K81" i="11"/>
  <c r="J106" i="11"/>
  <c r="K106" i="11"/>
  <c r="K118" i="11"/>
  <c r="K122" i="11"/>
  <c r="J122" i="11"/>
  <c r="K80" i="11"/>
  <c r="J80" i="11"/>
  <c r="B64" i="27"/>
  <c r="E65" i="27"/>
  <c r="E64" i="27"/>
  <c r="L35" i="23"/>
  <c r="N34" i="10"/>
  <c r="N33" i="10"/>
  <c r="K50" i="13"/>
  <c r="I101" i="13"/>
  <c r="J101" i="13"/>
  <c r="J71" i="13"/>
  <c r="K72" i="13"/>
  <c r="J72" i="13"/>
  <c r="I113" i="13"/>
  <c r="J113" i="13"/>
  <c r="K113" i="13"/>
  <c r="I109" i="13"/>
  <c r="I50" i="13"/>
  <c r="J50" i="13"/>
  <c r="K101" i="13"/>
  <c r="I97" i="13"/>
  <c r="K71" i="13"/>
  <c r="K109" i="13"/>
  <c r="L38" i="9"/>
  <c r="N40" i="11"/>
  <c r="O40" i="11"/>
  <c r="J88" i="8"/>
  <c r="N44" i="22"/>
  <c r="L46" i="22" s="1"/>
  <c r="O44" i="22"/>
  <c r="L79" i="10"/>
  <c r="J41" i="13"/>
  <c r="C9" i="7"/>
  <c r="C11" i="7"/>
  <c r="C7" i="7"/>
  <c r="J7" i="7"/>
  <c r="C14" i="7"/>
  <c r="B16" i="11"/>
  <c r="D16" i="11" s="1"/>
  <c r="E16" i="11" s="1"/>
  <c r="C11" i="13"/>
  <c r="C14" i="13"/>
  <c r="C9" i="13"/>
  <c r="C7" i="13"/>
  <c r="J7" i="13"/>
  <c r="E42" i="27"/>
  <c r="L34" i="11"/>
  <c r="H68" i="35"/>
  <c r="H76" i="35" s="1"/>
  <c r="E76" i="35"/>
  <c r="E99" i="35" s="1"/>
  <c r="E84" i="28"/>
  <c r="E90" i="28"/>
  <c r="N37" i="22"/>
  <c r="O37" i="22"/>
  <c r="O35" i="10"/>
  <c r="N35" i="10"/>
  <c r="E42" i="26"/>
  <c r="L33" i="13"/>
  <c r="K41" i="13"/>
  <c r="L34" i="24"/>
  <c r="B54" i="28"/>
  <c r="E54" i="28"/>
  <c r="E55" i="28"/>
  <c r="L34" i="7"/>
  <c r="L38" i="11"/>
  <c r="L35" i="11"/>
  <c r="N82" i="24"/>
  <c r="N88" i="24"/>
  <c r="N83" i="24"/>
  <c r="D76" i="35"/>
  <c r="D99" i="35" s="1"/>
  <c r="G68" i="35"/>
  <c r="G76" i="35" s="1"/>
  <c r="E68" i="28"/>
  <c r="I71" i="13"/>
  <c r="I77" i="13"/>
  <c r="J77" i="13"/>
  <c r="K77" i="13"/>
  <c r="J64" i="22"/>
  <c r="K64" i="22"/>
  <c r="I64" i="22"/>
  <c r="I49" i="7"/>
  <c r="J49" i="7"/>
  <c r="K49" i="7"/>
  <c r="L99" i="7"/>
  <c r="E72" i="18"/>
  <c r="I62" i="18"/>
  <c r="K62" i="18"/>
  <c r="K63" i="18"/>
  <c r="J62" i="18"/>
  <c r="J63" i="18"/>
  <c r="I63" i="18"/>
  <c r="L87" i="7"/>
  <c r="N87" i="7" s="1"/>
  <c r="L59" i="10"/>
  <c r="N59" i="10" s="1"/>
  <c r="L62" i="10" s="1"/>
  <c r="B12" i="10" s="1"/>
  <c r="O34" i="25"/>
  <c r="N34" i="25"/>
  <c r="L64" i="19"/>
  <c r="N64" i="19" s="1"/>
  <c r="L66" i="19" s="1"/>
  <c r="B8" i="19" s="1"/>
  <c r="D8" i="19" s="1"/>
  <c r="N34" i="22"/>
  <c r="O34" i="22"/>
  <c r="O34" i="12"/>
  <c r="N34" i="12"/>
  <c r="C11" i="12"/>
  <c r="C12" i="12"/>
  <c r="C7" i="12"/>
  <c r="C9" i="12"/>
  <c r="C15" i="12"/>
  <c r="J7" i="12"/>
  <c r="C11" i="8"/>
  <c r="C9" i="8"/>
  <c r="C12" i="8"/>
  <c r="C15" i="8"/>
  <c r="C7" i="8"/>
  <c r="J7" i="8"/>
  <c r="B15" i="12"/>
  <c r="L140" i="12"/>
  <c r="L31" i="10"/>
  <c r="I33" i="14"/>
  <c r="J30" i="14"/>
  <c r="J40" i="14"/>
  <c r="K34" i="14"/>
  <c r="E25" i="14"/>
  <c r="I27" i="14"/>
  <c r="I37" i="14"/>
  <c r="J34" i="14"/>
  <c r="K30" i="14"/>
  <c r="K40" i="14"/>
  <c r="E201" i="14"/>
  <c r="J102" i="14" s="1"/>
  <c r="I30" i="14"/>
  <c r="I40" i="14"/>
  <c r="J35" i="14"/>
  <c r="K31" i="14"/>
  <c r="K42" i="14"/>
  <c r="L42" i="14" s="1"/>
  <c r="I32" i="14"/>
  <c r="J27" i="14"/>
  <c r="J37" i="14"/>
  <c r="K33" i="14"/>
  <c r="I31" i="14"/>
  <c r="J36" i="14"/>
  <c r="I34" i="14"/>
  <c r="J43" i="14"/>
  <c r="L43" i="14" s="1"/>
  <c r="I180" i="14"/>
  <c r="L180" i="14" s="1"/>
  <c r="L181" i="14" s="1"/>
  <c r="L183" i="14" s="1"/>
  <c r="B16" i="14" s="1"/>
  <c r="D16" i="14" s="1"/>
  <c r="E16" i="14" s="1"/>
  <c r="I35" i="14"/>
  <c r="I36" i="14"/>
  <c r="K27" i="14"/>
  <c r="E52" i="14"/>
  <c r="K32" i="14"/>
  <c r="K36" i="14"/>
  <c r="K37" i="14"/>
  <c r="I163" i="14"/>
  <c r="L163" i="14" s="1"/>
  <c r="L164" i="14" s="1"/>
  <c r="J31" i="14"/>
  <c r="E85" i="14"/>
  <c r="J32" i="14"/>
  <c r="J33" i="14"/>
  <c r="K35" i="14"/>
  <c r="B16" i="9"/>
  <c r="D16" i="9" s="1"/>
  <c r="E16" i="9" s="1"/>
  <c r="J41" i="24"/>
  <c r="L29" i="24"/>
  <c r="N29" i="7"/>
  <c r="O29" i="7"/>
  <c r="I118" i="11"/>
  <c r="L204" i="19"/>
  <c r="L153" i="22"/>
  <c r="N36" i="18"/>
  <c r="O36" i="18"/>
  <c r="L165" i="25"/>
  <c r="J69" i="7"/>
  <c r="B15" i="7"/>
  <c r="D15" i="7" s="1"/>
  <c r="E15" i="7" s="1"/>
  <c r="L34" i="8"/>
  <c r="I41" i="9"/>
  <c r="L28" i="9"/>
  <c r="L91" i="7"/>
  <c r="L103" i="7"/>
  <c r="N103" i="7" s="1"/>
  <c r="L215" i="19"/>
  <c r="B17" i="20"/>
  <c r="I81" i="12"/>
  <c r="J81" i="12"/>
  <c r="K81" i="12"/>
  <c r="N38" i="23"/>
  <c r="O38" i="23"/>
  <c r="I36" i="21"/>
  <c r="J36" i="21"/>
  <c r="K36" i="21"/>
  <c r="E202" i="21"/>
  <c r="I37" i="21"/>
  <c r="J37" i="21"/>
  <c r="K37" i="21"/>
  <c r="I181" i="21"/>
  <c r="L181" i="21" s="1"/>
  <c r="L182" i="21" s="1"/>
  <c r="L184" i="21" s="1"/>
  <c r="B18" i="21" s="1"/>
  <c r="D18" i="21" s="1"/>
  <c r="E18" i="21" s="1"/>
  <c r="I38" i="21"/>
  <c r="J38" i="21"/>
  <c r="K38" i="21"/>
  <c r="E27" i="21"/>
  <c r="I41" i="21"/>
  <c r="J41" i="21"/>
  <c r="K41" i="21"/>
  <c r="I30" i="21"/>
  <c r="K30" i="21"/>
  <c r="I33" i="21"/>
  <c r="K33" i="21"/>
  <c r="I34" i="21"/>
  <c r="K34" i="21"/>
  <c r="I35" i="21"/>
  <c r="K35" i="21"/>
  <c r="J30" i="21"/>
  <c r="K43" i="21"/>
  <c r="L43" i="21" s="1"/>
  <c r="I164" i="21"/>
  <c r="L164" i="21" s="1"/>
  <c r="L165" i="21" s="1"/>
  <c r="J33" i="21"/>
  <c r="J35" i="21"/>
  <c r="J34" i="21"/>
  <c r="L36" i="23"/>
  <c r="K139" i="23"/>
  <c r="J137" i="23"/>
  <c r="J61" i="23"/>
  <c r="K134" i="23"/>
  <c r="K137" i="23"/>
  <c r="K60" i="23"/>
  <c r="K61" i="23"/>
  <c r="I144" i="23"/>
  <c r="I50" i="23"/>
  <c r="J50" i="23"/>
  <c r="K50" i="23"/>
  <c r="K144" i="23"/>
  <c r="I134" i="23"/>
  <c r="I139" i="23"/>
  <c r="J134" i="23"/>
  <c r="J139" i="23"/>
  <c r="J115" i="23"/>
  <c r="K115" i="23"/>
  <c r="I141" i="23"/>
  <c r="L141" i="23" s="1"/>
  <c r="J141" i="23"/>
  <c r="I61" i="23"/>
  <c r="L61" i="23" s="1"/>
  <c r="N61" i="23" s="1"/>
  <c r="K141" i="23"/>
  <c r="J60" i="23"/>
  <c r="I115" i="23"/>
  <c r="I60" i="23"/>
  <c r="I84" i="23"/>
  <c r="I97" i="23" s="1"/>
  <c r="K85" i="23"/>
  <c r="I85" i="23"/>
  <c r="J93" i="23"/>
  <c r="K93" i="23"/>
  <c r="J84" i="23"/>
  <c r="J97" i="23" s="1"/>
  <c r="K84" i="23"/>
  <c r="K97" i="23" s="1"/>
  <c r="I93" i="23"/>
  <c r="J85" i="23"/>
  <c r="B15" i="8"/>
  <c r="L140" i="8"/>
  <c r="L31" i="8"/>
  <c r="L38" i="13"/>
  <c r="L35" i="24"/>
  <c r="N40" i="24"/>
  <c r="O40" i="24"/>
  <c r="J95" i="23"/>
  <c r="L95" i="23" s="1"/>
  <c r="L34" i="9"/>
  <c r="B14" i="7"/>
  <c r="L121" i="7"/>
  <c r="K40" i="7"/>
  <c r="I40" i="7"/>
  <c r="L40" i="7" s="1"/>
  <c r="L26" i="7"/>
  <c r="B15" i="13"/>
  <c r="D15" i="13" s="1"/>
  <c r="E15" i="13" s="1"/>
  <c r="E130" i="24"/>
  <c r="E149" i="24"/>
  <c r="E161" i="24" s="1"/>
  <c r="I41" i="23"/>
  <c r="F68" i="35"/>
  <c r="F76" i="35" s="1"/>
  <c r="C76" i="35"/>
  <c r="C99" i="35" s="1"/>
  <c r="N64" i="7"/>
  <c r="J127" i="14"/>
  <c r="K52" i="18"/>
  <c r="I52" i="18"/>
  <c r="J52" i="18"/>
  <c r="C9" i="11"/>
  <c r="C11" i="11"/>
  <c r="C7" i="11"/>
  <c r="C15" i="11"/>
  <c r="C12" i="11"/>
  <c r="J7" i="11"/>
  <c r="I102" i="10"/>
  <c r="E108" i="10"/>
  <c r="E98" i="10"/>
  <c r="K102" i="10"/>
  <c r="J102" i="10"/>
  <c r="J106" i="9"/>
  <c r="K117" i="23"/>
  <c r="I154" i="23"/>
  <c r="J154" i="23"/>
  <c r="K154" i="23"/>
  <c r="J109" i="13"/>
  <c r="E181" i="15"/>
  <c r="L129" i="22"/>
  <c r="B11" i="22" s="1"/>
  <c r="D11" i="22" s="1"/>
  <c r="N43" i="19"/>
  <c r="L45" i="19" s="1"/>
  <c r="O43" i="19"/>
  <c r="L134" i="19"/>
  <c r="L170" i="22"/>
  <c r="I41" i="8"/>
  <c r="L28" i="8"/>
  <c r="L32" i="7"/>
  <c r="N75" i="28"/>
  <c r="N40" i="12"/>
  <c r="O40" i="12"/>
  <c r="L33" i="8"/>
  <c r="K41" i="9"/>
  <c r="L158" i="23"/>
  <c r="I41" i="12"/>
  <c r="L28" i="12"/>
  <c r="N40" i="10"/>
  <c r="O40" i="10"/>
  <c r="I41" i="13"/>
  <c r="L41" i="13" s="1"/>
  <c r="L27" i="13"/>
  <c r="O40" i="13"/>
  <c r="N40" i="13"/>
  <c r="L32" i="24"/>
  <c r="J49" i="28"/>
  <c r="K48" i="28"/>
  <c r="K49" i="28"/>
  <c r="J58" i="28"/>
  <c r="L58" i="28" s="1"/>
  <c r="I49" i="28"/>
  <c r="I48" i="28"/>
  <c r="J48" i="28"/>
  <c r="I72" i="13"/>
  <c r="I181" i="19"/>
  <c r="L177" i="19"/>
  <c r="N35" i="19"/>
  <c r="O35" i="19"/>
  <c r="L34" i="23"/>
  <c r="N33" i="12"/>
  <c r="O33" i="12"/>
  <c r="E33" i="28"/>
  <c r="E113" i="19"/>
  <c r="E131" i="19"/>
  <c r="E73" i="19"/>
  <c r="N116" i="19" s="1"/>
  <c r="L35" i="12"/>
  <c r="E112" i="23"/>
  <c r="E130" i="23" s="1"/>
  <c r="E71" i="23"/>
  <c r="B18" i="24"/>
  <c r="D18" i="24" s="1"/>
  <c r="E18" i="24" s="1"/>
  <c r="E102" i="21"/>
  <c r="E113" i="21" s="1"/>
  <c r="E74" i="21"/>
  <c r="L38" i="10"/>
  <c r="L37" i="23"/>
  <c r="N40" i="23"/>
  <c r="O40" i="23"/>
  <c r="I37" i="17"/>
  <c r="J37" i="17"/>
  <c r="K37" i="17"/>
  <c r="I218" i="17"/>
  <c r="L218" i="17" s="1"/>
  <c r="L219" i="17" s="1"/>
  <c r="L221" i="17" s="1"/>
  <c r="B19" i="17" s="1"/>
  <c r="D19" i="17" s="1"/>
  <c r="E19" i="17" s="1"/>
  <c r="I38" i="17"/>
  <c r="J38" i="17"/>
  <c r="K38" i="17"/>
  <c r="E28" i="17"/>
  <c r="I42" i="17"/>
  <c r="J42" i="17"/>
  <c r="K42" i="17"/>
  <c r="J34" i="17"/>
  <c r="K39" i="17"/>
  <c r="E239" i="17"/>
  <c r="I185" i="17" s="1"/>
  <c r="J35" i="17"/>
  <c r="E66" i="17"/>
  <c r="K44" i="17"/>
  <c r="L44" i="17" s="1"/>
  <c r="I31" i="17"/>
  <c r="J36" i="17"/>
  <c r="I201" i="17"/>
  <c r="L201" i="17" s="1"/>
  <c r="L202" i="17" s="1"/>
  <c r="I34" i="17"/>
  <c r="J39" i="17"/>
  <c r="I35" i="17"/>
  <c r="K31" i="17"/>
  <c r="E107" i="17"/>
  <c r="E138" i="17"/>
  <c r="I39" i="17"/>
  <c r="J31" i="17"/>
  <c r="K34" i="17"/>
  <c r="K35" i="17"/>
  <c r="K36" i="17"/>
  <c r="I36" i="17"/>
  <c r="K41" i="8"/>
  <c r="L188" i="23"/>
  <c r="B17" i="23"/>
  <c r="D17" i="23" s="1"/>
  <c r="E17" i="23" s="1"/>
  <c r="E86" i="11"/>
  <c r="B86" i="11"/>
  <c r="E87" i="11"/>
  <c r="L31" i="13"/>
  <c r="K41" i="24"/>
  <c r="L37" i="24"/>
  <c r="L33" i="7"/>
  <c r="B16" i="8"/>
  <c r="D16" i="8" s="1"/>
  <c r="E16" i="8" s="1"/>
  <c r="B15" i="11"/>
  <c r="L140" i="11"/>
  <c r="L33" i="11"/>
  <c r="L32" i="11"/>
  <c r="E102" i="25"/>
  <c r="J82" i="25"/>
  <c r="J75" i="25"/>
  <c r="J43" i="15"/>
  <c r="K43" i="15"/>
  <c r="K37" i="15"/>
  <c r="K38" i="15"/>
  <c r="K40" i="15"/>
  <c r="K39" i="15"/>
  <c r="K45" i="15"/>
  <c r="L45" i="15" s="1"/>
  <c r="K32" i="15"/>
  <c r="K35" i="15"/>
  <c r="K36" i="15"/>
  <c r="E117" i="15"/>
  <c r="E249" i="15"/>
  <c r="I138" i="15" s="1"/>
  <c r="I38" i="15"/>
  <c r="J37" i="15"/>
  <c r="I32" i="15"/>
  <c r="J32" i="15"/>
  <c r="I37" i="15"/>
  <c r="J38" i="15"/>
  <c r="I35" i="15"/>
  <c r="J35" i="15"/>
  <c r="I36" i="15"/>
  <c r="J36" i="15"/>
  <c r="E148" i="15"/>
  <c r="I39" i="15"/>
  <c r="J39" i="15"/>
  <c r="I40" i="15"/>
  <c r="I43" i="15"/>
  <c r="L43" i="15" s="1"/>
  <c r="J40" i="15"/>
  <c r="E29" i="15"/>
  <c r="E76" i="15"/>
  <c r="I69" i="7"/>
  <c r="L61" i="7"/>
  <c r="N61" i="7" s="1"/>
  <c r="O32" i="12"/>
  <c r="N32" i="12"/>
  <c r="J72" i="28"/>
  <c r="J144" i="23"/>
  <c r="J80" i="9"/>
  <c r="K97" i="13"/>
  <c r="J117" i="23"/>
  <c r="I122" i="23"/>
  <c r="L81" i="8"/>
  <c r="N81" i="8" s="1"/>
  <c r="K181" i="19"/>
  <c r="B13" i="12"/>
  <c r="D13" i="12" s="1"/>
  <c r="N111" i="12"/>
  <c r="N31" i="19"/>
  <c r="O31" i="19"/>
  <c r="L145" i="19"/>
  <c r="N38" i="12"/>
  <c r="L63" i="19"/>
  <c r="N63" i="19" s="1"/>
  <c r="K185" i="17"/>
  <c r="N34" i="13"/>
  <c r="O34" i="13"/>
  <c r="I41" i="11"/>
  <c r="L41" i="11" s="1"/>
  <c r="L28" i="11"/>
  <c r="E70" i="24"/>
  <c r="J61" i="24"/>
  <c r="K60" i="24"/>
  <c r="K61" i="24"/>
  <c r="I60" i="24"/>
  <c r="I61" i="24"/>
  <c r="J60" i="24"/>
  <c r="L157" i="19"/>
  <c r="B16" i="19" s="1"/>
  <c r="D16" i="19" s="1"/>
  <c r="O33" i="25"/>
  <c r="L156" i="20"/>
  <c r="L32" i="10"/>
  <c r="J41" i="23"/>
  <c r="N36" i="24"/>
  <c r="O36" i="24"/>
  <c r="D12" i="10"/>
  <c r="N40" i="8"/>
  <c r="N35" i="8"/>
  <c r="N50" i="8"/>
  <c r="L52" i="8" s="1"/>
  <c r="B11" i="8" s="1"/>
  <c r="N30" i="13"/>
  <c r="O30" i="13"/>
  <c r="J86" i="11"/>
  <c r="K86" i="11"/>
  <c r="I86" i="11"/>
  <c r="L37" i="7"/>
  <c r="B64" i="26"/>
  <c r="I64" i="26" s="1"/>
  <c r="E64" i="26"/>
  <c r="E65" i="26"/>
  <c r="I110" i="11"/>
  <c r="L110" i="11" s="1"/>
  <c r="I80" i="11"/>
  <c r="L118" i="12"/>
  <c r="L86" i="8"/>
  <c r="N86" i="8" s="1"/>
  <c r="B14" i="13"/>
  <c r="L131" i="13"/>
  <c r="L38" i="24"/>
  <c r="E114" i="18"/>
  <c r="E132" i="18" s="1"/>
  <c r="E73" i="18"/>
  <c r="B19" i="15"/>
  <c r="D19" i="15" s="1"/>
  <c r="E19" i="15" s="1"/>
  <c r="L217" i="15"/>
  <c r="J41" i="10"/>
  <c r="L28" i="10"/>
  <c r="K41" i="23"/>
  <c r="L29" i="23"/>
  <c r="J53" i="14"/>
  <c r="J41" i="8"/>
  <c r="B15" i="9"/>
  <c r="D15" i="9" s="1"/>
  <c r="E15" i="9" s="1"/>
  <c r="L140" i="9"/>
  <c r="B17" i="24"/>
  <c r="D17" i="24" s="1"/>
  <c r="E17" i="24" s="1"/>
  <c r="L186" i="24"/>
  <c r="I41" i="10"/>
  <c r="I86" i="12"/>
  <c r="J86" i="12"/>
  <c r="K86" i="12"/>
  <c r="O32" i="9"/>
  <c r="N32" i="9"/>
  <c r="I59" i="9"/>
  <c r="I50" i="9"/>
  <c r="K81" i="9"/>
  <c r="K80" i="9"/>
  <c r="K88" i="9" s="1"/>
  <c r="J59" i="9"/>
  <c r="J81" i="9"/>
  <c r="K59" i="9"/>
  <c r="I122" i="9"/>
  <c r="J122" i="9"/>
  <c r="I86" i="9"/>
  <c r="K122" i="9"/>
  <c r="I80" i="9"/>
  <c r="J86" i="9"/>
  <c r="I106" i="9"/>
  <c r="I81" i="9"/>
  <c r="J50" i="9"/>
  <c r="K50" i="9"/>
  <c r="K86" i="9"/>
  <c r="K106" i="9"/>
  <c r="L80" i="12"/>
  <c r="N80" i="12" s="1"/>
  <c r="K41" i="11"/>
  <c r="J64" i="27"/>
  <c r="K64" i="27"/>
  <c r="I64" i="27"/>
  <c r="E105" i="16"/>
  <c r="J88" i="16"/>
  <c r="I81" i="16"/>
  <c r="K81" i="16"/>
  <c r="K88" i="16"/>
  <c r="J81" i="16"/>
  <c r="I78" i="16"/>
  <c r="J78" i="16"/>
  <c r="I83" i="16"/>
  <c r="I85" i="16"/>
  <c r="J83" i="16"/>
  <c r="K78" i="16"/>
  <c r="I88" i="16"/>
  <c r="K85" i="16"/>
  <c r="K83" i="16"/>
  <c r="J85" i="16"/>
  <c r="K72" i="28"/>
  <c r="N31" i="12"/>
  <c r="I137" i="23"/>
  <c r="J110" i="9"/>
  <c r="E91" i="23"/>
  <c r="E90" i="23"/>
  <c r="J97" i="13"/>
  <c r="L71" i="10"/>
  <c r="N71" i="10" s="1"/>
  <c r="I117" i="23"/>
  <c r="D8" i="22"/>
  <c r="E166" i="23"/>
  <c r="I170" i="23"/>
  <c r="J170" i="23"/>
  <c r="K170" i="23"/>
  <c r="N50" i="12"/>
  <c r="L52" i="12" s="1"/>
  <c r="B11" i="12" s="1"/>
  <c r="I88" i="8"/>
  <c r="L88" i="8" s="1"/>
  <c r="N34" i="19"/>
  <c r="O34" i="19"/>
  <c r="L124" i="19"/>
  <c r="L92" i="20"/>
  <c r="I94" i="20" s="1"/>
  <c r="L66" i="7"/>
  <c r="N66" i="7" s="1"/>
  <c r="N122" i="8" l="1"/>
  <c r="L123" i="8"/>
  <c r="I155" i="15"/>
  <c r="L81" i="12"/>
  <c r="N81" i="12" s="1"/>
  <c r="N45" i="16"/>
  <c r="O45" i="16"/>
  <c r="L40" i="16"/>
  <c r="N87" i="22"/>
  <c r="L89" i="22" s="1"/>
  <c r="B10" i="22" s="1"/>
  <c r="D10" i="22" s="1"/>
  <c r="E9" i="22" s="1"/>
  <c r="D12" i="12"/>
  <c r="N35" i="16"/>
  <c r="O35" i="16"/>
  <c r="J66" i="16"/>
  <c r="K66" i="16"/>
  <c r="I66" i="16"/>
  <c r="I55" i="16"/>
  <c r="I56" i="16"/>
  <c r="K55" i="16"/>
  <c r="J55" i="16"/>
  <c r="J57" i="16" s="1"/>
  <c r="J56" i="16"/>
  <c r="K56" i="16"/>
  <c r="D12" i="8"/>
  <c r="L43" i="18"/>
  <c r="L38" i="16"/>
  <c r="K46" i="16"/>
  <c r="L43" i="16"/>
  <c r="L37" i="16"/>
  <c r="I46" i="16"/>
  <c r="L32" i="16"/>
  <c r="L39" i="16"/>
  <c r="N95" i="23"/>
  <c r="L50" i="11"/>
  <c r="N50" i="11" s="1"/>
  <c r="L52" i="11" s="1"/>
  <c r="B11" i="11" s="1"/>
  <c r="D11" i="11" s="1"/>
  <c r="O35" i="18"/>
  <c r="J46" i="16"/>
  <c r="L46" i="16" s="1"/>
  <c r="N36" i="16"/>
  <c r="O36" i="16"/>
  <c r="N105" i="22"/>
  <c r="N81" i="22"/>
  <c r="N86" i="22"/>
  <c r="N76" i="22"/>
  <c r="N83" i="22"/>
  <c r="L86" i="12"/>
  <c r="N86" i="12" s="1"/>
  <c r="L117" i="23"/>
  <c r="N117" i="23" s="1"/>
  <c r="L35" i="25"/>
  <c r="E133" i="22"/>
  <c r="E145" i="22" s="1"/>
  <c r="E115" i="22"/>
  <c r="N43" i="18"/>
  <c r="L45" i="18" s="1"/>
  <c r="O43" i="18"/>
  <c r="N31" i="18"/>
  <c r="O31" i="18"/>
  <c r="I53" i="14"/>
  <c r="L36" i="15"/>
  <c r="J80" i="25"/>
  <c r="J78" i="25"/>
  <c r="J150" i="15"/>
  <c r="I127" i="14"/>
  <c r="D11" i="12"/>
  <c r="N120" i="23"/>
  <c r="N110" i="8"/>
  <c r="L111" i="8"/>
  <c r="E8" i="20"/>
  <c r="E17" i="20" s="1"/>
  <c r="N8" i="20" s="1"/>
  <c r="O35" i="25"/>
  <c r="N35" i="25"/>
  <c r="K85" i="25"/>
  <c r="O31" i="7"/>
  <c r="L72" i="28"/>
  <c r="K82" i="25"/>
  <c r="I78" i="25"/>
  <c r="K123" i="23"/>
  <c r="L41" i="24"/>
  <c r="O41" i="24" s="1"/>
  <c r="N33" i="23"/>
  <c r="L37" i="25"/>
  <c r="L29" i="25"/>
  <c r="I43" i="25"/>
  <c r="L211" i="19"/>
  <c r="I63" i="25"/>
  <c r="L122" i="23"/>
  <c r="N122" i="23" s="1"/>
  <c r="K75" i="25"/>
  <c r="L72" i="13"/>
  <c r="N72" i="13" s="1"/>
  <c r="L41" i="12"/>
  <c r="N35" i="9"/>
  <c r="J79" i="13"/>
  <c r="O32" i="23"/>
  <c r="L32" i="25"/>
  <c r="N39" i="18"/>
  <c r="O39" i="18"/>
  <c r="E148" i="16"/>
  <c r="E180" i="16"/>
  <c r="E192" i="16" s="1"/>
  <c r="K52" i="25"/>
  <c r="K53" i="25"/>
  <c r="I52" i="25"/>
  <c r="I53" i="25"/>
  <c r="J52" i="25"/>
  <c r="J53" i="25"/>
  <c r="K160" i="15"/>
  <c r="L81" i="9"/>
  <c r="N81" i="9" s="1"/>
  <c r="J64" i="14"/>
  <c r="I82" i="25"/>
  <c r="L102" i="10"/>
  <c r="I102" i="14"/>
  <c r="N37" i="18"/>
  <c r="O37" i="18"/>
  <c r="N42" i="25"/>
  <c r="O42" i="25"/>
  <c r="L40" i="25"/>
  <c r="L59" i="11"/>
  <c r="N59" i="11" s="1"/>
  <c r="L62" i="11" s="1"/>
  <c r="B12" i="11" s="1"/>
  <c r="K63" i="25"/>
  <c r="I80" i="25"/>
  <c r="K113" i="17"/>
  <c r="L110" i="9"/>
  <c r="L111" i="9" s="1"/>
  <c r="I64" i="14"/>
  <c r="K78" i="25"/>
  <c r="I85" i="25"/>
  <c r="I163" i="15"/>
  <c r="K102" i="14"/>
  <c r="J62" i="23"/>
  <c r="L31" i="14"/>
  <c r="N31" i="14" s="1"/>
  <c r="L40" i="14"/>
  <c r="N40" i="14" s="1"/>
  <c r="L101" i="13"/>
  <c r="B15" i="22"/>
  <c r="D15" i="22" s="1"/>
  <c r="N141" i="22"/>
  <c r="K43" i="25"/>
  <c r="J63" i="25"/>
  <c r="L85" i="16"/>
  <c r="N85" i="16" s="1"/>
  <c r="K53" i="14"/>
  <c r="L53" i="14" s="1"/>
  <c r="N53" i="14" s="1"/>
  <c r="K64" i="14"/>
  <c r="L64" i="14" s="1"/>
  <c r="N64" i="14" s="1"/>
  <c r="L69" i="7"/>
  <c r="K80" i="25"/>
  <c r="I75" i="25"/>
  <c r="L35" i="17"/>
  <c r="L49" i="28"/>
  <c r="N49" i="28" s="1"/>
  <c r="D12" i="11"/>
  <c r="K127" i="14"/>
  <c r="L118" i="11"/>
  <c r="N118" i="11" s="1"/>
  <c r="L30" i="14"/>
  <c r="L63" i="18"/>
  <c r="N63" i="18" s="1"/>
  <c r="L118" i="9"/>
  <c r="J43" i="25"/>
  <c r="L36" i="25"/>
  <c r="N72" i="28"/>
  <c r="L77" i="28"/>
  <c r="N41" i="24"/>
  <c r="L43" i="24" s="1"/>
  <c r="N32" i="11"/>
  <c r="O32" i="11"/>
  <c r="J69" i="27"/>
  <c r="N124" i="19"/>
  <c r="L126" i="19"/>
  <c r="L83" i="16"/>
  <c r="N83" i="16" s="1"/>
  <c r="E116" i="16"/>
  <c r="E107" i="16"/>
  <c r="L106" i="9"/>
  <c r="N106" i="9" s="1"/>
  <c r="I82" i="24"/>
  <c r="I95" i="24" s="1"/>
  <c r="J82" i="24"/>
  <c r="J95" i="24" s="1"/>
  <c r="K82" i="24"/>
  <c r="K95" i="24" s="1"/>
  <c r="J83" i="24"/>
  <c r="K83" i="24"/>
  <c r="E111" i="24"/>
  <c r="K88" i="24"/>
  <c r="I91" i="24"/>
  <c r="J91" i="24"/>
  <c r="K91" i="24"/>
  <c r="J93" i="24"/>
  <c r="L93" i="24" s="1"/>
  <c r="I83" i="24"/>
  <c r="J88" i="24"/>
  <c r="I88" i="24"/>
  <c r="J185" i="17"/>
  <c r="L185" i="17" s="1"/>
  <c r="J88" i="9"/>
  <c r="O33" i="11"/>
  <c r="N33" i="11"/>
  <c r="N44" i="17"/>
  <c r="O44" i="17"/>
  <c r="L42" i="17"/>
  <c r="L37" i="17"/>
  <c r="N90" i="23"/>
  <c r="N84" i="23"/>
  <c r="N85" i="23"/>
  <c r="N58" i="28"/>
  <c r="N41" i="13"/>
  <c r="L43" i="13" s="1"/>
  <c r="O41" i="13"/>
  <c r="L41" i="8"/>
  <c r="E193" i="15"/>
  <c r="E183" i="15"/>
  <c r="I187" i="15"/>
  <c r="K187" i="15"/>
  <c r="J187" i="15"/>
  <c r="K157" i="15"/>
  <c r="K150" i="15"/>
  <c r="I164" i="15"/>
  <c r="K145" i="23"/>
  <c r="L170" i="21"/>
  <c r="B17" i="21"/>
  <c r="D17" i="21" s="1"/>
  <c r="E17" i="21" s="1"/>
  <c r="L33" i="21"/>
  <c r="B17" i="19"/>
  <c r="D17" i="19" s="1"/>
  <c r="L34" i="14"/>
  <c r="L37" i="14"/>
  <c r="E115" i="18"/>
  <c r="J97" i="18"/>
  <c r="L97" i="18" s="1"/>
  <c r="N97" i="18" s="1"/>
  <c r="I86" i="18"/>
  <c r="I99" i="18" s="1"/>
  <c r="K87" i="18"/>
  <c r="I92" i="18"/>
  <c r="I87" i="18"/>
  <c r="J92" i="18"/>
  <c r="I95" i="18"/>
  <c r="J95" i="18"/>
  <c r="J87" i="18"/>
  <c r="K92" i="18"/>
  <c r="J86" i="18"/>
  <c r="J99" i="18" s="1"/>
  <c r="K95" i="18"/>
  <c r="K86" i="18"/>
  <c r="K99" i="18" s="1"/>
  <c r="N34" i="11"/>
  <c r="O34" i="11"/>
  <c r="L50" i="13"/>
  <c r="N50" i="13" s="1"/>
  <c r="L53" i="13" s="1"/>
  <c r="B11" i="13" s="1"/>
  <c r="J64" i="26"/>
  <c r="L64" i="26" s="1"/>
  <c r="N64" i="26" s="1"/>
  <c r="I69" i="26"/>
  <c r="L58" i="26"/>
  <c r="I69" i="27"/>
  <c r="L58" i="27"/>
  <c r="I145" i="23"/>
  <c r="L134" i="23"/>
  <c r="N34" i="8"/>
  <c r="O34" i="8"/>
  <c r="N31" i="10"/>
  <c r="O31" i="10"/>
  <c r="L216" i="19"/>
  <c r="L170" i="23"/>
  <c r="J89" i="16"/>
  <c r="N110" i="11"/>
  <c r="O28" i="11"/>
  <c r="N28" i="11"/>
  <c r="N36" i="15"/>
  <c r="O36" i="15"/>
  <c r="L38" i="15"/>
  <c r="L36" i="17"/>
  <c r="K45" i="17"/>
  <c r="E132" i="23"/>
  <c r="E151" i="23"/>
  <c r="E163" i="23" s="1"/>
  <c r="O34" i="23"/>
  <c r="N34" i="23"/>
  <c r="J163" i="15"/>
  <c r="K162" i="15"/>
  <c r="I150" i="15"/>
  <c r="J161" i="15"/>
  <c r="L52" i="18"/>
  <c r="N52" i="18" s="1"/>
  <c r="L55" i="18" s="1"/>
  <c r="B14" i="18" s="1"/>
  <c r="D14" i="18" s="1"/>
  <c r="F99" i="35"/>
  <c r="F103" i="35" s="1"/>
  <c r="C100" i="35"/>
  <c r="N26" i="7"/>
  <c r="O26" i="7"/>
  <c r="N141" i="23"/>
  <c r="N43" i="21"/>
  <c r="O43" i="21"/>
  <c r="K44" i="21"/>
  <c r="L38" i="21"/>
  <c r="L36" i="21"/>
  <c r="I44" i="14"/>
  <c r="L27" i="14"/>
  <c r="D11" i="8"/>
  <c r="N99" i="7"/>
  <c r="L104" i="7"/>
  <c r="D14" i="7"/>
  <c r="E14" i="7" s="1"/>
  <c r="L109" i="13"/>
  <c r="N101" i="13"/>
  <c r="J88" i="11"/>
  <c r="B7" i="27"/>
  <c r="I45" i="17"/>
  <c r="L31" i="17"/>
  <c r="N42" i="14"/>
  <c r="O42" i="14"/>
  <c r="I88" i="12"/>
  <c r="J62" i="24"/>
  <c r="N41" i="11"/>
  <c r="L43" i="11" s="1"/>
  <c r="O41" i="11"/>
  <c r="I88" i="15"/>
  <c r="K81" i="15"/>
  <c r="K55" i="15"/>
  <c r="K57" i="15" s="1"/>
  <c r="I66" i="15"/>
  <c r="I78" i="15"/>
  <c r="J107" i="15"/>
  <c r="K118" i="15"/>
  <c r="J88" i="15"/>
  <c r="J66" i="15"/>
  <c r="J78" i="15"/>
  <c r="I128" i="15"/>
  <c r="J128" i="15"/>
  <c r="K88" i="15"/>
  <c r="K66" i="15"/>
  <c r="K78" i="15"/>
  <c r="I123" i="15"/>
  <c r="J123" i="15"/>
  <c r="J83" i="15"/>
  <c r="I56" i="15"/>
  <c r="J85" i="15"/>
  <c r="I118" i="15"/>
  <c r="J118" i="15"/>
  <c r="J55" i="15"/>
  <c r="K128" i="15"/>
  <c r="K121" i="15"/>
  <c r="J56" i="15"/>
  <c r="K123" i="15"/>
  <c r="K56" i="15"/>
  <c r="K83" i="15"/>
  <c r="K85" i="15"/>
  <c r="I125" i="15"/>
  <c r="I55" i="15"/>
  <c r="I121" i="15"/>
  <c r="J125" i="15"/>
  <c r="I83" i="15"/>
  <c r="K125" i="15"/>
  <c r="I81" i="15"/>
  <c r="J81" i="15"/>
  <c r="I85" i="15"/>
  <c r="J121" i="15"/>
  <c r="I107" i="15"/>
  <c r="K107" i="15"/>
  <c r="N35" i="17"/>
  <c r="O35" i="17"/>
  <c r="O35" i="12"/>
  <c r="N35" i="12"/>
  <c r="K153" i="15"/>
  <c r="J157" i="15"/>
  <c r="I153" i="15"/>
  <c r="K161" i="15"/>
  <c r="O40" i="7"/>
  <c r="N40" i="7"/>
  <c r="L42" i="7" s="1"/>
  <c r="N35" i="24"/>
  <c r="O35" i="24"/>
  <c r="J44" i="21"/>
  <c r="I44" i="21"/>
  <c r="L30" i="21"/>
  <c r="J138" i="15"/>
  <c r="I54" i="28"/>
  <c r="K54" i="28"/>
  <c r="K59" i="28" s="1"/>
  <c r="J54" i="28"/>
  <c r="E43" i="27"/>
  <c r="N68" i="27" s="1"/>
  <c r="E76" i="27"/>
  <c r="L82" i="10"/>
  <c r="B9" i="10" s="1"/>
  <c r="D9" i="10" s="1"/>
  <c r="E8" i="10" s="1"/>
  <c r="N79" i="10"/>
  <c r="N38" i="9"/>
  <c r="O38" i="9"/>
  <c r="K88" i="11"/>
  <c r="L106" i="11"/>
  <c r="N106" i="11" s="1"/>
  <c r="L62" i="18"/>
  <c r="N62" i="18" s="1"/>
  <c r="I64" i="18"/>
  <c r="I166" i="23"/>
  <c r="J166" i="23"/>
  <c r="K166" i="23"/>
  <c r="N92" i="18"/>
  <c r="N87" i="18"/>
  <c r="N86" i="18"/>
  <c r="N77" i="18"/>
  <c r="L41" i="10"/>
  <c r="L61" i="24"/>
  <c r="N61" i="24" s="1"/>
  <c r="N43" i="15"/>
  <c r="O43" i="15"/>
  <c r="L35" i="15"/>
  <c r="I118" i="17"/>
  <c r="J111" i="17"/>
  <c r="J108" i="17"/>
  <c r="K118" i="17"/>
  <c r="J73" i="17"/>
  <c r="I75" i="17"/>
  <c r="K54" i="17"/>
  <c r="J115" i="17"/>
  <c r="K111" i="17"/>
  <c r="K108" i="17"/>
  <c r="K78" i="17"/>
  <c r="K68" i="17"/>
  <c r="K128" i="17"/>
  <c r="K154" i="17"/>
  <c r="J154" i="17"/>
  <c r="I147" i="17"/>
  <c r="K177" i="17"/>
  <c r="I73" i="17"/>
  <c r="J75" i="17"/>
  <c r="J128" i="17"/>
  <c r="I143" i="17"/>
  <c r="K153" i="17"/>
  <c r="J153" i="17"/>
  <c r="J147" i="17"/>
  <c r="J177" i="17"/>
  <c r="I115" i="17"/>
  <c r="J118" i="17"/>
  <c r="K73" i="17"/>
  <c r="K75" i="17"/>
  <c r="J97" i="17"/>
  <c r="I128" i="17"/>
  <c r="L128" i="17" s="1"/>
  <c r="I145" i="17"/>
  <c r="K152" i="17"/>
  <c r="J152" i="17"/>
  <c r="K147" i="17"/>
  <c r="K115" i="17"/>
  <c r="I71" i="17"/>
  <c r="I56" i="17"/>
  <c r="I97" i="17"/>
  <c r="L97" i="17" s="1"/>
  <c r="I150" i="17"/>
  <c r="K151" i="17"/>
  <c r="J151" i="17"/>
  <c r="I108" i="17"/>
  <c r="J71" i="17"/>
  <c r="J56" i="17"/>
  <c r="I151" i="17"/>
  <c r="K150" i="17"/>
  <c r="J150" i="17"/>
  <c r="I111" i="17"/>
  <c r="I54" i="17"/>
  <c r="I140" i="17"/>
  <c r="J145" i="17"/>
  <c r="J54" i="17"/>
  <c r="J143" i="17"/>
  <c r="I78" i="17"/>
  <c r="L78" i="17" s="1"/>
  <c r="N78" i="17" s="1"/>
  <c r="I152" i="17"/>
  <c r="J140" i="17"/>
  <c r="J78" i="17"/>
  <c r="I153" i="17"/>
  <c r="K71" i="17"/>
  <c r="I154" i="17"/>
  <c r="K145" i="17"/>
  <c r="K143" i="17"/>
  <c r="K97" i="17"/>
  <c r="K140" i="17"/>
  <c r="I177" i="17"/>
  <c r="L177" i="17" s="1"/>
  <c r="I68" i="17"/>
  <c r="K173" i="17"/>
  <c r="J68" i="17"/>
  <c r="J79" i="17" s="1"/>
  <c r="J173" i="17"/>
  <c r="K56" i="17"/>
  <c r="J189" i="17"/>
  <c r="I173" i="17"/>
  <c r="K189" i="17"/>
  <c r="I189" i="17"/>
  <c r="N37" i="23"/>
  <c r="O37" i="23"/>
  <c r="N90" i="19"/>
  <c r="N85" i="19"/>
  <c r="N75" i="19"/>
  <c r="N84" i="19"/>
  <c r="N123" i="19"/>
  <c r="N96" i="19"/>
  <c r="N118" i="19"/>
  <c r="N121" i="19"/>
  <c r="N28" i="12"/>
  <c r="O28" i="12"/>
  <c r="I162" i="15"/>
  <c r="K163" i="15"/>
  <c r="J155" i="15"/>
  <c r="O38" i="13"/>
  <c r="N38" i="13"/>
  <c r="L93" i="23"/>
  <c r="L60" i="23"/>
  <c r="N60" i="23" s="1"/>
  <c r="I62" i="23"/>
  <c r="J123" i="23"/>
  <c r="L50" i="23"/>
  <c r="N50" i="23" s="1"/>
  <c r="L53" i="23" s="1"/>
  <c r="B13" i="23" s="1"/>
  <c r="D13" i="23" s="1"/>
  <c r="K44" i="14"/>
  <c r="N30" i="14"/>
  <c r="O30" i="14"/>
  <c r="D15" i="12"/>
  <c r="E15" i="12" s="1"/>
  <c r="K138" i="15"/>
  <c r="L77" i="13"/>
  <c r="N77" i="13" s="1"/>
  <c r="O34" i="24"/>
  <c r="N34" i="24"/>
  <c r="L50" i="24"/>
  <c r="N50" i="24" s="1"/>
  <c r="L53" i="24" s="1"/>
  <c r="B13" i="24" s="1"/>
  <c r="D13" i="24" s="1"/>
  <c r="N31" i="9"/>
  <c r="O31" i="9"/>
  <c r="L33" i="27"/>
  <c r="I97" i="20"/>
  <c r="I95" i="20"/>
  <c r="L99" i="20" s="1"/>
  <c r="L157" i="20" s="1"/>
  <c r="L159" i="20" s="1"/>
  <c r="I96" i="20"/>
  <c r="O45" i="15"/>
  <c r="N45" i="15"/>
  <c r="N27" i="13"/>
  <c r="O27" i="13"/>
  <c r="N34" i="7"/>
  <c r="O34" i="7"/>
  <c r="L78" i="16"/>
  <c r="N78" i="16" s="1"/>
  <c r="I89" i="16"/>
  <c r="E134" i="18"/>
  <c r="E152" i="18"/>
  <c r="E163" i="18" s="1"/>
  <c r="L137" i="23"/>
  <c r="N137" i="23" s="1"/>
  <c r="L88" i="16"/>
  <c r="N88" i="16" s="1"/>
  <c r="L63" i="25"/>
  <c r="N63" i="25" s="1"/>
  <c r="L66" i="25" s="1"/>
  <c r="B13" i="25" s="1"/>
  <c r="D13" i="25" s="1"/>
  <c r="L86" i="9"/>
  <c r="N86" i="9" s="1"/>
  <c r="L50" i="9"/>
  <c r="N50" i="9" s="1"/>
  <c r="L52" i="9" s="1"/>
  <c r="B11" i="9" s="1"/>
  <c r="D11" i="9" s="1"/>
  <c r="N29" i="23"/>
  <c r="O29" i="23"/>
  <c r="N38" i="24"/>
  <c r="O38" i="24"/>
  <c r="N32" i="10"/>
  <c r="O32" i="10"/>
  <c r="L60" i="24"/>
  <c r="N60" i="24" s="1"/>
  <c r="I62" i="24"/>
  <c r="L40" i="15"/>
  <c r="N33" i="7"/>
  <c r="O33" i="7"/>
  <c r="I113" i="17"/>
  <c r="L34" i="17"/>
  <c r="L38" i="17"/>
  <c r="N38" i="10"/>
  <c r="O38" i="10"/>
  <c r="E151" i="19"/>
  <c r="E162" i="19" s="1"/>
  <c r="E133" i="19"/>
  <c r="N134" i="19" s="1"/>
  <c r="N32" i="24"/>
  <c r="O32" i="24"/>
  <c r="O41" i="12"/>
  <c r="N41" i="12"/>
  <c r="L43" i="12" s="1"/>
  <c r="O32" i="7"/>
  <c r="N32" i="7"/>
  <c r="B7" i="19"/>
  <c r="J162" i="15"/>
  <c r="I157" i="15"/>
  <c r="K155" i="15"/>
  <c r="D15" i="11"/>
  <c r="E15" i="11" s="1"/>
  <c r="L41" i="23"/>
  <c r="I123" i="23"/>
  <c r="L115" i="23"/>
  <c r="N115" i="23" s="1"/>
  <c r="L144" i="23"/>
  <c r="N144" i="23" s="1"/>
  <c r="N36" i="23"/>
  <c r="O36" i="23"/>
  <c r="L35" i="21"/>
  <c r="N91" i="7"/>
  <c r="L92" i="7"/>
  <c r="N102" i="14"/>
  <c r="N97" i="14"/>
  <c r="N96" i="14"/>
  <c r="N87" i="14"/>
  <c r="L36" i="14"/>
  <c r="I104" i="14"/>
  <c r="K96" i="14"/>
  <c r="K109" i="14" s="1"/>
  <c r="I105" i="14"/>
  <c r="K75" i="14"/>
  <c r="J137" i="14"/>
  <c r="K107" i="14"/>
  <c r="K105" i="14"/>
  <c r="I137" i="14"/>
  <c r="K135" i="14"/>
  <c r="J107" i="14"/>
  <c r="J105" i="14"/>
  <c r="K151" i="14"/>
  <c r="J135" i="14"/>
  <c r="K104" i="14"/>
  <c r="K136" i="14"/>
  <c r="J104" i="14"/>
  <c r="J136" i="14"/>
  <c r="J151" i="14"/>
  <c r="I136" i="14"/>
  <c r="K106" i="14"/>
  <c r="I131" i="14"/>
  <c r="I151" i="14"/>
  <c r="J106" i="14"/>
  <c r="K137" i="14"/>
  <c r="I135" i="14"/>
  <c r="I75" i="14"/>
  <c r="K131" i="14"/>
  <c r="J75" i="14"/>
  <c r="J147" i="14"/>
  <c r="K59" i="14"/>
  <c r="J129" i="14"/>
  <c r="J96" i="14"/>
  <c r="J109" i="14" s="1"/>
  <c r="K56" i="14"/>
  <c r="K97" i="14"/>
  <c r="I56" i="14"/>
  <c r="J131" i="14"/>
  <c r="I107" i="14"/>
  <c r="I97" i="14"/>
  <c r="I129" i="14"/>
  <c r="K147" i="14"/>
  <c r="I106" i="14"/>
  <c r="J56" i="14"/>
  <c r="J97" i="14"/>
  <c r="I59" i="14"/>
  <c r="L59" i="14" s="1"/>
  <c r="N59" i="14" s="1"/>
  <c r="J59" i="14"/>
  <c r="I147" i="14"/>
  <c r="K129" i="14"/>
  <c r="I96" i="14"/>
  <c r="I109" i="14" s="1"/>
  <c r="J64" i="18"/>
  <c r="L49" i="7"/>
  <c r="N49" i="7" s="1"/>
  <c r="L52" i="7" s="1"/>
  <c r="B11" i="7" s="1"/>
  <c r="D11" i="7" s="1"/>
  <c r="L71" i="13"/>
  <c r="N71" i="13" s="1"/>
  <c r="I79" i="13"/>
  <c r="O35" i="11"/>
  <c r="N35" i="11"/>
  <c r="I93" i="28"/>
  <c r="J93" i="28"/>
  <c r="K93" i="28"/>
  <c r="K79" i="13"/>
  <c r="L113" i="13"/>
  <c r="N113" i="13" s="1"/>
  <c r="L81" i="11"/>
  <c r="N81" i="11" s="1"/>
  <c r="N118" i="9"/>
  <c r="K69" i="27"/>
  <c r="I88" i="11"/>
  <c r="L80" i="11"/>
  <c r="N80" i="11" s="1"/>
  <c r="L32" i="15"/>
  <c r="I46" i="15"/>
  <c r="O31" i="13"/>
  <c r="N31" i="13"/>
  <c r="O33" i="8"/>
  <c r="N33" i="8"/>
  <c r="O28" i="8"/>
  <c r="N28" i="8"/>
  <c r="L155" i="15"/>
  <c r="N155" i="15" s="1"/>
  <c r="N31" i="8"/>
  <c r="O31" i="8"/>
  <c r="L80" i="9"/>
  <c r="N80" i="9" s="1"/>
  <c r="I88" i="9"/>
  <c r="L88" i="9" s="1"/>
  <c r="N88" i="8"/>
  <c r="L90" i="8"/>
  <c r="B9" i="8" s="1"/>
  <c r="D9" i="8" s="1"/>
  <c r="E8" i="8" s="1"/>
  <c r="L59" i="9"/>
  <c r="N59" i="9" s="1"/>
  <c r="L62" i="9" s="1"/>
  <c r="B12" i="9" s="1"/>
  <c r="D12" i="9" s="1"/>
  <c r="N37" i="7"/>
  <c r="O37" i="7"/>
  <c r="L147" i="19"/>
  <c r="B11" i="19" s="1"/>
  <c r="D11" i="19" s="1"/>
  <c r="N145" i="19"/>
  <c r="L37" i="15"/>
  <c r="L82" i="25"/>
  <c r="N82" i="25" s="1"/>
  <c r="E104" i="25"/>
  <c r="E113" i="25"/>
  <c r="N37" i="24"/>
  <c r="O37" i="24"/>
  <c r="J113" i="17"/>
  <c r="J45" i="17"/>
  <c r="B18" i="17"/>
  <c r="D18" i="17" s="1"/>
  <c r="E18" i="17" s="1"/>
  <c r="L207" i="17"/>
  <c r="J59" i="28"/>
  <c r="N158" i="23"/>
  <c r="J153" i="15"/>
  <c r="K164" i="15"/>
  <c r="I161" i="15"/>
  <c r="L161" i="15" s="1"/>
  <c r="N161" i="15" s="1"/>
  <c r="I98" i="10"/>
  <c r="J98" i="10"/>
  <c r="K98" i="10"/>
  <c r="L127" i="14"/>
  <c r="J145" i="23"/>
  <c r="L41" i="21"/>
  <c r="L37" i="21"/>
  <c r="K88" i="12"/>
  <c r="O28" i="9"/>
  <c r="N28" i="9"/>
  <c r="L35" i="14"/>
  <c r="J44" i="14"/>
  <c r="B7" i="18"/>
  <c r="L64" i="22"/>
  <c r="N64" i="22" s="1"/>
  <c r="L67" i="22" s="1"/>
  <c r="B13" i="22" s="1"/>
  <c r="D13" i="22" s="1"/>
  <c r="N38" i="11"/>
  <c r="O38" i="11"/>
  <c r="N33" i="13"/>
  <c r="O33" i="13"/>
  <c r="J84" i="28"/>
  <c r="K84" i="28"/>
  <c r="I84" i="28"/>
  <c r="L92" i="22"/>
  <c r="I94" i="22" s="1"/>
  <c r="B7" i="22"/>
  <c r="L97" i="13"/>
  <c r="N97" i="13" s="1"/>
  <c r="N35" i="23"/>
  <c r="O35" i="23"/>
  <c r="L122" i="11"/>
  <c r="N122" i="11" s="1"/>
  <c r="N31" i="11"/>
  <c r="O31" i="11"/>
  <c r="L59" i="26"/>
  <c r="L33" i="26"/>
  <c r="N94" i="19"/>
  <c r="I86" i="25"/>
  <c r="N102" i="10"/>
  <c r="G99" i="35"/>
  <c r="D100" i="35"/>
  <c r="D11" i="13"/>
  <c r="K89" i="16"/>
  <c r="L64" i="27"/>
  <c r="N64" i="27" s="1"/>
  <c r="L81" i="16"/>
  <c r="N81" i="16" s="1"/>
  <c r="L122" i="9"/>
  <c r="N122" i="9" s="1"/>
  <c r="O28" i="10"/>
  <c r="N28" i="10"/>
  <c r="L123" i="12"/>
  <c r="N118" i="12"/>
  <c r="L86" i="11"/>
  <c r="N86" i="11" s="1"/>
  <c r="K62" i="24"/>
  <c r="N69" i="7"/>
  <c r="L71" i="7"/>
  <c r="B9" i="7" s="1"/>
  <c r="D9" i="7" s="1"/>
  <c r="E8" i="7" s="1"/>
  <c r="L39" i="15"/>
  <c r="J46" i="15"/>
  <c r="K46" i="15"/>
  <c r="L85" i="25"/>
  <c r="N85" i="25" s="1"/>
  <c r="L39" i="17"/>
  <c r="E115" i="21"/>
  <c r="E133" i="21"/>
  <c r="E145" i="21" s="1"/>
  <c r="L181" i="19"/>
  <c r="I59" i="28"/>
  <c r="L48" i="28"/>
  <c r="N48" i="28" s="1"/>
  <c r="J164" i="15"/>
  <c r="I160" i="15"/>
  <c r="J160" i="15"/>
  <c r="L154" i="23"/>
  <c r="N154" i="23" s="1"/>
  <c r="E110" i="10"/>
  <c r="K114" i="10"/>
  <c r="J114" i="10"/>
  <c r="I114" i="10"/>
  <c r="O34" i="9"/>
  <c r="N34" i="9"/>
  <c r="L139" i="23"/>
  <c r="N139" i="23" s="1"/>
  <c r="K62" i="23"/>
  <c r="L34" i="21"/>
  <c r="K64" i="21"/>
  <c r="J79" i="21"/>
  <c r="I76" i="21"/>
  <c r="J126" i="21"/>
  <c r="I116" i="21"/>
  <c r="I86" i="21"/>
  <c r="K79" i="21"/>
  <c r="J76" i="21"/>
  <c r="K126" i="21"/>
  <c r="J116" i="21"/>
  <c r="K86" i="21"/>
  <c r="I54" i="21"/>
  <c r="I83" i="21"/>
  <c r="J121" i="21"/>
  <c r="I123" i="21"/>
  <c r="J105" i="21"/>
  <c r="I53" i="21"/>
  <c r="J123" i="21"/>
  <c r="K152" i="21"/>
  <c r="I105" i="21"/>
  <c r="I64" i="21"/>
  <c r="J53" i="21"/>
  <c r="I126" i="21"/>
  <c r="K123" i="21"/>
  <c r="I140" i="21"/>
  <c r="I136" i="21"/>
  <c r="L136" i="21" s="1"/>
  <c r="N136" i="21" s="1"/>
  <c r="J64" i="21"/>
  <c r="J54" i="21"/>
  <c r="I121" i="21"/>
  <c r="J140" i="21"/>
  <c r="J86" i="21"/>
  <c r="K53" i="21"/>
  <c r="K121" i="21"/>
  <c r="K140" i="21"/>
  <c r="I81" i="21"/>
  <c r="K54" i="21"/>
  <c r="I119" i="21"/>
  <c r="K76" i="21"/>
  <c r="J83" i="21"/>
  <c r="J136" i="21"/>
  <c r="K148" i="21"/>
  <c r="K83" i="21"/>
  <c r="K136" i="21"/>
  <c r="J119" i="21"/>
  <c r="I152" i="21"/>
  <c r="K116" i="21"/>
  <c r="J81" i="21"/>
  <c r="J152" i="21"/>
  <c r="K105" i="21"/>
  <c r="K81" i="21"/>
  <c r="K119" i="21"/>
  <c r="I79" i="21"/>
  <c r="J148" i="21"/>
  <c r="I148" i="21"/>
  <c r="J88" i="12"/>
  <c r="L41" i="9"/>
  <c r="N153" i="22"/>
  <c r="B16" i="22"/>
  <c r="D16" i="22" s="1"/>
  <c r="O29" i="24"/>
  <c r="N29" i="24"/>
  <c r="B15" i="14"/>
  <c r="D15" i="14" s="1"/>
  <c r="E15" i="14" s="1"/>
  <c r="L169" i="14"/>
  <c r="L32" i="14"/>
  <c r="L33" i="14"/>
  <c r="D15" i="8"/>
  <c r="E15" i="8" s="1"/>
  <c r="K64" i="18"/>
  <c r="E43" i="26"/>
  <c r="N68" i="26" s="1"/>
  <c r="E76" i="26"/>
  <c r="E100" i="35"/>
  <c r="H99" i="35"/>
  <c r="D14" i="13"/>
  <c r="E14" i="13" s="1"/>
  <c r="K69" i="26"/>
  <c r="B7" i="26"/>
  <c r="L59" i="27"/>
  <c r="N59" i="27" s="1"/>
  <c r="N98" i="19"/>
  <c r="L100" i="19" s="1"/>
  <c r="B10" i="19" s="1"/>
  <c r="D10" i="19" s="1"/>
  <c r="N38" i="16" l="1"/>
  <c r="O38" i="16"/>
  <c r="L55" i="16"/>
  <c r="N55" i="16" s="1"/>
  <c r="I57" i="16"/>
  <c r="O40" i="16"/>
  <c r="N40" i="16"/>
  <c r="J66" i="14"/>
  <c r="J165" i="15"/>
  <c r="L106" i="14"/>
  <c r="N106" i="14" s="1"/>
  <c r="K66" i="14"/>
  <c r="L135" i="14"/>
  <c r="N135" i="14" s="1"/>
  <c r="L104" i="14"/>
  <c r="L73" i="17"/>
  <c r="N73" i="17" s="1"/>
  <c r="K86" i="25"/>
  <c r="J86" i="25"/>
  <c r="L86" i="25" s="1"/>
  <c r="N86" i="25" s="1"/>
  <c r="L88" i="25" s="1"/>
  <c r="B10" i="25" s="1"/>
  <c r="D10" i="25" s="1"/>
  <c r="N123" i="22"/>
  <c r="N119" i="22"/>
  <c r="N140" i="22"/>
  <c r="N152" i="22"/>
  <c r="N126" i="22"/>
  <c r="N148" i="22"/>
  <c r="N127" i="22"/>
  <c r="N116" i="22"/>
  <c r="N121" i="22"/>
  <c r="N136" i="22"/>
  <c r="N39" i="16"/>
  <c r="O39" i="16"/>
  <c r="L80" i="25"/>
  <c r="N80" i="25" s="1"/>
  <c r="O32" i="16"/>
  <c r="N32" i="16"/>
  <c r="L66" i="16"/>
  <c r="N66" i="16" s="1"/>
  <c r="L69" i="16" s="1"/>
  <c r="B14" i="16" s="1"/>
  <c r="D14" i="16" s="1"/>
  <c r="L128" i="15"/>
  <c r="N128" i="15" s="1"/>
  <c r="O37" i="16"/>
  <c r="N37" i="16"/>
  <c r="L151" i="17"/>
  <c r="N151" i="17" s="1"/>
  <c r="N46" i="16"/>
  <c r="L48" i="16" s="1"/>
  <c r="B7" i="16" s="1"/>
  <c r="D7" i="16" s="1"/>
  <c r="O46" i="16"/>
  <c r="O43" i="16"/>
  <c r="N43" i="16"/>
  <c r="K57" i="16"/>
  <c r="N123" i="8"/>
  <c r="B14" i="8"/>
  <c r="D14" i="8" s="1"/>
  <c r="I66" i="14"/>
  <c r="L66" i="14" s="1"/>
  <c r="N66" i="14" s="1"/>
  <c r="L68" i="14" s="1"/>
  <c r="B8" i="14" s="1"/>
  <c r="D8" i="14" s="1"/>
  <c r="K54" i="25"/>
  <c r="L56" i="16"/>
  <c r="N56" i="16" s="1"/>
  <c r="L75" i="25"/>
  <c r="N75" i="25" s="1"/>
  <c r="K138" i="14"/>
  <c r="J138" i="14"/>
  <c r="O40" i="14"/>
  <c r="L163" i="15"/>
  <c r="N163" i="15" s="1"/>
  <c r="L53" i="25"/>
  <c r="N53" i="25" s="1"/>
  <c r="O32" i="25"/>
  <c r="N32" i="25"/>
  <c r="L78" i="25"/>
  <c r="N78" i="25" s="1"/>
  <c r="N111" i="8"/>
  <c r="B13" i="8"/>
  <c r="D13" i="8" s="1"/>
  <c r="O31" i="14"/>
  <c r="O36" i="25"/>
  <c r="N36" i="25"/>
  <c r="L52" i="25"/>
  <c r="N52" i="25" s="1"/>
  <c r="I54" i="25"/>
  <c r="J54" i="25"/>
  <c r="L152" i="21"/>
  <c r="N152" i="21" s="1"/>
  <c r="L121" i="21"/>
  <c r="N121" i="21" s="1"/>
  <c r="L160" i="15"/>
  <c r="N160" i="15" s="1"/>
  <c r="L123" i="9"/>
  <c r="B14" i="9" s="1"/>
  <c r="D14" i="9" s="1"/>
  <c r="L107" i="14"/>
  <c r="N107" i="14" s="1"/>
  <c r="J129" i="15"/>
  <c r="L43" i="25"/>
  <c r="L138" i="15"/>
  <c r="N138" i="15" s="1"/>
  <c r="L157" i="15"/>
  <c r="N157" i="15" s="1"/>
  <c r="L105" i="21"/>
  <c r="L205" i="22"/>
  <c r="L123" i="23"/>
  <c r="L62" i="24"/>
  <c r="N62" i="24" s="1"/>
  <c r="L64" i="24" s="1"/>
  <c r="B8" i="24" s="1"/>
  <c r="D8" i="24" s="1"/>
  <c r="L115" i="17"/>
  <c r="N115" i="17" s="1"/>
  <c r="K119" i="17"/>
  <c r="N110" i="9"/>
  <c r="O40" i="25"/>
  <c r="N40" i="25"/>
  <c r="N29" i="25"/>
  <c r="O29" i="25"/>
  <c r="L107" i="15"/>
  <c r="N107" i="15" s="1"/>
  <c r="L114" i="10"/>
  <c r="N114" i="10" s="1"/>
  <c r="L111" i="17"/>
  <c r="N111" i="17" s="1"/>
  <c r="L118" i="17"/>
  <c r="N118" i="17" s="1"/>
  <c r="L44" i="21"/>
  <c r="O37" i="25"/>
  <c r="N37" i="25"/>
  <c r="L83" i="15"/>
  <c r="N83" i="15" s="1"/>
  <c r="L56" i="15"/>
  <c r="N56" i="15" s="1"/>
  <c r="N185" i="17"/>
  <c r="L141" i="15"/>
  <c r="B16" i="15" s="1"/>
  <c r="D16" i="15" s="1"/>
  <c r="O37" i="15"/>
  <c r="N37" i="15"/>
  <c r="L90" i="9"/>
  <c r="B9" i="9" s="1"/>
  <c r="D9" i="9" s="1"/>
  <c r="E8" i="9" s="1"/>
  <c r="N88" i="9"/>
  <c r="N35" i="21"/>
  <c r="O35" i="21"/>
  <c r="L129" i="17"/>
  <c r="N128" i="17"/>
  <c r="L140" i="21"/>
  <c r="L53" i="21"/>
  <c r="N53" i="21" s="1"/>
  <c r="I55" i="21"/>
  <c r="L59" i="28"/>
  <c r="O39" i="15"/>
  <c r="N39" i="15"/>
  <c r="G100" i="35"/>
  <c r="D101" i="35"/>
  <c r="G101" i="35" s="1"/>
  <c r="N59" i="26"/>
  <c r="B20" i="22"/>
  <c r="D7" i="22"/>
  <c r="E6" i="22" s="1"/>
  <c r="L93" i="28"/>
  <c r="L94" i="28" s="1"/>
  <c r="B13" i="28" s="1"/>
  <c r="D13" i="28" s="1"/>
  <c r="L137" i="14"/>
  <c r="N137" i="14" s="1"/>
  <c r="O36" i="14"/>
  <c r="N36" i="14"/>
  <c r="B7" i="12"/>
  <c r="N38" i="17"/>
  <c r="O38" i="17"/>
  <c r="L89" i="16"/>
  <c r="N89" i="16" s="1"/>
  <c r="L91" i="16" s="1"/>
  <c r="L97" i="23"/>
  <c r="N97" i="23" s="1"/>
  <c r="L99" i="23" s="1"/>
  <c r="B10" i="23" s="1"/>
  <c r="D10" i="23" s="1"/>
  <c r="N93" i="23"/>
  <c r="L56" i="17"/>
  <c r="N56" i="17" s="1"/>
  <c r="L75" i="17"/>
  <c r="N75" i="17" s="1"/>
  <c r="J89" i="15"/>
  <c r="L102" i="13"/>
  <c r="L44" i="14"/>
  <c r="L187" i="15"/>
  <c r="L98" i="17"/>
  <c r="N97" i="17"/>
  <c r="O27" i="14"/>
  <c r="N27" i="14"/>
  <c r="N38" i="15"/>
  <c r="O38" i="15"/>
  <c r="N33" i="14"/>
  <c r="O33" i="14"/>
  <c r="N41" i="9"/>
  <c r="L43" i="9" s="1"/>
  <c r="O41" i="9"/>
  <c r="J87" i="21"/>
  <c r="N34" i="21"/>
  <c r="O34" i="21"/>
  <c r="L183" i="19"/>
  <c r="B12" i="19" s="1"/>
  <c r="D12" i="19" s="1"/>
  <c r="I96" i="22"/>
  <c r="I95" i="22"/>
  <c r="L98" i="22" s="1"/>
  <c r="I138" i="14"/>
  <c r="L129" i="14"/>
  <c r="N129" i="14" s="1"/>
  <c r="N34" i="17"/>
  <c r="O34" i="17"/>
  <c r="L154" i="17"/>
  <c r="N154" i="17" s="1"/>
  <c r="L71" i="17"/>
  <c r="N71" i="17" s="1"/>
  <c r="L143" i="17"/>
  <c r="N143" i="17" s="1"/>
  <c r="L166" i="23"/>
  <c r="B7" i="7"/>
  <c r="L74" i="7"/>
  <c r="I76" i="7" s="1"/>
  <c r="L156" i="7"/>
  <c r="L110" i="15"/>
  <c r="B15" i="15" s="1"/>
  <c r="D15" i="15" s="1"/>
  <c r="L121" i="15"/>
  <c r="N121" i="15" s="1"/>
  <c r="L88" i="15"/>
  <c r="N88" i="15" s="1"/>
  <c r="N134" i="23"/>
  <c r="E133" i="18"/>
  <c r="E119" i="18"/>
  <c r="E117" i="18"/>
  <c r="I183" i="15"/>
  <c r="J183" i="15"/>
  <c r="K183" i="15"/>
  <c r="L91" i="24"/>
  <c r="J69" i="26"/>
  <c r="B7" i="24"/>
  <c r="J127" i="21"/>
  <c r="N41" i="21"/>
  <c r="O41" i="21"/>
  <c r="B13" i="9"/>
  <c r="D13" i="9" s="1"/>
  <c r="N111" i="9"/>
  <c r="D7" i="26"/>
  <c r="E6" i="26" s="1"/>
  <c r="K55" i="21"/>
  <c r="O32" i="14"/>
  <c r="N32" i="14"/>
  <c r="L126" i="21"/>
  <c r="N126" i="21" s="1"/>
  <c r="L123" i="21"/>
  <c r="N123" i="21" s="1"/>
  <c r="I110" i="10"/>
  <c r="J110" i="10"/>
  <c r="K110" i="10"/>
  <c r="N35" i="14"/>
  <c r="O35" i="14"/>
  <c r="N127" i="14"/>
  <c r="L159" i="23"/>
  <c r="L46" i="15"/>
  <c r="L147" i="14"/>
  <c r="L151" i="14"/>
  <c r="N151" i="14" s="1"/>
  <c r="L113" i="17"/>
  <c r="N113" i="17" s="1"/>
  <c r="K79" i="17"/>
  <c r="N41" i="10"/>
  <c r="L43" i="10" s="1"/>
  <c r="O41" i="10"/>
  <c r="L64" i="18"/>
  <c r="N64" i="18" s="1"/>
  <c r="L66" i="18" s="1"/>
  <c r="J84" i="27"/>
  <c r="L84" i="27" s="1"/>
  <c r="N84" i="27" s="1"/>
  <c r="K81" i="27"/>
  <c r="J81" i="27"/>
  <c r="I81" i="27"/>
  <c r="E90" i="27"/>
  <c r="E77" i="27"/>
  <c r="L55" i="15"/>
  <c r="N55" i="15" s="1"/>
  <c r="I57" i="15"/>
  <c r="L123" i="15"/>
  <c r="N123" i="15" s="1"/>
  <c r="N31" i="17"/>
  <c r="O31" i="17"/>
  <c r="L114" i="13"/>
  <c r="N109" i="13"/>
  <c r="N36" i="21"/>
  <c r="O36" i="21"/>
  <c r="F100" i="35"/>
  <c r="C101" i="35"/>
  <c r="F101" i="35" s="1"/>
  <c r="N170" i="23"/>
  <c r="L145" i="23"/>
  <c r="L95" i="18"/>
  <c r="E195" i="15"/>
  <c r="J199" i="15"/>
  <c r="K199" i="15"/>
  <c r="I199" i="15"/>
  <c r="O37" i="17"/>
  <c r="N37" i="17"/>
  <c r="K107" i="16"/>
  <c r="J107" i="16"/>
  <c r="I107" i="16"/>
  <c r="B10" i="28"/>
  <c r="D10" i="28" s="1"/>
  <c r="N77" i="28"/>
  <c r="N123" i="12"/>
  <c r="B14" i="12"/>
  <c r="D14" i="12" s="1"/>
  <c r="E10" i="12" s="1"/>
  <c r="N104" i="14"/>
  <c r="N33" i="21"/>
  <c r="O33" i="21"/>
  <c r="L148" i="21"/>
  <c r="K127" i="21"/>
  <c r="K87" i="21"/>
  <c r="J55" i="21"/>
  <c r="L86" i="21"/>
  <c r="N86" i="21" s="1"/>
  <c r="E12" i="22"/>
  <c r="O32" i="15"/>
  <c r="N32" i="15"/>
  <c r="L79" i="13"/>
  <c r="L131" i="14"/>
  <c r="N131" i="14" s="1"/>
  <c r="L268" i="19"/>
  <c r="L123" i="11"/>
  <c r="L189" i="17"/>
  <c r="N189" i="17" s="1"/>
  <c r="I79" i="17"/>
  <c r="L79" i="17" s="1"/>
  <c r="N79" i="17" s="1"/>
  <c r="L81" i="17" s="1"/>
  <c r="B9" i="17" s="1"/>
  <c r="D9" i="17" s="1"/>
  <c r="L68" i="17"/>
  <c r="N68" i="17" s="1"/>
  <c r="L153" i="17"/>
  <c r="N153" i="17" s="1"/>
  <c r="I155" i="17"/>
  <c r="L140" i="17"/>
  <c r="N140" i="17" s="1"/>
  <c r="I119" i="17"/>
  <c r="L108" i="17"/>
  <c r="N108" i="17" s="1"/>
  <c r="J119" i="17"/>
  <c r="L85" i="15"/>
  <c r="N85" i="15" s="1"/>
  <c r="L125" i="15"/>
  <c r="N125" i="15" s="1"/>
  <c r="J57" i="15"/>
  <c r="K89" i="15"/>
  <c r="K129" i="15"/>
  <c r="B7" i="11"/>
  <c r="L45" i="17"/>
  <c r="N38" i="21"/>
  <c r="O38" i="21"/>
  <c r="B18" i="19"/>
  <c r="D18" i="19" s="1"/>
  <c r="N58" i="27"/>
  <c r="L164" i="15"/>
  <c r="N164" i="15" s="1"/>
  <c r="N41" i="8"/>
  <c r="L43" i="8" s="1"/>
  <c r="O41" i="8"/>
  <c r="N42" i="17"/>
  <c r="O42" i="17"/>
  <c r="E115" i="24"/>
  <c r="E129" i="24"/>
  <c r="E113" i="24"/>
  <c r="K121" i="16"/>
  <c r="K125" i="16"/>
  <c r="K118" i="16"/>
  <c r="I118" i="16"/>
  <c r="J128" i="16"/>
  <c r="E136" i="16"/>
  <c r="I128" i="16"/>
  <c r="K128" i="16"/>
  <c r="K123" i="16"/>
  <c r="J121" i="16"/>
  <c r="I123" i="16"/>
  <c r="J125" i="16"/>
  <c r="J118" i="16"/>
  <c r="I125" i="16"/>
  <c r="I121" i="16"/>
  <c r="J123" i="16"/>
  <c r="E9" i="19"/>
  <c r="H100" i="35"/>
  <c r="E101" i="35"/>
  <c r="H101" i="35" s="1"/>
  <c r="L119" i="21"/>
  <c r="N119" i="21" s="1"/>
  <c r="L64" i="21"/>
  <c r="N64" i="21" s="1"/>
  <c r="L67" i="21" s="1"/>
  <c r="B13" i="21" s="1"/>
  <c r="D13" i="21" s="1"/>
  <c r="L83" i="21"/>
  <c r="N83" i="21" s="1"/>
  <c r="L116" i="21"/>
  <c r="N116" i="21" s="1"/>
  <c r="I127" i="21"/>
  <c r="N39" i="17"/>
  <c r="O39" i="17"/>
  <c r="L84" i="28"/>
  <c r="I120" i="25"/>
  <c r="E141" i="25"/>
  <c r="J120" i="25"/>
  <c r="K115" i="25"/>
  <c r="J125" i="25"/>
  <c r="I118" i="25"/>
  <c r="J118" i="25"/>
  <c r="K118" i="25"/>
  <c r="I125" i="25"/>
  <c r="I115" i="25"/>
  <c r="K125" i="25"/>
  <c r="J115" i="25"/>
  <c r="I122" i="25"/>
  <c r="K122" i="25"/>
  <c r="K120" i="25"/>
  <c r="J122" i="25"/>
  <c r="L125" i="23"/>
  <c r="B14" i="23" s="1"/>
  <c r="D14" i="23" s="1"/>
  <c r="N123" i="23"/>
  <c r="D7" i="19"/>
  <c r="E6" i="19" s="1"/>
  <c r="N141" i="19"/>
  <c r="N139" i="19"/>
  <c r="N137" i="19"/>
  <c r="N144" i="19"/>
  <c r="N154" i="19"/>
  <c r="E165" i="18"/>
  <c r="E197" i="18"/>
  <c r="E209" i="18" s="1"/>
  <c r="N33" i="27"/>
  <c r="L36" i="27"/>
  <c r="N177" i="17"/>
  <c r="L54" i="17"/>
  <c r="O30" i="21"/>
  <c r="N30" i="21"/>
  <c r="L153" i="15"/>
  <c r="N153" i="15" s="1"/>
  <c r="N104" i="7"/>
  <c r="B13" i="7"/>
  <c r="D13" i="7" s="1"/>
  <c r="L69" i="27"/>
  <c r="O34" i="14"/>
  <c r="N34" i="14"/>
  <c r="K165" i="15"/>
  <c r="L36" i="26"/>
  <c r="N33" i="26"/>
  <c r="J84" i="26"/>
  <c r="L84" i="26" s="1"/>
  <c r="N84" i="26" s="1"/>
  <c r="K81" i="26"/>
  <c r="J81" i="26"/>
  <c r="I81" i="26"/>
  <c r="E90" i="26"/>
  <c r="E77" i="26"/>
  <c r="L79" i="21"/>
  <c r="N79" i="21" s="1"/>
  <c r="L108" i="21"/>
  <c r="B14" i="21" s="1"/>
  <c r="D14" i="21" s="1"/>
  <c r="N105" i="21"/>
  <c r="L54" i="21"/>
  <c r="N54" i="21" s="1"/>
  <c r="J104" i="25"/>
  <c r="I104" i="25"/>
  <c r="K104" i="25"/>
  <c r="L88" i="11"/>
  <c r="L56" i="14"/>
  <c r="N56" i="14" s="1"/>
  <c r="L136" i="14"/>
  <c r="N136" i="14" s="1"/>
  <c r="L105" i="14"/>
  <c r="N105" i="14" s="1"/>
  <c r="N92" i="7"/>
  <c r="B12" i="7"/>
  <c r="D12" i="7" s="1"/>
  <c r="E10" i="7" s="1"/>
  <c r="N41" i="23"/>
  <c r="L43" i="23" s="1"/>
  <c r="O41" i="23"/>
  <c r="L103" i="19"/>
  <c r="I105" i="19" s="1"/>
  <c r="E164" i="19"/>
  <c r="N181" i="19" s="1"/>
  <c r="E196" i="19"/>
  <c r="E208" i="19" s="1"/>
  <c r="L173" i="17"/>
  <c r="N173" i="17" s="1"/>
  <c r="K155" i="17"/>
  <c r="J155" i="17"/>
  <c r="O44" i="21"/>
  <c r="N44" i="21"/>
  <c r="L46" i="21" s="1"/>
  <c r="L81" i="15"/>
  <c r="N81" i="15" s="1"/>
  <c r="L118" i="15"/>
  <c r="N118" i="15" s="1"/>
  <c r="I129" i="15"/>
  <c r="L129" i="15" s="1"/>
  <c r="I89" i="15"/>
  <c r="L89" i="15" s="1"/>
  <c r="N89" i="15" s="1"/>
  <c r="L91" i="15" s="1"/>
  <c r="B10" i="15" s="1"/>
  <c r="D10" i="15" s="1"/>
  <c r="L78" i="15"/>
  <c r="N78" i="15" s="1"/>
  <c r="L88" i="12"/>
  <c r="L111" i="11"/>
  <c r="N58" i="26"/>
  <c r="B7" i="13"/>
  <c r="B15" i="19"/>
  <c r="D15" i="19" s="1"/>
  <c r="L81" i="21"/>
  <c r="N81" i="21" s="1"/>
  <c r="I87" i="21"/>
  <c r="L87" i="21" s="1"/>
  <c r="N87" i="21" s="1"/>
  <c r="L89" i="21" s="1"/>
  <c r="B10" i="21" s="1"/>
  <c r="D10" i="21" s="1"/>
  <c r="L76" i="21"/>
  <c r="N76" i="21" s="1"/>
  <c r="D7" i="18"/>
  <c r="O37" i="21"/>
  <c r="N37" i="21"/>
  <c r="L98" i="10"/>
  <c r="L75" i="14"/>
  <c r="N75" i="14" s="1"/>
  <c r="L78" i="14" s="1"/>
  <c r="B12" i="14" s="1"/>
  <c r="D12" i="14" s="1"/>
  <c r="N40" i="15"/>
  <c r="O40" i="15"/>
  <c r="L62" i="23"/>
  <c r="N62" i="23" s="1"/>
  <c r="L64" i="23" s="1"/>
  <c r="B8" i="23" s="1"/>
  <c r="D8" i="23" s="1"/>
  <c r="L162" i="15"/>
  <c r="N162" i="15" s="1"/>
  <c r="L152" i="17"/>
  <c r="N152" i="17" s="1"/>
  <c r="L150" i="17"/>
  <c r="N150" i="17" s="1"/>
  <c r="L145" i="17"/>
  <c r="N145" i="17" s="1"/>
  <c r="L147" i="17"/>
  <c r="N147" i="17" s="1"/>
  <c r="N35" i="15"/>
  <c r="O35" i="15"/>
  <c r="L54" i="28"/>
  <c r="N54" i="28" s="1"/>
  <c r="L66" i="15"/>
  <c r="N66" i="15" s="1"/>
  <c r="L69" i="15" s="1"/>
  <c r="B14" i="15" s="1"/>
  <c r="D14" i="15" s="1"/>
  <c r="D7" i="27"/>
  <c r="E6" i="27" s="1"/>
  <c r="I165" i="15"/>
  <c r="L165" i="15" s="1"/>
  <c r="L150" i="15"/>
  <c r="N150" i="15" s="1"/>
  <c r="N36" i="17"/>
  <c r="O36" i="17"/>
  <c r="L69" i="26"/>
  <c r="L125" i="25" l="1"/>
  <c r="N125" i="25" s="1"/>
  <c r="E10" i="8"/>
  <c r="E13" i="19"/>
  <c r="L123" i="16"/>
  <c r="N123" i="16" s="1"/>
  <c r="K129" i="16"/>
  <c r="N123" i="9"/>
  <c r="L57" i="16"/>
  <c r="N57" i="16" s="1"/>
  <c r="L59" i="16" s="1"/>
  <c r="B8" i="16" s="1"/>
  <c r="D8" i="16" s="1"/>
  <c r="E6" i="16" s="1"/>
  <c r="L127" i="21"/>
  <c r="N127" i="21" s="1"/>
  <c r="N43" i="25"/>
  <c r="L45" i="25" s="1"/>
  <c r="O43" i="25"/>
  <c r="L54" i="25"/>
  <c r="N54" i="25" s="1"/>
  <c r="L56" i="25" s="1"/>
  <c r="B8" i="25" s="1"/>
  <c r="D8" i="25" s="1"/>
  <c r="E10" i="9"/>
  <c r="N129" i="15"/>
  <c r="L131" i="15"/>
  <c r="B11" i="15" s="1"/>
  <c r="D11" i="15" s="1"/>
  <c r="L118" i="25"/>
  <c r="N118" i="25" s="1"/>
  <c r="N123" i="11"/>
  <c r="B14" i="11"/>
  <c r="D14" i="11" s="1"/>
  <c r="O46" i="15"/>
  <c r="N46" i="15"/>
  <c r="L48" i="15" s="1"/>
  <c r="L110" i="10"/>
  <c r="D7" i="24"/>
  <c r="E6" i="24" s="1"/>
  <c r="E153" i="18"/>
  <c r="K140" i="18"/>
  <c r="J142" i="18"/>
  <c r="K138" i="18"/>
  <c r="I145" i="18"/>
  <c r="I135" i="18"/>
  <c r="J145" i="18"/>
  <c r="J135" i="18"/>
  <c r="K145" i="18"/>
  <c r="K135" i="18"/>
  <c r="I140" i="18"/>
  <c r="I142" i="18"/>
  <c r="J140" i="18"/>
  <c r="I138" i="18"/>
  <c r="J138" i="18"/>
  <c r="K142" i="18"/>
  <c r="N187" i="15"/>
  <c r="L167" i="15"/>
  <c r="B12" i="15" s="1"/>
  <c r="D12" i="15" s="1"/>
  <c r="N165" i="15"/>
  <c r="N84" i="28"/>
  <c r="L86" i="28"/>
  <c r="O45" i="17"/>
  <c r="N45" i="17"/>
  <c r="L47" i="17" s="1"/>
  <c r="L147" i="23"/>
  <c r="B11" i="23" s="1"/>
  <c r="D11" i="23" s="1"/>
  <c r="E9" i="23" s="1"/>
  <c r="N145" i="23"/>
  <c r="L178" i="17"/>
  <c r="L141" i="21"/>
  <c r="N140" i="21"/>
  <c r="B12" i="27"/>
  <c r="D12" i="27" s="1"/>
  <c r="L122" i="25"/>
  <c r="N122" i="25" s="1"/>
  <c r="L129" i="21"/>
  <c r="B11" i="21" s="1"/>
  <c r="D11" i="21" s="1"/>
  <c r="E9" i="21" s="1"/>
  <c r="I113" i="24"/>
  <c r="J113" i="24"/>
  <c r="K113" i="24"/>
  <c r="D7" i="11"/>
  <c r="E6" i="11" s="1"/>
  <c r="L119" i="17"/>
  <c r="L199" i="15"/>
  <c r="N199" i="15" s="1"/>
  <c r="L57" i="15"/>
  <c r="N57" i="15" s="1"/>
  <c r="L59" i="15" s="1"/>
  <c r="B8" i="15" s="1"/>
  <c r="D8" i="15" s="1"/>
  <c r="B8" i="18"/>
  <c r="B15" i="23"/>
  <c r="D15" i="23" s="1"/>
  <c r="N159" i="23"/>
  <c r="N44" i="14"/>
  <c r="L46" i="14" s="1"/>
  <c r="O44" i="14"/>
  <c r="B10" i="16"/>
  <c r="L94" i="16"/>
  <c r="I96" i="16" s="1"/>
  <c r="N129" i="17"/>
  <c r="L131" i="17"/>
  <c r="B15" i="17" s="1"/>
  <c r="D15" i="17" s="1"/>
  <c r="L71" i="27"/>
  <c r="B9" i="27" s="1"/>
  <c r="N69" i="27"/>
  <c r="I117" i="18"/>
  <c r="K117" i="18"/>
  <c r="J117" i="18"/>
  <c r="L100" i="17"/>
  <c r="B14" i="17" s="1"/>
  <c r="D14" i="17" s="1"/>
  <c r="N98" i="17"/>
  <c r="D7" i="12"/>
  <c r="E6" i="12" s="1"/>
  <c r="I119" i="18"/>
  <c r="K119" i="18"/>
  <c r="J119" i="18"/>
  <c r="N176" i="19"/>
  <c r="N169" i="19"/>
  <c r="N178" i="19"/>
  <c r="N166" i="19"/>
  <c r="N179" i="19"/>
  <c r="N173" i="19"/>
  <c r="N171" i="19"/>
  <c r="N180" i="19"/>
  <c r="N203" i="19"/>
  <c r="N204" i="19"/>
  <c r="N177" i="19"/>
  <c r="N211" i="19"/>
  <c r="N215" i="19"/>
  <c r="N199" i="19"/>
  <c r="L71" i="26"/>
  <c r="B9" i="26" s="1"/>
  <c r="N69" i="26"/>
  <c r="D7" i="13"/>
  <c r="E6" i="13" s="1"/>
  <c r="I106" i="19"/>
  <c r="L109" i="19" s="1"/>
  <c r="I107" i="19"/>
  <c r="L90" i="11"/>
  <c r="N88" i="11"/>
  <c r="B12" i="26"/>
  <c r="D12" i="26" s="1"/>
  <c r="E22" i="19"/>
  <c r="N8" i="19" s="1"/>
  <c r="J126" i="25"/>
  <c r="K126" i="25"/>
  <c r="L121" i="16"/>
  <c r="N121" i="16" s="1"/>
  <c r="L128" i="16"/>
  <c r="N128" i="16" s="1"/>
  <c r="I142" i="24"/>
  <c r="K135" i="24"/>
  <c r="J135" i="24"/>
  <c r="J142" i="24"/>
  <c r="I132" i="24"/>
  <c r="E150" i="24"/>
  <c r="K142" i="24"/>
  <c r="J132" i="24"/>
  <c r="K132" i="24"/>
  <c r="I139" i="24"/>
  <c r="I137" i="24"/>
  <c r="J137" i="24"/>
  <c r="I135" i="24"/>
  <c r="J139" i="24"/>
  <c r="K137" i="24"/>
  <c r="K139" i="24"/>
  <c r="N216" i="19"/>
  <c r="L138" i="14"/>
  <c r="N91" i="24"/>
  <c r="L95" i="24"/>
  <c r="N95" i="24" s="1"/>
  <c r="L97" i="24" s="1"/>
  <c r="I77" i="7"/>
  <c r="L80" i="7" s="1"/>
  <c r="I78" i="7"/>
  <c r="B12" i="13"/>
  <c r="D12" i="13" s="1"/>
  <c r="N102" i="13"/>
  <c r="B7" i="8"/>
  <c r="L93" i="8"/>
  <c r="I95" i="8" s="1"/>
  <c r="L175" i="8"/>
  <c r="L109" i="14"/>
  <c r="L152" i="14"/>
  <c r="N147" i="14"/>
  <c r="B7" i="21"/>
  <c r="B22" i="19"/>
  <c r="L125" i="16"/>
  <c r="N125" i="16" s="1"/>
  <c r="E147" i="16"/>
  <c r="E138" i="16"/>
  <c r="I115" i="24"/>
  <c r="J115" i="24"/>
  <c r="K115" i="24"/>
  <c r="L155" i="17"/>
  <c r="L81" i="13"/>
  <c r="N79" i="13"/>
  <c r="N148" i="21"/>
  <c r="L153" i="21"/>
  <c r="B7" i="10"/>
  <c r="L85" i="10"/>
  <c r="I87" i="10" s="1"/>
  <c r="B17" i="7"/>
  <c r="D7" i="7"/>
  <c r="E6" i="7" s="1"/>
  <c r="E17" i="7" s="1"/>
  <c r="N8" i="7" s="1"/>
  <c r="N98" i="10"/>
  <c r="L103" i="10"/>
  <c r="B13" i="11"/>
  <c r="D13" i="11" s="1"/>
  <c r="N111" i="11"/>
  <c r="B7" i="23"/>
  <c r="L223" i="23"/>
  <c r="L102" i="23"/>
  <c r="I104" i="23" s="1"/>
  <c r="L104" i="25"/>
  <c r="E93" i="26"/>
  <c r="E99" i="26"/>
  <c r="L115" i="25"/>
  <c r="N115" i="25" s="1"/>
  <c r="I126" i="25"/>
  <c r="I147" i="25"/>
  <c r="E143" i="25"/>
  <c r="J147" i="25"/>
  <c r="K147" i="25"/>
  <c r="J129" i="16"/>
  <c r="L107" i="16"/>
  <c r="K195" i="15"/>
  <c r="I195" i="15"/>
  <c r="J195" i="15"/>
  <c r="E93" i="27"/>
  <c r="E99" i="27"/>
  <c r="N166" i="23"/>
  <c r="L171" i="23"/>
  <c r="L61" i="28"/>
  <c r="N59" i="28"/>
  <c r="N88" i="12"/>
  <c r="L90" i="12"/>
  <c r="L81" i="26"/>
  <c r="N54" i="17"/>
  <c r="L57" i="17"/>
  <c r="N57" i="17" s="1"/>
  <c r="L59" i="17" s="1"/>
  <c r="B13" i="17" s="1"/>
  <c r="D13" i="17" s="1"/>
  <c r="L120" i="25"/>
  <c r="N120" i="25" s="1"/>
  <c r="I129" i="16"/>
  <c r="L118" i="16"/>
  <c r="N118" i="16" s="1"/>
  <c r="N95" i="18"/>
  <c r="L99" i="18"/>
  <c r="N99" i="18" s="1"/>
  <c r="L101" i="18" s="1"/>
  <c r="B10" i="18" s="1"/>
  <c r="D10" i="18" s="1"/>
  <c r="B13" i="13"/>
  <c r="D13" i="13" s="1"/>
  <c r="N114" i="13"/>
  <c r="L81" i="27"/>
  <c r="L183" i="15"/>
  <c r="N183" i="15" s="1"/>
  <c r="N98" i="22"/>
  <c r="L206" i="22"/>
  <c r="L208" i="22" s="1"/>
  <c r="B7" i="9"/>
  <c r="L175" i="9"/>
  <c r="L93" i="9"/>
  <c r="I95" i="9" s="1"/>
  <c r="E20" i="22"/>
  <c r="N8" i="22" s="1"/>
  <c r="L55" i="21"/>
  <c r="N55" i="21" s="1"/>
  <c r="L57" i="21" s="1"/>
  <c r="B8" i="21" s="1"/>
  <c r="D8" i="21" s="1"/>
  <c r="L190" i="17"/>
  <c r="E10" i="11" l="1"/>
  <c r="J146" i="18"/>
  <c r="J143" i="24"/>
  <c r="L126" i="25"/>
  <c r="L92" i="21"/>
  <c r="I94" i="21" s="1"/>
  <c r="L129" i="16"/>
  <c r="B7" i="25"/>
  <c r="D7" i="25" s="1"/>
  <c r="E6" i="25" s="1"/>
  <c r="L91" i="25"/>
  <c r="I93" i="25" s="1"/>
  <c r="L147" i="25"/>
  <c r="N147" i="25" s="1"/>
  <c r="K143" i="24"/>
  <c r="L142" i="24"/>
  <c r="N142" i="24" s="1"/>
  <c r="E9" i="15"/>
  <c r="B18" i="9"/>
  <c r="D7" i="9"/>
  <c r="E6" i="9" s="1"/>
  <c r="E18" i="9" s="1"/>
  <c r="N8" i="9" s="1"/>
  <c r="D7" i="21"/>
  <c r="E6" i="21" s="1"/>
  <c r="D9" i="26"/>
  <c r="L131" i="16"/>
  <c r="B11" i="16" s="1"/>
  <c r="D11" i="16" s="1"/>
  <c r="N129" i="16"/>
  <c r="L128" i="25"/>
  <c r="B11" i="25" s="1"/>
  <c r="N126" i="25"/>
  <c r="I88" i="10"/>
  <c r="L91" i="10" s="1"/>
  <c r="I89" i="10"/>
  <c r="E10" i="13"/>
  <c r="B9" i="11"/>
  <c r="L93" i="11"/>
  <c r="I95" i="11" s="1"/>
  <c r="L175" i="11"/>
  <c r="L119" i="18"/>
  <c r="N119" i="18" s="1"/>
  <c r="B7" i="14"/>
  <c r="N119" i="17"/>
  <c r="L121" i="17"/>
  <c r="B10" i="17" s="1"/>
  <c r="D10" i="17" s="1"/>
  <c r="I143" i="25"/>
  <c r="J143" i="25"/>
  <c r="K143" i="25"/>
  <c r="L205" i="21"/>
  <c r="B17" i="17"/>
  <c r="D17" i="17" s="1"/>
  <c r="N190" i="17"/>
  <c r="B9" i="28"/>
  <c r="L127" i="28"/>
  <c r="L129" i="28" s="1"/>
  <c r="L126" i="28"/>
  <c r="L110" i="16"/>
  <c r="N107" i="16"/>
  <c r="D7" i="10"/>
  <c r="E6" i="10" s="1"/>
  <c r="L115" i="24"/>
  <c r="N115" i="24" s="1"/>
  <c r="J156" i="24"/>
  <c r="I118" i="24"/>
  <c r="K156" i="24"/>
  <c r="J118" i="24"/>
  <c r="J120" i="24"/>
  <c r="I120" i="24"/>
  <c r="K118" i="24"/>
  <c r="K120" i="24"/>
  <c r="I156" i="24"/>
  <c r="E152" i="24"/>
  <c r="E162" i="24"/>
  <c r="D9" i="27"/>
  <c r="B16" i="17"/>
  <c r="D16" i="17" s="1"/>
  <c r="N178" i="17"/>
  <c r="L138" i="18"/>
  <c r="N138" i="18" s="1"/>
  <c r="I146" i="18"/>
  <c r="L135" i="18"/>
  <c r="N135" i="18" s="1"/>
  <c r="L115" i="10"/>
  <c r="N110" i="10"/>
  <c r="L195" i="15"/>
  <c r="D7" i="23"/>
  <c r="E6" i="23" s="1"/>
  <c r="L117" i="18"/>
  <c r="N117" i="18" s="1"/>
  <c r="B15" i="21"/>
  <c r="D15" i="21" s="1"/>
  <c r="E12" i="21" s="1"/>
  <c r="N141" i="21"/>
  <c r="L86" i="27"/>
  <c r="N81" i="27"/>
  <c r="N171" i="23"/>
  <c r="B16" i="23"/>
  <c r="D16" i="23" s="1"/>
  <c r="E12" i="23" s="1"/>
  <c r="I102" i="26"/>
  <c r="J102" i="26"/>
  <c r="K102" i="26"/>
  <c r="B16" i="21"/>
  <c r="D16" i="21" s="1"/>
  <c r="N153" i="21"/>
  <c r="K138" i="16"/>
  <c r="J138" i="16"/>
  <c r="I138" i="16"/>
  <c r="N152" i="14"/>
  <c r="B14" i="14"/>
  <c r="D14" i="14" s="1"/>
  <c r="N80" i="7"/>
  <c r="L157" i="7"/>
  <c r="L159" i="7" s="1"/>
  <c r="L135" i="24"/>
  <c r="N135" i="24" s="1"/>
  <c r="I143" i="24"/>
  <c r="L143" i="24" s="1"/>
  <c r="L132" i="24"/>
  <c r="N132" i="24" s="1"/>
  <c r="N109" i="19"/>
  <c r="L186" i="19"/>
  <c r="I188" i="19" s="1"/>
  <c r="L145" i="18"/>
  <c r="N145" i="18" s="1"/>
  <c r="L94" i="15"/>
  <c r="I96" i="15" s="1"/>
  <c r="B7" i="15"/>
  <c r="I93" i="26"/>
  <c r="J93" i="26"/>
  <c r="K93" i="26"/>
  <c r="B13" i="10"/>
  <c r="D13" i="10" s="1"/>
  <c r="N103" i="10"/>
  <c r="E181" i="16"/>
  <c r="K162" i="16"/>
  <c r="J162" i="16"/>
  <c r="K157" i="16"/>
  <c r="K160" i="16"/>
  <c r="I161" i="16"/>
  <c r="K161" i="16"/>
  <c r="J161" i="16"/>
  <c r="I164" i="16"/>
  <c r="J160" i="16"/>
  <c r="J164" i="16"/>
  <c r="I163" i="16"/>
  <c r="J163" i="16"/>
  <c r="I150" i="16"/>
  <c r="I153" i="16"/>
  <c r="K163" i="16"/>
  <c r="J150" i="16"/>
  <c r="K150" i="16"/>
  <c r="I162" i="16"/>
  <c r="I157" i="16"/>
  <c r="J157" i="16"/>
  <c r="K164" i="16"/>
  <c r="I160" i="16"/>
  <c r="K153" i="16"/>
  <c r="J153" i="16"/>
  <c r="I155" i="16"/>
  <c r="J155" i="16"/>
  <c r="K155" i="16"/>
  <c r="L111" i="14"/>
  <c r="B10" i="14" s="1"/>
  <c r="D10" i="14" s="1"/>
  <c r="E9" i="14" s="1"/>
  <c r="N109" i="14"/>
  <c r="B10" i="24"/>
  <c r="L100" i="24"/>
  <c r="I102" i="24" s="1"/>
  <c r="L188" i="15"/>
  <c r="L142" i="18"/>
  <c r="N142" i="18" s="1"/>
  <c r="N155" i="17"/>
  <c r="L157" i="17"/>
  <c r="B11" i="17" s="1"/>
  <c r="D11" i="17" s="1"/>
  <c r="I96" i="21"/>
  <c r="I95" i="21"/>
  <c r="L98" i="21" s="1"/>
  <c r="B18" i="8"/>
  <c r="D7" i="8"/>
  <c r="E6" i="8" s="1"/>
  <c r="E18" i="8" s="1"/>
  <c r="N8" i="8" s="1"/>
  <c r="E155" i="18"/>
  <c r="E164" i="18"/>
  <c r="N86" i="28"/>
  <c r="B12" i="28"/>
  <c r="D12" i="28" s="1"/>
  <c r="E11" i="28" s="1"/>
  <c r="I97" i="9"/>
  <c r="I96" i="9"/>
  <c r="L99" i="9" s="1"/>
  <c r="N81" i="26"/>
  <c r="L86" i="26"/>
  <c r="K102" i="27"/>
  <c r="I102" i="27"/>
  <c r="J102" i="27"/>
  <c r="N104" i="25"/>
  <c r="L107" i="25"/>
  <c r="L137" i="24"/>
  <c r="N137" i="24" s="1"/>
  <c r="I98" i="16"/>
  <c r="I97" i="16"/>
  <c r="L100" i="16" s="1"/>
  <c r="L104" i="18"/>
  <c r="I106" i="18" s="1"/>
  <c r="J121" i="24"/>
  <c r="L140" i="18"/>
  <c r="N140" i="18" s="1"/>
  <c r="D10" i="16"/>
  <c r="B9" i="12"/>
  <c r="L93" i="12"/>
  <c r="I95" i="12" s="1"/>
  <c r="L175" i="12"/>
  <c r="I93" i="27"/>
  <c r="J93" i="27"/>
  <c r="K93" i="27"/>
  <c r="I105" i="23"/>
  <c r="L108" i="23" s="1"/>
  <c r="I106" i="23"/>
  <c r="B9" i="13"/>
  <c r="L84" i="13"/>
  <c r="I86" i="13" s="1"/>
  <c r="L166" i="13"/>
  <c r="I97" i="8"/>
  <c r="I96" i="8"/>
  <c r="L99" i="8" s="1"/>
  <c r="L140" i="14"/>
  <c r="B13" i="14" s="1"/>
  <c r="D13" i="14" s="1"/>
  <c r="N138" i="14"/>
  <c r="L139" i="24"/>
  <c r="N139" i="24" s="1"/>
  <c r="D8" i="18"/>
  <c r="E6" i="18" s="1"/>
  <c r="L113" i="24"/>
  <c r="N113" i="24" s="1"/>
  <c r="L84" i="17"/>
  <c r="I86" i="17" s="1"/>
  <c r="B7" i="17"/>
  <c r="K146" i="18"/>
  <c r="L156" i="24" l="1"/>
  <c r="K121" i="24"/>
  <c r="E12" i="17"/>
  <c r="L102" i="26"/>
  <c r="L103" i="26" s="1"/>
  <c r="B14" i="26" s="1"/>
  <c r="D14" i="26" s="1"/>
  <c r="L161" i="16"/>
  <c r="N161" i="16" s="1"/>
  <c r="B20" i="23"/>
  <c r="I94" i="25"/>
  <c r="L97" i="25" s="1"/>
  <c r="N97" i="25" s="1"/>
  <c r="I95" i="25"/>
  <c r="L93" i="26"/>
  <c r="L163" i="16"/>
  <c r="N163" i="16" s="1"/>
  <c r="E11" i="14"/>
  <c r="L155" i="16"/>
  <c r="N155" i="16" s="1"/>
  <c r="K165" i="16"/>
  <c r="L118" i="24"/>
  <c r="N118" i="24" s="1"/>
  <c r="L157" i="16"/>
  <c r="N157" i="16" s="1"/>
  <c r="L164" i="16"/>
  <c r="N164" i="16" s="1"/>
  <c r="E20" i="23"/>
  <c r="N8" i="23" s="1"/>
  <c r="L102" i="27"/>
  <c r="L103" i="27" s="1"/>
  <c r="B14" i="27" s="1"/>
  <c r="D14" i="27" s="1"/>
  <c r="E183" i="16"/>
  <c r="K187" i="16"/>
  <c r="E193" i="16"/>
  <c r="I187" i="16"/>
  <c r="J187" i="16"/>
  <c r="N143" i="24"/>
  <c r="L145" i="24"/>
  <c r="B11" i="24" s="1"/>
  <c r="D11" i="24" s="1"/>
  <c r="N156" i="24"/>
  <c r="B15" i="28"/>
  <c r="D9" i="28"/>
  <c r="E8" i="28" s="1"/>
  <c r="E15" i="28" s="1"/>
  <c r="N8" i="28" s="1"/>
  <c r="E8" i="17"/>
  <c r="D9" i="11"/>
  <c r="E8" i="11" s="1"/>
  <c r="E18" i="11" s="1"/>
  <c r="N8" i="11" s="1"/>
  <c r="B18" i="11"/>
  <c r="I96" i="11"/>
  <c r="L99" i="11" s="1"/>
  <c r="I97" i="11"/>
  <c r="I97" i="12"/>
  <c r="I96" i="12"/>
  <c r="L99" i="12" s="1"/>
  <c r="D7" i="15"/>
  <c r="E6" i="15" s="1"/>
  <c r="B21" i="17"/>
  <c r="D7" i="17"/>
  <c r="E6" i="17" s="1"/>
  <c r="D9" i="13"/>
  <c r="E8" i="13" s="1"/>
  <c r="E17" i="13" s="1"/>
  <c r="N8" i="13" s="1"/>
  <c r="B17" i="13"/>
  <c r="D9" i="12"/>
  <c r="E8" i="12" s="1"/>
  <c r="E18" i="12" s="1"/>
  <c r="N8" i="12" s="1"/>
  <c r="B18" i="12"/>
  <c r="N100" i="16"/>
  <c r="K155" i="18"/>
  <c r="J155" i="18"/>
  <c r="I155" i="18"/>
  <c r="I103" i="24"/>
  <c r="L106" i="24" s="1"/>
  <c r="I104" i="24"/>
  <c r="N195" i="15"/>
  <c r="L200" i="15"/>
  <c r="I87" i="13"/>
  <c r="L90" i="13" s="1"/>
  <c r="I88" i="13"/>
  <c r="I107" i="18"/>
  <c r="L110" i="18" s="1"/>
  <c r="I108" i="18"/>
  <c r="K181" i="18"/>
  <c r="J178" i="18"/>
  <c r="I170" i="18"/>
  <c r="K174" i="18"/>
  <c r="J180" i="18"/>
  <c r="J177" i="18"/>
  <c r="J167" i="18"/>
  <c r="K180" i="18"/>
  <c r="K177" i="18"/>
  <c r="K167" i="18"/>
  <c r="I179" i="18"/>
  <c r="I172" i="18"/>
  <c r="I174" i="18"/>
  <c r="J179" i="18"/>
  <c r="J172" i="18"/>
  <c r="J174" i="18"/>
  <c r="E198" i="18"/>
  <c r="K179" i="18"/>
  <c r="K172" i="18"/>
  <c r="I177" i="18"/>
  <c r="J170" i="18"/>
  <c r="K170" i="18"/>
  <c r="I181" i="18"/>
  <c r="I167" i="18"/>
  <c r="J181" i="18"/>
  <c r="I178" i="18"/>
  <c r="I180" i="18"/>
  <c r="K178" i="18"/>
  <c r="J165" i="16"/>
  <c r="L242" i="17"/>
  <c r="B10" i="26"/>
  <c r="N86" i="26"/>
  <c r="D10" i="24"/>
  <c r="E9" i="24" s="1"/>
  <c r="L160" i="16"/>
  <c r="N160" i="16" s="1"/>
  <c r="L153" i="16"/>
  <c r="N153" i="16" s="1"/>
  <c r="I98" i="15"/>
  <c r="I97" i="15"/>
  <c r="L100" i="15" s="1"/>
  <c r="B10" i="27"/>
  <c r="N86" i="27"/>
  <c r="L204" i="14"/>
  <c r="E20" i="21"/>
  <c r="N8" i="21" s="1"/>
  <c r="J152" i="24"/>
  <c r="K152" i="24"/>
  <c r="I152" i="24"/>
  <c r="I88" i="17"/>
  <c r="I87" i="17"/>
  <c r="L90" i="17" s="1"/>
  <c r="N108" i="23"/>
  <c r="L224" i="23"/>
  <c r="L226" i="23" s="1"/>
  <c r="N188" i="15"/>
  <c r="B17" i="15"/>
  <c r="D17" i="15" s="1"/>
  <c r="L150" i="16"/>
  <c r="N150" i="16" s="1"/>
  <c r="I165" i="16"/>
  <c r="B14" i="10"/>
  <c r="D14" i="10" s="1"/>
  <c r="E10" i="10" s="1"/>
  <c r="E18" i="10" s="1"/>
  <c r="N8" i="10" s="1"/>
  <c r="N115" i="10"/>
  <c r="L167" i="10"/>
  <c r="L120" i="24"/>
  <c r="N120" i="24" s="1"/>
  <c r="L114" i="14"/>
  <c r="I116" i="14" s="1"/>
  <c r="L168" i="10"/>
  <c r="L170" i="10" s="1"/>
  <c r="N91" i="10"/>
  <c r="B20" i="21"/>
  <c r="L176" i="9"/>
  <c r="L178" i="9" s="1"/>
  <c r="N99" i="9"/>
  <c r="B18" i="14"/>
  <c r="D7" i="14"/>
  <c r="E6" i="14" s="1"/>
  <c r="B14" i="25"/>
  <c r="D14" i="25" s="1"/>
  <c r="L95" i="26"/>
  <c r="N93" i="26"/>
  <c r="I190" i="19"/>
  <c r="I189" i="19"/>
  <c r="L192" i="19" s="1"/>
  <c r="L146" i="18"/>
  <c r="B15" i="16"/>
  <c r="D15" i="16" s="1"/>
  <c r="D11" i="25"/>
  <c r="E9" i="25" s="1"/>
  <c r="I121" i="24"/>
  <c r="L121" i="24" s="1"/>
  <c r="L176" i="8"/>
  <c r="L178" i="8" s="1"/>
  <c r="N99" i="8"/>
  <c r="L93" i="27"/>
  <c r="N98" i="21"/>
  <c r="L206" i="21"/>
  <c r="L208" i="21" s="1"/>
  <c r="L162" i="16"/>
  <c r="N162" i="16" s="1"/>
  <c r="L138" i="16"/>
  <c r="K168" i="24"/>
  <c r="E164" i="24"/>
  <c r="I168" i="24"/>
  <c r="J168" i="24"/>
  <c r="L143" i="25"/>
  <c r="L181" i="18" l="1"/>
  <c r="N181" i="18" s="1"/>
  <c r="L177" i="18"/>
  <c r="N177" i="18" s="1"/>
  <c r="L172" i="18"/>
  <c r="N172" i="18" s="1"/>
  <c r="E18" i="14"/>
  <c r="N8" i="14" s="1"/>
  <c r="B18" i="10"/>
  <c r="L187" i="16"/>
  <c r="N187" i="16" s="1"/>
  <c r="N192" i="19"/>
  <c r="L269" i="19"/>
  <c r="L271" i="19" s="1"/>
  <c r="L180" i="18"/>
  <c r="N180" i="18" s="1"/>
  <c r="L179" i="18"/>
  <c r="N179" i="18" s="1"/>
  <c r="L170" i="18"/>
  <c r="N170" i="18" s="1"/>
  <c r="B18" i="15"/>
  <c r="D18" i="15" s="1"/>
  <c r="E13" i="15" s="1"/>
  <c r="E22" i="15" s="1"/>
  <c r="N8" i="15" s="1"/>
  <c r="N200" i="15"/>
  <c r="E195" i="16"/>
  <c r="J199" i="16"/>
  <c r="K199" i="16"/>
  <c r="I199" i="16"/>
  <c r="B13" i="26"/>
  <c r="D13" i="26" s="1"/>
  <c r="E11" i="26" s="1"/>
  <c r="N95" i="26"/>
  <c r="L135" i="26"/>
  <c r="L136" i="26"/>
  <c r="L138" i="26" s="1"/>
  <c r="L178" i="18"/>
  <c r="N178" i="18" s="1"/>
  <c r="K182" i="18"/>
  <c r="L176" i="12"/>
  <c r="L178" i="12" s="1"/>
  <c r="N99" i="12"/>
  <c r="L123" i="24"/>
  <c r="N121" i="24"/>
  <c r="L148" i="25"/>
  <c r="N143" i="25"/>
  <c r="L160" i="17"/>
  <c r="I162" i="17" s="1"/>
  <c r="N90" i="17"/>
  <c r="J124" i="18"/>
  <c r="K122" i="18"/>
  <c r="K125" i="18" s="1"/>
  <c r="E210" i="18"/>
  <c r="J204" i="18"/>
  <c r="I204" i="18"/>
  <c r="K204" i="18"/>
  <c r="E200" i="18"/>
  <c r="I122" i="18"/>
  <c r="I124" i="18"/>
  <c r="L124" i="18" s="1"/>
  <c r="N124" i="18" s="1"/>
  <c r="J122" i="18"/>
  <c r="K124" i="18"/>
  <c r="I183" i="16"/>
  <c r="J183" i="16"/>
  <c r="K183" i="16"/>
  <c r="L141" i="16"/>
  <c r="N138" i="16"/>
  <c r="L165" i="16"/>
  <c r="D10" i="27"/>
  <c r="E8" i="27" s="1"/>
  <c r="L167" i="18"/>
  <c r="N167" i="18" s="1"/>
  <c r="I182" i="18"/>
  <c r="N106" i="24"/>
  <c r="L168" i="24"/>
  <c r="N168" i="24" s="1"/>
  <c r="L95" i="27"/>
  <c r="N93" i="27"/>
  <c r="L152" i="24"/>
  <c r="N100" i="15"/>
  <c r="L170" i="15"/>
  <c r="I172" i="15" s="1"/>
  <c r="D10" i="26"/>
  <c r="E8" i="26" s="1"/>
  <c r="B16" i="26"/>
  <c r="J182" i="18"/>
  <c r="N110" i="18"/>
  <c r="L155" i="18"/>
  <c r="L176" i="11"/>
  <c r="L178" i="11" s="1"/>
  <c r="N99" i="11"/>
  <c r="J164" i="24"/>
  <c r="K164" i="24"/>
  <c r="I164" i="24"/>
  <c r="N146" i="18"/>
  <c r="L148" i="18"/>
  <c r="B11" i="18" s="1"/>
  <c r="I117" i="14"/>
  <c r="L120" i="14" s="1"/>
  <c r="I118" i="14"/>
  <c r="E21" i="17"/>
  <c r="N8" i="17" s="1"/>
  <c r="L174" i="18"/>
  <c r="N174" i="18" s="1"/>
  <c r="L167" i="13"/>
  <c r="L169" i="13" s="1"/>
  <c r="N90" i="13"/>
  <c r="L252" i="15"/>
  <c r="L182" i="18" l="1"/>
  <c r="N182" i="18" s="1"/>
  <c r="E16" i="26"/>
  <c r="N8" i="26" s="1"/>
  <c r="L122" i="18"/>
  <c r="N122" i="18" s="1"/>
  <c r="I125" i="18"/>
  <c r="I174" i="15"/>
  <c r="I173" i="15"/>
  <c r="L176" i="15" s="1"/>
  <c r="B16" i="16"/>
  <c r="D16" i="16" s="1"/>
  <c r="K200" i="18"/>
  <c r="J200" i="18"/>
  <c r="I200" i="18"/>
  <c r="L199" i="16"/>
  <c r="N199" i="16" s="1"/>
  <c r="I164" i="17"/>
  <c r="I163" i="17"/>
  <c r="L166" i="17" s="1"/>
  <c r="L204" i="18"/>
  <c r="B14" i="24"/>
  <c r="L184" i="18"/>
  <c r="B12" i="18" s="1"/>
  <c r="D12" i="18" s="1"/>
  <c r="L183" i="16"/>
  <c r="J195" i="16"/>
  <c r="K195" i="16"/>
  <c r="I195" i="16"/>
  <c r="N120" i="14"/>
  <c r="L205" i="14"/>
  <c r="L207" i="14" s="1"/>
  <c r="N155" i="18"/>
  <c r="L158" i="18"/>
  <c r="B16" i="18" s="1"/>
  <c r="D16" i="18" s="1"/>
  <c r="N152" i="24"/>
  <c r="L157" i="24"/>
  <c r="D11" i="18"/>
  <c r="E212" i="18"/>
  <c r="K216" i="18"/>
  <c r="I216" i="18"/>
  <c r="J216" i="18"/>
  <c r="N148" i="25"/>
  <c r="B15" i="25"/>
  <c r="L200" i="25"/>
  <c r="L201" i="25"/>
  <c r="L203" i="25" s="1"/>
  <c r="B22" i="15"/>
  <c r="L164" i="24"/>
  <c r="B13" i="27"/>
  <c r="N95" i="27"/>
  <c r="L136" i="27"/>
  <c r="L138" i="27" s="1"/>
  <c r="L135" i="27"/>
  <c r="L167" i="16"/>
  <c r="B12" i="16" s="1"/>
  <c r="N165" i="16"/>
  <c r="J125" i="18"/>
  <c r="E9" i="18" l="1"/>
  <c r="D12" i="16"/>
  <c r="E9" i="16" s="1"/>
  <c r="N176" i="15"/>
  <c r="L253" i="15"/>
  <c r="L255" i="15" s="1"/>
  <c r="L243" i="17"/>
  <c r="L245" i="17" s="1"/>
  <c r="N166" i="17"/>
  <c r="N157" i="24"/>
  <c r="B15" i="24"/>
  <c r="D15" i="24" s="1"/>
  <c r="N183" i="16"/>
  <c r="L188" i="16"/>
  <c r="L216" i="18"/>
  <c r="N216" i="18" s="1"/>
  <c r="L200" i="18"/>
  <c r="N200" i="18" s="1"/>
  <c r="L125" i="18"/>
  <c r="N204" i="18"/>
  <c r="D15" i="25"/>
  <c r="E12" i="25" s="1"/>
  <c r="E19" i="25" s="1"/>
  <c r="N8" i="25" s="1"/>
  <c r="B19" i="25"/>
  <c r="D13" i="27"/>
  <c r="E11" i="27" s="1"/>
  <c r="E16" i="27" s="1"/>
  <c r="N8" i="27" s="1"/>
  <c r="B16" i="27"/>
  <c r="L195" i="16"/>
  <c r="L169" i="24"/>
  <c r="N164" i="24"/>
  <c r="I212" i="18"/>
  <c r="J212" i="18"/>
  <c r="K212" i="18"/>
  <c r="D14" i="24"/>
  <c r="L170" i="16"/>
  <c r="I172" i="16" s="1"/>
  <c r="I174" i="16" l="1"/>
  <c r="I173" i="16"/>
  <c r="L176" i="16" s="1"/>
  <c r="N169" i="24"/>
  <c r="B16" i="24"/>
  <c r="L221" i="24"/>
  <c r="B17" i="16"/>
  <c r="N188" i="16"/>
  <c r="L212" i="18"/>
  <c r="L127" i="18"/>
  <c r="N125" i="18"/>
  <c r="L200" i="16"/>
  <c r="N195" i="16"/>
  <c r="L222" i="24"/>
  <c r="L224" i="24" s="1"/>
  <c r="L205" i="18"/>
  <c r="D17" i="16" l="1"/>
  <c r="B17" i="18"/>
  <c r="D17" i="18" s="1"/>
  <c r="N205" i="18"/>
  <c r="D16" i="24"/>
  <c r="E12" i="24" s="1"/>
  <c r="E20" i="24" s="1"/>
  <c r="N8" i="24" s="1"/>
  <c r="B20" i="24"/>
  <c r="N200" i="16"/>
  <c r="B18" i="16"/>
  <c r="D18" i="16" s="1"/>
  <c r="L252" i="16"/>
  <c r="N176" i="16"/>
  <c r="L253" i="16"/>
  <c r="L255" i="16" s="1"/>
  <c r="B15" i="18"/>
  <c r="L187" i="18"/>
  <c r="I189" i="18" s="1"/>
  <c r="L217" i="18"/>
  <c r="L269" i="18" s="1"/>
  <c r="N212" i="18"/>
  <c r="I191" i="18" l="1"/>
  <c r="I190" i="18"/>
  <c r="L193" i="18" s="1"/>
  <c r="B18" i="18"/>
  <c r="D18" i="18" s="1"/>
  <c r="N217" i="18"/>
  <c r="D15" i="18"/>
  <c r="B22" i="16"/>
  <c r="E13" i="16"/>
  <c r="E22" i="16" s="1"/>
  <c r="N8" i="16" s="1"/>
  <c r="E13" i="18" l="1"/>
  <c r="E22" i="18" s="1"/>
  <c r="N8" i="18" s="1"/>
  <c r="B22" i="18"/>
  <c r="L270" i="18"/>
  <c r="L272" i="18" s="1"/>
  <c r="N193"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neeft</author>
  </authors>
  <commentList>
    <comment ref="D35" authorId="0" shapeId="0" xr:uid="{00000000-0006-0000-0500-000001000000}">
      <text>
        <r>
          <rPr>
            <sz val="8"/>
            <color indexed="81"/>
            <rFont val="Tahoma"/>
            <family val="2"/>
          </rPr>
          <t>Example 1: Warm temperature moist
Example 2: Tropical moist</t>
        </r>
      </text>
    </comment>
    <comment ref="D36" authorId="0" shapeId="0" xr:uid="{00000000-0006-0000-0500-000002000000}">
      <text>
        <r>
          <rPr>
            <sz val="8"/>
            <color indexed="81"/>
            <rFont val="Tahoma"/>
            <family val="2"/>
          </rPr>
          <t>Example 1: Cultivated/cropland
Example 2: Palm oil/perennial</t>
        </r>
      </text>
    </comment>
    <comment ref="H36" authorId="0" shapeId="0" xr:uid="{00000000-0006-0000-0500-000003000000}">
      <text>
        <r>
          <rPr>
            <sz val="8"/>
            <color indexed="81"/>
            <rFont val="Tahoma"/>
            <family val="2"/>
          </rPr>
          <t xml:space="preserve">Example 1: Native forest (&gt;30% canopy cover)
Example 2: Grassland/savannah
</t>
        </r>
      </text>
    </comment>
    <comment ref="D39" authorId="0" shapeId="0" xr:uid="{00000000-0006-0000-0500-000004000000}">
      <text>
        <r>
          <rPr>
            <sz val="8"/>
            <color indexed="81"/>
            <rFont val="Tahoma"/>
            <family val="2"/>
          </rPr>
          <t>Example 1: not relevant
Example 2: not relevant</t>
        </r>
      </text>
    </comment>
    <comment ref="H39" authorId="0" shapeId="0" xr:uid="{00000000-0006-0000-0500-000005000000}">
      <text>
        <r>
          <rPr>
            <sz val="8"/>
            <color indexed="81"/>
            <rFont val="Tahoma"/>
            <family val="2"/>
          </rPr>
          <t>Example 1: Oceanic forest
Example 2: not relevant</t>
        </r>
      </text>
    </comment>
    <comment ref="D40" authorId="0" shapeId="0" xr:uid="{00000000-0006-0000-0500-000006000000}">
      <text>
        <r>
          <rPr>
            <sz val="8"/>
            <color indexed="81"/>
            <rFont val="Tahoma"/>
            <family val="2"/>
          </rPr>
          <t>Example 1: not relevant
Example 2: not relevant</t>
        </r>
      </text>
    </comment>
    <comment ref="H40" authorId="0" shapeId="0" xr:uid="{00000000-0006-0000-0500-000007000000}">
      <text>
        <r>
          <rPr>
            <sz val="8"/>
            <color indexed="81"/>
            <rFont val="Tahoma"/>
            <family val="2"/>
          </rPr>
          <t>Example 1: Europe
Example 2: not relevant</t>
        </r>
      </text>
    </comment>
    <comment ref="D41" authorId="0" shapeId="0" xr:uid="{00000000-0006-0000-0500-000008000000}">
      <text>
        <r>
          <rPr>
            <sz val="8"/>
            <color indexed="81"/>
            <rFont val="Tahoma"/>
            <family val="2"/>
          </rPr>
          <t>Example 1:    0
Example 2:   60</t>
        </r>
      </text>
    </comment>
    <comment ref="H41" authorId="0" shapeId="0" xr:uid="{00000000-0006-0000-0500-000009000000}">
      <text>
        <r>
          <rPr>
            <sz val="8"/>
            <color indexed="81"/>
            <rFont val="Tahoma"/>
            <family val="2"/>
          </rPr>
          <t>Example 1:    84
Example 2:   8,1</t>
        </r>
      </text>
    </comment>
    <comment ref="V41" authorId="0" shapeId="0" xr:uid="{00000000-0006-0000-0500-00000A000000}">
      <text>
        <r>
          <rPr>
            <sz val="8"/>
            <color indexed="81"/>
            <rFont val="Tahoma"/>
            <family val="2"/>
          </rPr>
          <t>The value of 0.47 is only applicable to CFB, not to R</t>
        </r>
      </text>
    </comment>
    <comment ref="D45" authorId="0" shapeId="0" xr:uid="{00000000-0006-0000-0500-00000B000000}">
      <text>
        <r>
          <rPr>
            <sz val="8"/>
            <color indexed="81"/>
            <rFont val="Tahoma"/>
            <family val="2"/>
          </rPr>
          <t>Example 1: High activity clay
Example 2: Low activity clay</t>
        </r>
      </text>
    </comment>
    <comment ref="D46" authorId="0" shapeId="0" xr:uid="{00000000-0006-0000-0500-00000C000000}">
      <text>
        <r>
          <rPr>
            <sz val="8"/>
            <color indexed="81"/>
            <rFont val="Tahoma"/>
            <family val="2"/>
          </rPr>
          <t>Example 1: Full-tillage
Example 2: No-till</t>
        </r>
      </text>
    </comment>
    <comment ref="H46" authorId="0" shapeId="0" xr:uid="{00000000-0006-0000-0500-00000D000000}">
      <text>
        <r>
          <rPr>
            <sz val="8"/>
            <color indexed="81"/>
            <rFont val="Tahoma"/>
            <family val="2"/>
          </rPr>
          <t>Example 1:   No till
Example 2:  Nominally managed</t>
        </r>
      </text>
    </comment>
    <comment ref="D47" authorId="0" shapeId="0" xr:uid="{00000000-0006-0000-0500-00000E000000}">
      <text>
        <r>
          <rPr>
            <sz val="8"/>
            <color indexed="81"/>
            <rFont val="Tahoma"/>
            <family val="2"/>
          </rPr>
          <t>Example 1: High without manure
Example 2: Medium</t>
        </r>
      </text>
    </comment>
    <comment ref="H47" authorId="0" shapeId="0" xr:uid="{00000000-0006-0000-0500-00000F000000}">
      <text>
        <r>
          <rPr>
            <sz val="8"/>
            <color indexed="81"/>
            <rFont val="Tahoma"/>
            <family val="2"/>
          </rPr>
          <t>Example 1:   No input
Example 2:   Medium input</t>
        </r>
      </text>
    </comment>
    <comment ref="D49" authorId="0" shapeId="0" xr:uid="{00000000-0006-0000-0500-000010000000}">
      <text>
        <r>
          <rPr>
            <sz val="8"/>
            <color indexed="81"/>
            <rFont val="Tahoma"/>
            <family val="2"/>
          </rPr>
          <t>Example 1:    88
Example 2:   47</t>
        </r>
      </text>
    </comment>
    <comment ref="V49" authorId="0" shapeId="0" xr:uid="{00000000-0006-0000-0500-000011000000}">
      <text>
        <r>
          <rPr>
            <sz val="8"/>
            <color indexed="81"/>
            <rFont val="Tahoma"/>
            <family val="2"/>
          </rPr>
          <t>The value of 0.47 is only applicable to CFB, not to R</t>
        </r>
      </text>
    </comment>
    <comment ref="D50" authorId="0" shapeId="0" xr:uid="{00000000-0006-0000-0500-000012000000}">
      <text>
        <r>
          <rPr>
            <sz val="8"/>
            <color indexed="81"/>
            <rFont val="Tahoma"/>
            <family val="2"/>
          </rPr>
          <t>Example 1:  0,69
Example 2:  1</t>
        </r>
      </text>
    </comment>
    <comment ref="H50" authorId="0" shapeId="0" xr:uid="{00000000-0006-0000-0500-000013000000}">
      <text>
        <r>
          <rPr>
            <sz val="8"/>
            <color indexed="81"/>
            <rFont val="Tahoma"/>
            <family val="2"/>
          </rPr>
          <t>Example 1:   1
Example 2:  1</t>
        </r>
      </text>
    </comment>
    <comment ref="D51" authorId="0" shapeId="0" xr:uid="{00000000-0006-0000-0500-000014000000}">
      <text>
        <r>
          <rPr>
            <sz val="8"/>
            <color indexed="81"/>
            <rFont val="Tahoma"/>
            <family val="2"/>
          </rPr>
          <t>Example 1:   1
Example 2:   1,22</t>
        </r>
      </text>
    </comment>
    <comment ref="H51" authorId="0" shapeId="0" xr:uid="{00000000-0006-0000-0500-000015000000}">
      <text>
        <r>
          <rPr>
            <sz val="8"/>
            <color indexed="81"/>
            <rFont val="Tahoma"/>
            <family val="2"/>
          </rPr>
          <t>Example 1:   n/a
Example 2:   1</t>
        </r>
      </text>
    </comment>
    <comment ref="D52" authorId="0" shapeId="0" xr:uid="{00000000-0006-0000-0500-000016000000}">
      <text>
        <r>
          <rPr>
            <sz val="8"/>
            <color indexed="81"/>
            <rFont val="Tahoma"/>
            <family val="2"/>
          </rPr>
          <t>Example 1:   1,11
Example 2:   1</t>
        </r>
      </text>
    </comment>
    <comment ref="H52" authorId="0" shapeId="0" xr:uid="{00000000-0006-0000-0500-000017000000}">
      <text>
        <r>
          <rPr>
            <sz val="8"/>
            <color indexed="81"/>
            <rFont val="Tahoma"/>
            <family val="2"/>
          </rPr>
          <t>Example 1:    n/a
Example 2:   1</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neeft</author>
  </authors>
  <commentList>
    <comment ref="C32" authorId="0" shapeId="0" xr:uid="{00000000-0006-0000-0700-000001000000}">
      <text>
        <r>
          <rPr>
            <sz val="8"/>
            <color indexed="81"/>
            <rFont val="Tahoma"/>
            <family val="2"/>
          </rPr>
          <t>PLEASE NOTE:
The information provided at the bottom of the Esca and LUC sheets are given in ton eq. CO2/ha/year. To transform this result into t C/ha/year you should divide it by 3.664.</t>
        </r>
      </text>
    </comment>
    <comment ref="D32" authorId="0" shapeId="0" xr:uid="{00000000-0006-0000-0700-000002000000}">
      <text>
        <r>
          <rPr>
            <sz val="8"/>
            <color indexed="81"/>
            <rFont val="Tahoma"/>
            <family val="2"/>
          </rPr>
          <t>PLEASE NOTE:
The information provided at the bottom of the Esca and LUC sheets are given in ton eq. CO2/ha/year. To transform this result into t C/ha/year you should divide it by 3.664.</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neeft</author>
    <author>Neeft, dr. J.P.A. (John)</author>
    <author>sbu</author>
  </authors>
  <commentList>
    <comment ref="H7" authorId="0" shapeId="0" xr:uid="{00000000-0006-0000-0900-000001000000}">
      <text>
        <r>
          <rPr>
            <sz val="8"/>
            <color indexed="81"/>
            <rFont val="Tahoma"/>
            <family val="2"/>
          </rPr>
          <t>This value is not listed in the RED. 
It has been calculated on the basis of the JEC input, as is explained in "About"</t>
        </r>
      </text>
    </comment>
    <comment ref="H9" authorId="0" shapeId="0" xr:uid="{00000000-0006-0000-0900-000002000000}">
      <text>
        <r>
          <rPr>
            <sz val="8"/>
            <color indexed="81"/>
            <rFont val="Tahoma"/>
            <family val="2"/>
          </rPr>
          <t>This value is not listed in the RED. 
It has been calculated on the basis of the JEC input, as is explained in "About"</t>
        </r>
      </text>
    </comment>
    <comment ref="H11" authorId="0" shapeId="0" xr:uid="{00000000-0006-0000-0900-000003000000}">
      <text>
        <r>
          <rPr>
            <sz val="8"/>
            <color indexed="81"/>
            <rFont val="Tahoma"/>
            <family val="2"/>
          </rPr>
          <t>This value is not listed in the RED. 
It has been calculated on the basis of the JEC input, as is explained in "About"</t>
        </r>
      </text>
    </comment>
    <comment ref="H12" authorId="0" shapeId="0" xr:uid="{00000000-0006-0000-0900-000004000000}">
      <text>
        <r>
          <rPr>
            <sz val="8"/>
            <color indexed="81"/>
            <rFont val="Tahoma"/>
            <family val="2"/>
          </rPr>
          <t>This value is not listed in the RED. 
It has been calculated on the basis of the JEC input, as is explained in "About"</t>
        </r>
      </text>
    </comment>
    <comment ref="H13" authorId="0" shapeId="0" xr:uid="{00000000-0006-0000-0900-000005000000}">
      <text>
        <r>
          <rPr>
            <sz val="8"/>
            <color indexed="81"/>
            <rFont val="Tahoma"/>
            <family val="2"/>
          </rPr>
          <t>This value is not listed in the RED. 
It has been calculated on the basis of the JEC input, as is explained in "About"</t>
        </r>
      </text>
    </comment>
    <comment ref="B61" authorId="1" shapeId="0" xr:uid="{00000000-0006-0000-0900-000006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61" authorId="0" shapeId="0" xr:uid="{00000000-0006-0000-0900-000007000000}">
      <text>
        <r>
          <rPr>
            <sz val="8"/>
            <color indexed="81"/>
            <rFont val="Tahoma"/>
            <family val="2"/>
          </rPr>
          <t xml:space="preserve">Factor 1,4 is to convert "typical value" into "default value.
</t>
        </r>
        <r>
          <rPr>
            <b/>
            <sz val="8"/>
            <color indexed="81"/>
            <rFont val="Tahoma"/>
            <family val="2"/>
          </rPr>
          <t>Electricity mix</t>
        </r>
        <r>
          <rPr>
            <sz val="8"/>
            <color indexed="81"/>
            <rFont val="Tahoma"/>
            <family val="2"/>
          </rPr>
          <t xml:space="preserve">
When making an actual calculation, the use of the input "Electricity EU mix MV" is not allowed. Use the electricity mix from the country in which the electricity is taken from the grid, by defining this mix in the list of additional standard values (following the example for “Average electricity mix in Malta”) and replacing “Electricity EU mix MV” in row B of this sheet by the name corresponding to the correct mix (for instance “Average electricity mix in Malta”).
More details can be found in the Calculation rules (chapter 4) and in the User manual (chapter 4).</t>
        </r>
      </text>
    </comment>
    <comment ref="C62" authorId="0" shapeId="0" xr:uid="{00000000-0006-0000-0900-000008000000}">
      <text>
        <r>
          <rPr>
            <sz val="8"/>
            <color indexed="81"/>
            <rFont val="Tahoma"/>
            <family val="2"/>
          </rPr>
          <t>Factor 1,4 is to convert "typical value" into "default value</t>
        </r>
      </text>
    </comment>
    <comment ref="B68" authorId="1" shapeId="0" xr:uid="{00000000-0006-0000-0900-000009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68" authorId="0" shapeId="0" xr:uid="{00000000-0006-0000-0900-00000A000000}">
      <text>
        <r>
          <rPr>
            <sz val="8"/>
            <color indexed="81"/>
            <rFont val="Tahoma"/>
            <family val="2"/>
          </rPr>
          <t xml:space="preserve">Factor 1,4 is to convert "typical value" into "default value.
</t>
        </r>
        <r>
          <rPr>
            <b/>
            <sz val="8"/>
            <color indexed="81"/>
            <rFont val="Tahoma"/>
            <family val="2"/>
          </rPr>
          <t>Electricity mix</t>
        </r>
        <r>
          <rPr>
            <sz val="8"/>
            <color indexed="81"/>
            <rFont val="Tahoma"/>
            <family val="2"/>
          </rPr>
          <t xml:space="preserve">
When making an actual calculation, the use of the input "Electricity EU mix MV" is not allowed. Use the electricity mix from the country in which the electricity is taken from the grid, by defining this mix in the list of additional standard values (following the example for “Average electricity mix in Malta”) and replacing “Electricity EU mix MV” in row B of this sheet by the name corresponding to the correct mix (for instance “Average electricity mix in Malta”).
More details can be found in the Calculation rules (chapter 4) and in the User manual (chapter 4).</t>
        </r>
      </text>
    </comment>
    <comment ref="B91" authorId="1" shapeId="0" xr:uid="{00000000-0006-0000-0900-00000B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91" authorId="0" shapeId="0" xr:uid="{00000000-0006-0000-0900-00000C000000}">
      <text>
        <r>
          <rPr>
            <b/>
            <sz val="8"/>
            <color indexed="81"/>
            <rFont val="Tahoma"/>
            <family val="2"/>
          </rPr>
          <t>Electricity mix</t>
        </r>
        <r>
          <rPr>
            <sz val="8"/>
            <color indexed="81"/>
            <rFont val="Tahoma"/>
            <family val="2"/>
          </rPr>
          <t xml:space="preserve">
When making an actual calculation, the use of the input "Electricity EU mix LV" is not allowed. Use the electricity mix from the country in which the electricity is taken from the grid, by defining this mix in the list of additional standard values (following the example for “Average electricity mix in Malta”) and replacing “Electricity EU mix LV” in row B of this sheet by the name corresponding to the correct mix (for instance “Average electricity mix in Malta”).
More details can be found in the Calculation rules (chapter 4) and in the User manual (chapter 4).</t>
        </r>
      </text>
    </comment>
    <comment ref="B103" authorId="1" shapeId="0" xr:uid="{00000000-0006-0000-0900-00000D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103" authorId="0" shapeId="0" xr:uid="{00000000-0006-0000-0900-00000E000000}">
      <text>
        <r>
          <rPr>
            <b/>
            <sz val="8"/>
            <color indexed="81"/>
            <rFont val="Tahoma"/>
            <family val="2"/>
          </rPr>
          <t>Electricity mix</t>
        </r>
        <r>
          <rPr>
            <sz val="8"/>
            <color indexed="81"/>
            <rFont val="Tahoma"/>
            <family val="2"/>
          </rPr>
          <t xml:space="preserve">
When making an actual calculation, the use of the input "Electricity EU mix LV" is only allowed when the starting values in this step are kept.
When changing the starting values, use the electricity mix from the country in which the electricity is taken from the grid, by defining this mix in the list of additional standard values (following the example for “Average electricity mix in Malta”) and replacing “Electricity EU mix LV” in row B of this sheet by the name corresponding to the correct mix (for instance “Average electricity mix in Malta”).
More details can be found in the Calculation rules (chapter 4) and in the User manual (chapter 4).</t>
        </r>
      </text>
    </comment>
    <comment ref="B108" authorId="2" shapeId="0" xr:uid="{00000000-0006-0000-0900-00000F000000}">
      <text>
        <r>
          <rPr>
            <sz val="8"/>
            <color indexed="81"/>
            <rFont val="Tahoma"/>
            <family val="2"/>
          </rPr>
          <t>Annualised emissions from carbon stock changes caused by land-use change, e</t>
        </r>
        <r>
          <rPr>
            <sz val="8"/>
            <color indexed="81"/>
            <rFont val="Tahoma"/>
            <family val="2"/>
          </rPr>
          <t>l</t>
        </r>
        <r>
          <rPr>
            <sz val="8"/>
            <color indexed="81"/>
            <rFont val="Tahoma"/>
            <family val="2"/>
          </rPr>
          <t>, shall be calculated by dividing total emissions equally over 20 years. For the calculation of those emissions the following rule shall be applied:
e</t>
        </r>
        <r>
          <rPr>
            <sz val="8"/>
            <color indexed="81"/>
            <rFont val="Tahoma"/>
            <family val="2"/>
          </rPr>
          <t>l</t>
        </r>
        <r>
          <rPr>
            <sz val="8"/>
            <color indexed="81"/>
            <rFont val="Tahoma"/>
            <family val="2"/>
          </rPr>
          <t xml:space="preserve"> = (CS</t>
        </r>
        <r>
          <rPr>
            <sz val="8"/>
            <color indexed="81"/>
            <rFont val="Tahoma"/>
            <family val="2"/>
          </rPr>
          <t>R</t>
        </r>
        <r>
          <rPr>
            <sz val="8"/>
            <color indexed="81"/>
            <rFont val="Tahoma"/>
            <family val="2"/>
          </rPr>
          <t xml:space="preserve"> – CS</t>
        </r>
        <r>
          <rPr>
            <sz val="8"/>
            <color indexed="81"/>
            <rFont val="Tahoma"/>
            <family val="2"/>
          </rPr>
          <t>A</t>
        </r>
        <r>
          <rPr>
            <sz val="8"/>
            <color indexed="81"/>
            <rFont val="Tahoma"/>
            <family val="2"/>
          </rPr>
          <t>) × 3,664 × 1/20 × 1/P – e</t>
        </r>
        <r>
          <rPr>
            <sz val="8"/>
            <color indexed="81"/>
            <rFont val="Tahoma"/>
            <family val="2"/>
          </rPr>
          <t>B</t>
        </r>
        <r>
          <rPr>
            <sz val="8"/>
            <color indexed="81"/>
            <rFont val="Tahoma"/>
            <family val="2"/>
          </rPr>
          <t>(1)</t>
        </r>
        <r>
          <rPr>
            <sz val="8"/>
            <color indexed="81"/>
            <rFont val="Tahoma"/>
            <family val="2"/>
          </rPr>
          <t xml:space="preserve">
where
e</t>
        </r>
        <r>
          <rPr>
            <sz val="8"/>
            <color indexed="81"/>
            <rFont val="Tahoma"/>
            <family val="2"/>
          </rPr>
          <t>l</t>
        </r>
        <r>
          <rPr>
            <sz val="8"/>
            <color indexed="81"/>
            <rFont val="Tahoma"/>
            <family val="2"/>
          </rPr>
          <t xml:space="preserve"> = annualised greenhouse gas emissions from carbon stock change due to land-use change (measured as mass of CO</t>
        </r>
        <r>
          <rPr>
            <sz val="8"/>
            <color indexed="81"/>
            <rFont val="Tahoma"/>
            <family val="2"/>
          </rPr>
          <t>2</t>
        </r>
        <r>
          <rPr>
            <sz val="8"/>
            <color indexed="81"/>
            <rFont val="Tahoma"/>
            <family val="2"/>
          </rPr>
          <t>-equivalent per unit biofuel energy);
CS</t>
        </r>
        <r>
          <rPr>
            <sz val="8"/>
            <color indexed="81"/>
            <rFont val="Tahoma"/>
            <family val="2"/>
          </rPr>
          <t>R</t>
        </r>
        <r>
          <rPr>
            <sz val="8"/>
            <color indexed="81"/>
            <rFont val="Tahoma"/>
            <family val="2"/>
          </rPr>
          <t xml:space="preserve"> = the carbon stock per unit area associated with the reference land use (measured as mass of carbon per unit area, including both soil and vegetation). The reference land use shall be the land use in January 2008 or 20 years before the raw material was obtained, whichever was the later;
CS</t>
        </r>
        <r>
          <rPr>
            <sz val="8"/>
            <color indexed="81"/>
            <rFont val="Tahoma"/>
            <family val="2"/>
          </rPr>
          <t>A</t>
        </r>
        <r>
          <rPr>
            <sz val="8"/>
            <color indexed="81"/>
            <rFont val="Tahoma"/>
            <family val="2"/>
          </rPr>
          <t xml:space="preserve"> =the carbon stock per unit area associated with the actual land use (measured as mass of carbon per unit area, including both soil and vegetation). In cases where the carbon stock accumulates over more than one year, the value attributed to CS</t>
        </r>
        <r>
          <rPr>
            <sz val="8"/>
            <color indexed="81"/>
            <rFont val="Tahoma"/>
            <family val="2"/>
          </rPr>
          <t>A</t>
        </r>
        <r>
          <rPr>
            <sz val="8"/>
            <color indexed="81"/>
            <rFont val="Tahoma"/>
            <family val="2"/>
          </rPr>
          <t xml:space="preserve"> shall be the estimated stock per unit area after 20 years or when the crop reaches maturity, whichever the earlier;
P =the productivity of the crop (measured as biofuel or bioliquid energy per unit area per year); and
e</t>
        </r>
        <r>
          <rPr>
            <sz val="8"/>
            <color indexed="81"/>
            <rFont val="Tahoma"/>
            <family val="2"/>
          </rPr>
          <t>B</t>
        </r>
        <r>
          <rPr>
            <sz val="8"/>
            <color indexed="81"/>
            <rFont val="Tahoma"/>
            <family val="2"/>
          </rPr>
          <t xml:space="preserve"> =bonus of 29 gCO</t>
        </r>
        <r>
          <rPr>
            <sz val="8"/>
            <color indexed="81"/>
            <rFont val="Tahoma"/>
            <family val="2"/>
          </rPr>
          <t>2eq</t>
        </r>
        <r>
          <rPr>
            <sz val="8"/>
            <color indexed="81"/>
            <rFont val="Tahoma"/>
            <family val="2"/>
          </rPr>
          <t>/MJ biofuel or bioliquid if biomass is obtained from restored degraded land under the conditions provided for in point 8.
8.
The bonus of 29 gCO</t>
        </r>
        <r>
          <rPr>
            <sz val="8"/>
            <color indexed="81"/>
            <rFont val="Tahoma"/>
            <family val="2"/>
          </rPr>
          <t>2eq</t>
        </r>
        <r>
          <rPr>
            <sz val="8"/>
            <color indexed="81"/>
            <rFont val="Tahoma"/>
            <family val="2"/>
          </rPr>
          <t>/MJ shall be attributed if evidence is provided that the land:
(a) was not in use for agriculture or any other activity in January 2008; and
(b) falls into one of the following categories:
   (i) severely degraded land, including such land that was formerly in agricultural use;
   (ii) heavily contaminated land.
The bonus of 29 gCO</t>
        </r>
        <r>
          <rPr>
            <sz val="8"/>
            <color indexed="81"/>
            <rFont val="Tahoma"/>
            <family val="2"/>
          </rPr>
          <t>2eq</t>
        </r>
        <r>
          <rPr>
            <sz val="8"/>
            <color indexed="81"/>
            <rFont val="Tahoma"/>
            <family val="2"/>
          </rPr>
          <t>/MJ shall apply for a period of up to 10 years from the date of conversion of the land to agricultural use, provided that a steady increase in carbon stocks as well as a sizable reduction in erosion phenomena for land falling under (i) are ensured and that soil contamination for land falling under (ii) is reduced.
9.
The categories referred to in point 8(b) are defined as follows:
(a) ‘severely degraded land’ means land that, for a significant period of time, has either been significantly salinated or presented significantly low organic matter content and has been severely eroded;
(b) ‘heavily contaminated land’ means land that is unfit for the cultivation of food and feed due to soil contamination.
Such land shall include land that has been the subject of a Commission decision in accordance with the fourth subparagraph of Article 18(4).</t>
        </r>
        <r>
          <rPr>
            <sz val="8"/>
            <color indexed="81"/>
            <rFont val="Tahoma"/>
            <family val="2"/>
          </rPr>
          <t xml:space="preserve">
</t>
        </r>
        <r>
          <rPr>
            <sz val="8"/>
            <color indexed="81"/>
            <rFont val="Tahoma"/>
            <family val="2"/>
          </rPr>
          <t xml:space="preserve">
</t>
        </r>
        <r>
          <rPr>
            <sz val="8"/>
            <color indexed="81"/>
            <rFont val="Tahoma"/>
            <family val="2"/>
          </rPr>
          <t>(1)</t>
        </r>
        <r>
          <rPr>
            <sz val="8"/>
            <color indexed="81"/>
            <rFont val="Tahoma"/>
            <family val="2"/>
          </rPr>
          <t xml:space="preserve"> </t>
        </r>
        <r>
          <rPr>
            <sz val="8"/>
            <color indexed="81"/>
            <rFont val="Tahoma"/>
            <family val="2"/>
          </rPr>
          <t xml:space="preserve"> The quotient obtained by dividing the molecular weight of CO</t>
        </r>
        <r>
          <rPr>
            <sz val="8"/>
            <color indexed="81"/>
            <rFont val="Tahoma"/>
            <family val="2"/>
          </rPr>
          <t>2</t>
        </r>
        <r>
          <rPr>
            <sz val="8"/>
            <color indexed="81"/>
            <rFont val="Tahoma"/>
            <family val="2"/>
          </rPr>
          <t xml:space="preserve"> (44,010 g/mol) by the molecular weight of carbon (12,011 g/mol) is equal to 3,664.</t>
        </r>
      </text>
    </comment>
    <comment ref="C118" authorId="2" shapeId="0" xr:uid="{00000000-0006-0000-0900-000010000000}">
      <text>
        <r>
          <rPr>
            <sz val="8"/>
            <color indexed="81"/>
            <rFont val="Tahoma"/>
            <family val="2"/>
          </rPr>
          <t xml:space="preserve">
8.
The bonus of 29 gCO2eq/MJ shall be attributed if evidence is provided that the land:
(a) was not in use for agriculture or any other activity in January 2008; and
(b) falls into one of the following categories:
   (i) severely degraded land, including such land that was formerly in agricultural use;
   (ii) heavily contaminated land.
The bonus of 29 gCO2eq/MJ shall apply for a period of up to 10 years from the date of conversion of the land to agricultural use, provided that a steady increase in carbon stocks as well as a sizable reduction in erosion phenomena for land falling under (i) are ensured and that soil contamination for land falling under (ii) is reduced.
9.
The categories referred to in point 8(b) are defined as follows:
(a) ‘severely degraded land’ means land that, for a significant period of time, has either been significantly salinated or presented significantly low organic matter content and has been severely eroded;
(b) ‘heavily contaminated land’ means land that is unfit for the cultivation of food and feed due to soil contamination.
Such land shall include land that has been the subject of a Commission decision in accordance with the fourth subparagraph of Article 18(4).</t>
        </r>
      </text>
    </comment>
    <comment ref="C140" authorId="2" shapeId="0" xr:uid="{00000000-0006-0000-0900-000011000000}">
      <text>
        <r>
          <rPr>
            <sz val="8"/>
            <color indexed="81"/>
            <rFont val="Tahoma"/>
            <family val="2"/>
          </rPr>
          <t>Emission saving from carbon capture and replacement, e</t>
        </r>
        <r>
          <rPr>
            <sz val="8"/>
            <color indexed="81"/>
            <rFont val="Tahoma"/>
            <family val="2"/>
          </rPr>
          <t>ccr</t>
        </r>
        <r>
          <rPr>
            <sz val="8"/>
            <color indexed="81"/>
            <rFont val="Tahoma"/>
            <family val="2"/>
          </rPr>
          <t>, shall be limited to emissions avoided through the capture of CO</t>
        </r>
        <r>
          <rPr>
            <sz val="8"/>
            <color indexed="81"/>
            <rFont val="Tahoma"/>
            <family val="2"/>
          </rPr>
          <t>2</t>
        </r>
        <r>
          <rPr>
            <sz val="8"/>
            <color indexed="81"/>
            <rFont val="Tahoma"/>
            <family val="2"/>
          </rPr>
          <t xml:space="preserve"> of which the carbon originates from biomass and which is used to replace fossil-derived CO</t>
        </r>
        <r>
          <rPr>
            <sz val="8"/>
            <color indexed="81"/>
            <rFont val="Tahoma"/>
            <family val="2"/>
          </rPr>
          <t>2</t>
        </r>
        <r>
          <rPr>
            <sz val="8"/>
            <color indexed="81"/>
            <rFont val="Tahoma"/>
            <family val="2"/>
          </rPr>
          <t xml:space="preserve"> used in commercial products and services.</t>
        </r>
      </text>
    </comment>
    <comment ref="C146" authorId="2" shapeId="0" xr:uid="{00000000-0006-0000-0900-000012000000}">
      <text>
        <r>
          <rPr>
            <sz val="8"/>
            <color indexed="81"/>
            <rFont val="Tahoma"/>
            <family val="2"/>
          </rPr>
          <t>Emission saving from carbon capture and geological storage e</t>
        </r>
        <r>
          <rPr>
            <sz val="8"/>
            <color indexed="81"/>
            <rFont val="Tahoma"/>
            <family val="2"/>
          </rPr>
          <t>ccs</t>
        </r>
        <r>
          <rPr>
            <sz val="8"/>
            <color indexed="81"/>
            <rFont val="Tahoma"/>
            <family val="2"/>
          </rPr>
          <t>, that have not already been accounted for in e</t>
        </r>
        <r>
          <rPr>
            <sz val="8"/>
            <color indexed="81"/>
            <rFont val="Tahoma"/>
            <family val="2"/>
          </rPr>
          <t>p</t>
        </r>
        <r>
          <rPr>
            <sz val="8"/>
            <color indexed="81"/>
            <rFont val="Tahoma"/>
            <family val="2"/>
          </rPr>
          <t>, shall be limited to emissions avoided through the capture and sequestration of emitted CO</t>
        </r>
        <r>
          <rPr>
            <sz val="8"/>
            <color indexed="81"/>
            <rFont val="Tahoma"/>
            <family val="2"/>
          </rPr>
          <t>2</t>
        </r>
        <r>
          <rPr>
            <sz val="8"/>
            <color indexed="81"/>
            <rFont val="Tahoma"/>
            <family val="2"/>
          </rPr>
          <t xml:space="preserve"> directly related to the extraction, transport, processing and distribution of fuel.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neeft</author>
    <author>Neeft, dr. J.P.A. (John)</author>
    <author>sbu</author>
  </authors>
  <commentList>
    <comment ref="H7" authorId="0" shapeId="0" xr:uid="{00000000-0006-0000-0A00-000001000000}">
      <text>
        <r>
          <rPr>
            <sz val="8"/>
            <color indexed="81"/>
            <rFont val="Tahoma"/>
            <family val="2"/>
          </rPr>
          <t>This value is not listed in the RED. 
It has been calculated on the basis of the JEC input, as is explained in "About"</t>
        </r>
      </text>
    </comment>
    <comment ref="H9" authorId="0" shapeId="0" xr:uid="{00000000-0006-0000-0A00-000002000000}">
      <text>
        <r>
          <rPr>
            <sz val="8"/>
            <color indexed="81"/>
            <rFont val="Tahoma"/>
            <family val="2"/>
          </rPr>
          <t>This value is not listed in the RED. 
It has been calculated on the basis of the JEC input, as is explained in "About"</t>
        </r>
      </text>
    </comment>
    <comment ref="H11" authorId="0" shapeId="0" xr:uid="{00000000-0006-0000-0A00-000003000000}">
      <text>
        <r>
          <rPr>
            <sz val="8"/>
            <color indexed="81"/>
            <rFont val="Tahoma"/>
            <family val="2"/>
          </rPr>
          <t>This value is not listed in the RED. 
It has been calculated on the basis of the JEC input, as is explained in "About"</t>
        </r>
      </text>
    </comment>
    <comment ref="H13" authorId="0" shapeId="0" xr:uid="{00000000-0006-0000-0A00-000004000000}">
      <text>
        <r>
          <rPr>
            <sz val="8"/>
            <color indexed="81"/>
            <rFont val="Tahoma"/>
            <family val="2"/>
          </rPr>
          <t>This value is not listed in the RED. 
It has been calculated on the basis of the JEC input, as is explained in "About"</t>
        </r>
      </text>
    </comment>
    <comment ref="H14" authorId="0" shapeId="0" xr:uid="{00000000-0006-0000-0A00-000005000000}">
      <text>
        <r>
          <rPr>
            <sz val="8"/>
            <color indexed="81"/>
            <rFont val="Tahoma"/>
            <family val="2"/>
          </rPr>
          <t>This value is not listed in the RED. 
It has been calculated on the basis of the JEC input, as is explained in "About"</t>
        </r>
      </text>
    </comment>
    <comment ref="B50" authorId="1" shapeId="0" xr:uid="{00000000-0006-0000-0A00-000006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50" authorId="0" shapeId="0" xr:uid="{00000000-0006-0000-0A00-000007000000}">
      <text>
        <r>
          <rPr>
            <b/>
            <sz val="8"/>
            <color indexed="81"/>
            <rFont val="Tahoma"/>
            <family val="2"/>
          </rPr>
          <t>Electricity mix</t>
        </r>
        <r>
          <rPr>
            <sz val="8"/>
            <color indexed="81"/>
            <rFont val="Tahoma"/>
            <family val="2"/>
          </rPr>
          <t xml:space="preserve">
When making an actual calculation, the use of the input "Electricity EU mix LV" is not allowed. Use the electricity mix from the country in which the electricity is taken from the grid, by defining this mix in the list of additional standard values (following the example for “Average electricity mix in Malta”) and replacing “Electricity EU mix LV” in row B of this sheet by the name corresponding to the correct mix (for instance “Average electricity mix in Malta”).
More details can be found in the Calculation rules (chapter 4) and in the User manual (chapter 4).</t>
        </r>
      </text>
    </comment>
    <comment ref="B71" authorId="0" shapeId="0" xr:uid="{00000000-0006-0000-0A00-000008000000}">
      <text>
        <r>
          <rPr>
            <sz val="8"/>
            <color indexed="81"/>
            <rFont val="Tahoma"/>
            <family val="2"/>
          </rPr>
          <t xml:space="preserve">This is the electricity consumption of the ethanol plant outside the CHP
In the steam production, electricity is produced in a larger amount (0,2222 MJ electricity per MJ steam consumed) than the electricity demand in the ethanol plant. Therefore, the electricity demand in the ethanol plant is in fact not a demand but a reduced electricity output. The output of electricity from the steam production is credited by the electricity from a lignite fired steam turbine (Lignite ST). As a consequence, also the electricity demand in the ethanol plant is considered to be electricity from a Lignite ST to acknowledge for the fact that in practice this is not a demand, but a reduced electricity output. If the steam would have been produced in a boiler (without cogeneration of electricity), then the electricity input in the ethanol plant should have been calculated as “Electricity EU mix MV”. If the input of electricity would have been larger than the co-generated electricity from the steam production, than part of electricity input into the ethanol plant would have been calculated as “Electricity (NG CCGT)”, and part as “Electricity EU mix MV”.
</t>
        </r>
      </text>
    </comment>
    <comment ref="C71" authorId="0" shapeId="0" xr:uid="{00000000-0006-0000-0A00-000009000000}">
      <text>
        <r>
          <rPr>
            <sz val="8"/>
            <color indexed="81"/>
            <rFont val="Tahoma"/>
            <family val="2"/>
          </rPr>
          <t>Factor 1,4 is to convert "typical value" into "default value</t>
        </r>
      </text>
    </comment>
    <comment ref="C72" authorId="0" shapeId="0" xr:uid="{00000000-0006-0000-0A00-00000A000000}">
      <text>
        <r>
          <rPr>
            <sz val="8"/>
            <color indexed="81"/>
            <rFont val="Tahoma"/>
            <family val="2"/>
          </rPr>
          <t>Factor 1,4 is to convert "typical value" into "default value</t>
        </r>
      </text>
    </comment>
    <comment ref="C85" authorId="0" shapeId="0" xr:uid="{00000000-0006-0000-0A00-00000B000000}">
      <text>
        <r>
          <rPr>
            <sz val="8"/>
            <color indexed="81"/>
            <rFont val="Tahoma"/>
            <family val="2"/>
          </rPr>
          <t>Positive number indicates net consumption, negative number indicares net production</t>
        </r>
      </text>
    </comment>
    <comment ref="C86" authorId="0" shapeId="0" xr:uid="{00000000-0006-0000-0A00-00000C000000}">
      <text>
        <r>
          <rPr>
            <b/>
            <sz val="8"/>
            <color indexed="81"/>
            <rFont val="Tahoma"/>
            <family val="2"/>
          </rPr>
          <t xml:space="preserve">Electricity mix
</t>
        </r>
        <r>
          <rPr>
            <sz val="8"/>
            <color indexed="81"/>
            <rFont val="Tahoma"/>
            <family val="2"/>
          </rPr>
          <t>When making an actual calculation, the use of the input "Electricity EU mix MV" is not allowed. Use the electricity mix from the country in which the electricity is taken from the grid, by defining this mix in the list of additional standard values (following the example for “Average electricity mix in Malta”) and replacing “Electricity EU mix MV” in row B of this sheet by the name corresponding to the correct mix (for instance “Average electricity mix in Malta”).
More details can be found in the Calculation rules (chapter 4) and in the User manual (chapter 4).</t>
        </r>
      </text>
    </comment>
    <comment ref="B110" authorId="1" shapeId="0" xr:uid="{00000000-0006-0000-0A00-00000D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110" authorId="0" shapeId="0" xr:uid="{00000000-0006-0000-0A00-00000E000000}">
      <text>
        <r>
          <rPr>
            <b/>
            <sz val="8"/>
            <color indexed="81"/>
            <rFont val="Tahoma"/>
            <family val="2"/>
          </rPr>
          <t>Electricity mix</t>
        </r>
        <r>
          <rPr>
            <sz val="8"/>
            <color indexed="81"/>
            <rFont val="Tahoma"/>
            <family val="2"/>
          </rPr>
          <t xml:space="preserve">
When making an actual calculation, the use of the input "Electricity EU mix LV" is not allowed. Use the electricity mix from the country in which the electricity is taken from the grid, by defining this mix in the list of additional standard values (following the example for “Average electricity mix in Malta”) and replacing “Electricity EU mix LV” in row B of this sheet by the name corresponding to the correct mix (for instance “Average electricity mix in Malta”).
More details can be found in the Calculation rules (chapter 4) and in the User manual (chapter 4).</t>
        </r>
      </text>
    </comment>
    <comment ref="B122" authorId="1" shapeId="0" xr:uid="{00000000-0006-0000-0A00-00000F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122" authorId="0" shapeId="0" xr:uid="{00000000-0006-0000-0A00-000010000000}">
      <text>
        <r>
          <rPr>
            <b/>
            <sz val="8"/>
            <color indexed="81"/>
            <rFont val="Tahoma"/>
            <family val="2"/>
          </rPr>
          <t>Electricity mix</t>
        </r>
        <r>
          <rPr>
            <sz val="8"/>
            <color indexed="81"/>
            <rFont val="Tahoma"/>
            <family val="2"/>
          </rPr>
          <t xml:space="preserve">
When making an actual calculation, the use of the input "Electricity EU mix LV" is only allowed when the starting values in this step are kept.
When changing the starting values, use the electricity mix from the country in which the electricity is taken from the grid, by defining this mix in the list of additional standard values (following the example for “Average electricity mix in Malta”) and replacing “Electricity EU mix LV” in row B of this sheet by the name corresponding to the correct mix (for instance “Average electricity mix in Malta”).
More details can be found in the Calculation rules (chapter 4) and in the User manual (chapter 4).</t>
        </r>
      </text>
    </comment>
    <comment ref="B127" authorId="2" shapeId="0" xr:uid="{00000000-0006-0000-0A00-000011000000}">
      <text>
        <r>
          <rPr>
            <sz val="8"/>
            <color indexed="81"/>
            <rFont val="Tahoma"/>
            <family val="2"/>
          </rPr>
          <t>Annualised emissions from carbon stock changes caused by land-use change, e</t>
        </r>
        <r>
          <rPr>
            <sz val="8"/>
            <color indexed="81"/>
            <rFont val="Tahoma"/>
            <family val="2"/>
          </rPr>
          <t>l</t>
        </r>
        <r>
          <rPr>
            <sz val="8"/>
            <color indexed="81"/>
            <rFont val="Tahoma"/>
            <family val="2"/>
          </rPr>
          <t>, shall be calculated by dividing total emissions equally over 20 years. For the calculation of those emissions the following rule shall be applied:
e</t>
        </r>
        <r>
          <rPr>
            <sz val="8"/>
            <color indexed="81"/>
            <rFont val="Tahoma"/>
            <family val="2"/>
          </rPr>
          <t>l</t>
        </r>
        <r>
          <rPr>
            <sz val="8"/>
            <color indexed="81"/>
            <rFont val="Tahoma"/>
            <family val="2"/>
          </rPr>
          <t xml:space="preserve"> = (CS</t>
        </r>
        <r>
          <rPr>
            <sz val="8"/>
            <color indexed="81"/>
            <rFont val="Tahoma"/>
            <family val="2"/>
          </rPr>
          <t>R</t>
        </r>
        <r>
          <rPr>
            <sz val="8"/>
            <color indexed="81"/>
            <rFont val="Tahoma"/>
            <family val="2"/>
          </rPr>
          <t xml:space="preserve"> – CS</t>
        </r>
        <r>
          <rPr>
            <sz val="8"/>
            <color indexed="81"/>
            <rFont val="Tahoma"/>
            <family val="2"/>
          </rPr>
          <t>A</t>
        </r>
        <r>
          <rPr>
            <sz val="8"/>
            <color indexed="81"/>
            <rFont val="Tahoma"/>
            <family val="2"/>
          </rPr>
          <t>) × 3,664 × 1/20 × 1/P – e</t>
        </r>
        <r>
          <rPr>
            <sz val="8"/>
            <color indexed="81"/>
            <rFont val="Tahoma"/>
            <family val="2"/>
          </rPr>
          <t>B</t>
        </r>
        <r>
          <rPr>
            <sz val="8"/>
            <color indexed="81"/>
            <rFont val="Tahoma"/>
            <family val="2"/>
          </rPr>
          <t>(1)</t>
        </r>
        <r>
          <rPr>
            <sz val="8"/>
            <color indexed="81"/>
            <rFont val="Tahoma"/>
            <family val="2"/>
          </rPr>
          <t xml:space="preserve">
where
e</t>
        </r>
        <r>
          <rPr>
            <sz val="8"/>
            <color indexed="81"/>
            <rFont val="Tahoma"/>
            <family val="2"/>
          </rPr>
          <t>l</t>
        </r>
        <r>
          <rPr>
            <sz val="8"/>
            <color indexed="81"/>
            <rFont val="Tahoma"/>
            <family val="2"/>
          </rPr>
          <t xml:space="preserve"> = annualised greenhouse gas emissions from carbon stock change due to land-use change (measured as mass of CO</t>
        </r>
        <r>
          <rPr>
            <sz val="8"/>
            <color indexed="81"/>
            <rFont val="Tahoma"/>
            <family val="2"/>
          </rPr>
          <t>2</t>
        </r>
        <r>
          <rPr>
            <sz val="8"/>
            <color indexed="81"/>
            <rFont val="Tahoma"/>
            <family val="2"/>
          </rPr>
          <t>-equivalent per unit biofuel energy);
CS</t>
        </r>
        <r>
          <rPr>
            <sz val="8"/>
            <color indexed="81"/>
            <rFont val="Tahoma"/>
            <family val="2"/>
          </rPr>
          <t>R</t>
        </r>
        <r>
          <rPr>
            <sz val="8"/>
            <color indexed="81"/>
            <rFont val="Tahoma"/>
            <family val="2"/>
          </rPr>
          <t xml:space="preserve"> = the carbon stock per unit area associated with the reference land use (measured as mass of carbon per unit area, including both soil and vegetation). The reference land use shall be the land use in January 2008 or 20 years before the raw material was obtained, whichever was the later;
CS</t>
        </r>
        <r>
          <rPr>
            <sz val="8"/>
            <color indexed="81"/>
            <rFont val="Tahoma"/>
            <family val="2"/>
          </rPr>
          <t>A</t>
        </r>
        <r>
          <rPr>
            <sz val="8"/>
            <color indexed="81"/>
            <rFont val="Tahoma"/>
            <family val="2"/>
          </rPr>
          <t xml:space="preserve"> =the carbon stock per unit area associated with the actual land use (measured as mass of carbon per unit area, including both soil and vegetation). In cases where the carbon stock accumulates over more than one year, the value attributed to CS</t>
        </r>
        <r>
          <rPr>
            <sz val="8"/>
            <color indexed="81"/>
            <rFont val="Tahoma"/>
            <family val="2"/>
          </rPr>
          <t>A</t>
        </r>
        <r>
          <rPr>
            <sz val="8"/>
            <color indexed="81"/>
            <rFont val="Tahoma"/>
            <family val="2"/>
          </rPr>
          <t xml:space="preserve"> shall be the estimated stock per unit area after 20 years or when the crop reaches maturity, whichever the earlier;
P =the productivity of the crop (measured as biofuel or bioliquid energy per unit area per year); and
e</t>
        </r>
        <r>
          <rPr>
            <sz val="8"/>
            <color indexed="81"/>
            <rFont val="Tahoma"/>
            <family val="2"/>
          </rPr>
          <t>B</t>
        </r>
        <r>
          <rPr>
            <sz val="8"/>
            <color indexed="81"/>
            <rFont val="Tahoma"/>
            <family val="2"/>
          </rPr>
          <t xml:space="preserve"> =bonus of 29 gCO</t>
        </r>
        <r>
          <rPr>
            <sz val="8"/>
            <color indexed="81"/>
            <rFont val="Tahoma"/>
            <family val="2"/>
          </rPr>
          <t>2eq</t>
        </r>
        <r>
          <rPr>
            <sz val="8"/>
            <color indexed="81"/>
            <rFont val="Tahoma"/>
            <family val="2"/>
          </rPr>
          <t>/MJ biofuel or bioliquid if biomass is obtained from restored degraded land under the conditions provided for in point 8.
8.
The bonus of 29 gCO</t>
        </r>
        <r>
          <rPr>
            <sz val="8"/>
            <color indexed="81"/>
            <rFont val="Tahoma"/>
            <family val="2"/>
          </rPr>
          <t>2eq</t>
        </r>
        <r>
          <rPr>
            <sz val="8"/>
            <color indexed="81"/>
            <rFont val="Tahoma"/>
            <family val="2"/>
          </rPr>
          <t>/MJ shall be attributed if evidence is provided that the land:
(a) was not in use for agriculture or any other activity in January 2008; and
(b) falls into one of the following categories:
   (i) severely degraded land, including such land that was formerly in agricultural use;
   (ii) heavily contaminated land.
The bonus of 29 gCO</t>
        </r>
        <r>
          <rPr>
            <sz val="8"/>
            <color indexed="81"/>
            <rFont val="Tahoma"/>
            <family val="2"/>
          </rPr>
          <t>2eq</t>
        </r>
        <r>
          <rPr>
            <sz val="8"/>
            <color indexed="81"/>
            <rFont val="Tahoma"/>
            <family val="2"/>
          </rPr>
          <t>/MJ shall apply for a period of up to 10 years from the date of conversion of the land to agricultural use, provided that a steady increase in carbon stocks as well as a sizable reduction in erosion phenomena for land falling under (i) are ensured and that soil contamination for land falling under (ii) is reduced.
9.
The categories referred to in point 8(b) are defined as follows:
(a) ‘severely degraded land’ means land that, for a significant period of time, has either been significantly salinated or presented significantly low organic matter content and has been severely eroded;
(b) ‘heavily contaminated land’ means land that is unfit for the cultivation of food and feed due to soil contamination.
Such land shall include land that has been the subject of a Commission decision in accordance with the fourth subparagraph of Article 18(4).</t>
        </r>
        <r>
          <rPr>
            <sz val="8"/>
            <color indexed="81"/>
            <rFont val="Tahoma"/>
            <family val="2"/>
          </rPr>
          <t xml:space="preserve">
</t>
        </r>
        <r>
          <rPr>
            <sz val="8"/>
            <color indexed="81"/>
            <rFont val="Tahoma"/>
            <family val="2"/>
          </rPr>
          <t xml:space="preserve">
</t>
        </r>
        <r>
          <rPr>
            <sz val="8"/>
            <color indexed="81"/>
            <rFont val="Tahoma"/>
            <family val="2"/>
          </rPr>
          <t>(1)</t>
        </r>
        <r>
          <rPr>
            <sz val="8"/>
            <color indexed="81"/>
            <rFont val="Tahoma"/>
            <family val="2"/>
          </rPr>
          <t xml:space="preserve"> </t>
        </r>
        <r>
          <rPr>
            <sz val="8"/>
            <color indexed="81"/>
            <rFont val="Tahoma"/>
            <family val="2"/>
          </rPr>
          <t xml:space="preserve"> The quotient obtained by dividing the molecular weight of CO</t>
        </r>
        <r>
          <rPr>
            <sz val="8"/>
            <color indexed="81"/>
            <rFont val="Tahoma"/>
            <family val="2"/>
          </rPr>
          <t>2</t>
        </r>
        <r>
          <rPr>
            <sz val="8"/>
            <color indexed="81"/>
            <rFont val="Tahoma"/>
            <family val="2"/>
          </rPr>
          <t xml:space="preserve"> (44,010 g/mol) by the molecular weight of carbon (12,011 g/mol) is equal to 3,664.</t>
        </r>
      </text>
    </comment>
    <comment ref="C137" authorId="2" shapeId="0" xr:uid="{00000000-0006-0000-0A00-000012000000}">
      <text>
        <r>
          <rPr>
            <sz val="8"/>
            <color indexed="81"/>
            <rFont val="Tahoma"/>
            <family val="2"/>
          </rPr>
          <t xml:space="preserve">
8.
The bonus of 29 gCO2eq/MJ shall be attributed if evidence is provided that the land:
(a) was not in use for agriculture or any other activity in January 2008; and
(b) falls into one of the following categories:
   (i) severely degraded land, including such land that was formerly in agricultural use;
   (ii) heavily contaminated land.
The bonus of 29 gCO2eq/MJ shall apply for a period of up to 10 years from the date of conversion of the land to agricultural use, provided that a steady increase in carbon stocks as well as a sizable reduction in erosion phenomena for land falling under (i) are ensured and that soil contamination for land falling under (ii) is reduced.
9.
The categories referred to in point 8(b) are defined as follows:
(a) ‘severely degraded land’ means land that, for a significant period of time, has either been significantly salinated or presented significantly low organic matter content and has been severely eroded;
(b) ‘heavily contaminated land’ means land that is unfit for the cultivation of food and feed due to soil contamination.
Such land shall include land that has been the subject of a Commission decision in accordance with the fourth subparagraph of Article 18(4).</t>
        </r>
      </text>
    </comment>
    <comment ref="C159" authorId="2" shapeId="0" xr:uid="{00000000-0006-0000-0A00-000013000000}">
      <text>
        <r>
          <rPr>
            <sz val="8"/>
            <color indexed="81"/>
            <rFont val="Tahoma"/>
            <family val="2"/>
          </rPr>
          <t>Emission saving from carbon capture and replacement, e</t>
        </r>
        <r>
          <rPr>
            <sz val="8"/>
            <color indexed="81"/>
            <rFont val="Tahoma"/>
            <family val="2"/>
          </rPr>
          <t>ccr</t>
        </r>
        <r>
          <rPr>
            <sz val="8"/>
            <color indexed="81"/>
            <rFont val="Tahoma"/>
            <family val="2"/>
          </rPr>
          <t>, shall be limited to emissions avoided through the capture of CO</t>
        </r>
        <r>
          <rPr>
            <sz val="8"/>
            <color indexed="81"/>
            <rFont val="Tahoma"/>
            <family val="2"/>
          </rPr>
          <t>2</t>
        </r>
        <r>
          <rPr>
            <sz val="8"/>
            <color indexed="81"/>
            <rFont val="Tahoma"/>
            <family val="2"/>
          </rPr>
          <t xml:space="preserve"> of which the carbon originates from biomass and which is used to replace fossil-derived CO</t>
        </r>
        <r>
          <rPr>
            <sz val="8"/>
            <color indexed="81"/>
            <rFont val="Tahoma"/>
            <family val="2"/>
          </rPr>
          <t>2</t>
        </r>
        <r>
          <rPr>
            <sz val="8"/>
            <color indexed="81"/>
            <rFont val="Tahoma"/>
            <family val="2"/>
          </rPr>
          <t xml:space="preserve"> used in commercial products and services.</t>
        </r>
      </text>
    </comment>
    <comment ref="C165" authorId="2" shapeId="0" xr:uid="{00000000-0006-0000-0A00-000014000000}">
      <text>
        <r>
          <rPr>
            <sz val="8"/>
            <color indexed="81"/>
            <rFont val="Tahoma"/>
            <family val="2"/>
          </rPr>
          <t>Emission saving from carbon capture and geological storage e</t>
        </r>
        <r>
          <rPr>
            <sz val="8"/>
            <color indexed="81"/>
            <rFont val="Tahoma"/>
            <family val="2"/>
          </rPr>
          <t>ccs</t>
        </r>
        <r>
          <rPr>
            <sz val="8"/>
            <color indexed="81"/>
            <rFont val="Tahoma"/>
            <family val="2"/>
          </rPr>
          <t>, that have not already been accounted for in e</t>
        </r>
        <r>
          <rPr>
            <sz val="8"/>
            <color indexed="81"/>
            <rFont val="Tahoma"/>
            <family val="2"/>
          </rPr>
          <t>p</t>
        </r>
        <r>
          <rPr>
            <sz val="8"/>
            <color indexed="81"/>
            <rFont val="Tahoma"/>
            <family val="2"/>
          </rPr>
          <t>, shall be limited to emissions avoided through the capture and sequestration of emitted CO</t>
        </r>
        <r>
          <rPr>
            <sz val="8"/>
            <color indexed="81"/>
            <rFont val="Tahoma"/>
            <family val="2"/>
          </rPr>
          <t>2</t>
        </r>
        <r>
          <rPr>
            <sz val="8"/>
            <color indexed="81"/>
            <rFont val="Tahoma"/>
            <family val="2"/>
          </rPr>
          <t xml:space="preserve"> directly related to the extraction, transport, processing and distribution of fuel.</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neeft</author>
    <author>Neeft, dr. J.P.A. (John)</author>
    <author>sbu</author>
  </authors>
  <commentList>
    <comment ref="H7" authorId="0" shapeId="0" xr:uid="{00000000-0006-0000-0B00-000001000000}">
      <text>
        <r>
          <rPr>
            <sz val="8"/>
            <color indexed="81"/>
            <rFont val="Tahoma"/>
            <family val="2"/>
          </rPr>
          <t>This value is not listed in the RED. 
It has been calculated on the basis of the JEC input, as is explained in "About"</t>
        </r>
      </text>
    </comment>
    <comment ref="H9" authorId="0" shapeId="0" xr:uid="{00000000-0006-0000-0B00-000002000000}">
      <text>
        <r>
          <rPr>
            <sz val="8"/>
            <color indexed="81"/>
            <rFont val="Tahoma"/>
            <family val="2"/>
          </rPr>
          <t>This value is not listed in the RED. 
It has been calculated on the basis of the JEC input, as is explained in "About"</t>
        </r>
      </text>
    </comment>
    <comment ref="H11" authorId="0" shapeId="0" xr:uid="{00000000-0006-0000-0B00-000003000000}">
      <text>
        <r>
          <rPr>
            <sz val="8"/>
            <color indexed="81"/>
            <rFont val="Tahoma"/>
            <family val="2"/>
          </rPr>
          <t>This value is not listed in the RED. 
It has been calculated on the basis of the JEC input, as is explained in "About"</t>
        </r>
      </text>
    </comment>
    <comment ref="H13" authorId="0" shapeId="0" xr:uid="{00000000-0006-0000-0B00-000004000000}">
      <text>
        <r>
          <rPr>
            <sz val="8"/>
            <color indexed="81"/>
            <rFont val="Tahoma"/>
            <family val="2"/>
          </rPr>
          <t>This value is not listed in the RED. 
It has been calculated on the basis of the JEC input, as is explained in "About"</t>
        </r>
      </text>
    </comment>
    <comment ref="H14" authorId="0" shapeId="0" xr:uid="{00000000-0006-0000-0B00-000005000000}">
      <text>
        <r>
          <rPr>
            <sz val="8"/>
            <color indexed="81"/>
            <rFont val="Tahoma"/>
            <family val="2"/>
          </rPr>
          <t>This value is not listed in the RED. 
It has been calculated on the basis of the JEC input, as is explained in "About"</t>
        </r>
      </text>
    </comment>
    <comment ref="B50" authorId="1" shapeId="0" xr:uid="{00000000-0006-0000-0B00-000006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50" authorId="0" shapeId="0" xr:uid="{00000000-0006-0000-0B00-000007000000}">
      <text>
        <r>
          <rPr>
            <b/>
            <sz val="8"/>
            <color indexed="81"/>
            <rFont val="Tahoma"/>
            <family val="2"/>
          </rPr>
          <t>Electricity mix</t>
        </r>
        <r>
          <rPr>
            <sz val="8"/>
            <color indexed="81"/>
            <rFont val="Tahoma"/>
            <family val="2"/>
          </rPr>
          <t xml:space="preserve">
When making an actual calculation, the use of the input "Electricity EU mix LV" is not allowed. Use the electricity mix from the country in which the electricity is taken from the grid, by defining this mix in the list of additional standard values (following the example for “Average electricity mix in Malta”) and replacing “Electricity EU mix LV” in row B of this sheet by the name corresponding to the correct mix (for instance “Average electricity mix in Malta”).
More details can be found in the Calculation rules (chapter 4) and in the User manual (chapter 4).</t>
        </r>
      </text>
    </comment>
    <comment ref="B71" authorId="0" shapeId="0" xr:uid="{00000000-0006-0000-0B00-000008000000}">
      <text>
        <r>
          <rPr>
            <sz val="8"/>
            <color indexed="81"/>
            <rFont val="Tahoma"/>
            <family val="2"/>
          </rPr>
          <t xml:space="preserve">This is the electricity consumption of the ethanol plant outside the CHP
In the steam production, electricity is produced in a larger amount (0,2222 MJ electricity per MJ steam consumed) than the electricity demand in the ethanol plant. Therefore, the electricity demand in the ethanol plant is in fact not a demand but a reduced electricity output. The output of electricity from the steam production is credited by the electricity from a lignite fired steam turbine (Lignite ST). As a consequence, also the electricity demand in the ethanol plant is considered to be electricity from a Lignite ST to acknowledge for the fact that in practice this is not a demand, but a reduced electricity output. If the steam would have been produced in a boiler (without cogeneration of electricity), then the electricity input in the ethanol plant should have been calculated as “Electricity EU mix MV”. If the input of electricity would have been larger than the co-generated electricity from the steam production, than part of electricity input into the ethanol plant would have been calculated as “Electricity (NG CCGT)”, and part as “Electricity EU mix MV”.
</t>
        </r>
      </text>
    </comment>
    <comment ref="C71" authorId="0" shapeId="0" xr:uid="{00000000-0006-0000-0B00-000009000000}">
      <text>
        <r>
          <rPr>
            <sz val="8"/>
            <color indexed="81"/>
            <rFont val="Tahoma"/>
            <family val="2"/>
          </rPr>
          <t>Factor 1,4 is to convert "typical value" into "default value</t>
        </r>
      </text>
    </comment>
    <comment ref="C72" authorId="0" shapeId="0" xr:uid="{00000000-0006-0000-0B00-00000A000000}">
      <text>
        <r>
          <rPr>
            <sz val="8"/>
            <color indexed="81"/>
            <rFont val="Tahoma"/>
            <family val="2"/>
          </rPr>
          <t>Factor 1,4 is to convert "typical value" into "default value</t>
        </r>
      </text>
    </comment>
    <comment ref="C85" authorId="0" shapeId="0" xr:uid="{00000000-0006-0000-0B00-00000B000000}">
      <text>
        <r>
          <rPr>
            <sz val="8"/>
            <color indexed="81"/>
            <rFont val="Tahoma"/>
            <family val="2"/>
          </rPr>
          <t>Positive number indicates net consumption, negative number indicares net production</t>
        </r>
      </text>
    </comment>
    <comment ref="C86" authorId="0" shapeId="0" xr:uid="{00000000-0006-0000-0B00-00000C000000}">
      <text>
        <r>
          <rPr>
            <b/>
            <sz val="8"/>
            <color indexed="81"/>
            <rFont val="Tahoma"/>
            <family val="2"/>
          </rPr>
          <t xml:space="preserve">Electricity mix
</t>
        </r>
        <r>
          <rPr>
            <sz val="8"/>
            <color indexed="81"/>
            <rFont val="Tahoma"/>
            <family val="2"/>
          </rPr>
          <t>When making an actual calculation, the use of the input "Electricity EU mix MV" is not allowed. Use the electricity mix from the country in which the electricity is taken from the grid, by defining this mix in the list of additional standard values (following the example for “Average electricity mix in Malta”) and replacing “Electricity EU mix MV” in row B of this sheet by the name corresponding to the correct mix (for instance “Average electricity mix in Malta”).
More details can be found in the Calculation rules (chapter 4) and in the User manual (chapter 4).</t>
        </r>
      </text>
    </comment>
    <comment ref="B110" authorId="1" shapeId="0" xr:uid="{00000000-0006-0000-0B00-00000D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110" authorId="0" shapeId="0" xr:uid="{00000000-0006-0000-0B00-00000E000000}">
      <text>
        <r>
          <rPr>
            <b/>
            <sz val="8"/>
            <color indexed="81"/>
            <rFont val="Tahoma"/>
            <family val="2"/>
          </rPr>
          <t>Electricity mix</t>
        </r>
        <r>
          <rPr>
            <sz val="8"/>
            <color indexed="81"/>
            <rFont val="Tahoma"/>
            <family val="2"/>
          </rPr>
          <t xml:space="preserve">
When making an actual calculation, the use of the input "Electricity EU mix LV" is not allowed. Use the electricity mix from the country in which the electricity is taken from the grid, by defining this mix in the list of additional standard values (following the example for “Average electricity mix in Malta”) and replacing “Electricity EU mix LV” in row B of this sheet by the name corresponding to the correct mix (for instance “Average electricity mix in Malta”).
More details can be found in the Calculation rules (chapter 4) and in the User manual (chapter 4).</t>
        </r>
      </text>
    </comment>
    <comment ref="B122" authorId="1" shapeId="0" xr:uid="{00000000-0006-0000-0B00-00000F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122" authorId="0" shapeId="0" xr:uid="{00000000-0006-0000-0B00-000010000000}">
      <text>
        <r>
          <rPr>
            <b/>
            <sz val="8"/>
            <color indexed="81"/>
            <rFont val="Tahoma"/>
            <family val="2"/>
          </rPr>
          <t>Electricity mix</t>
        </r>
        <r>
          <rPr>
            <sz val="8"/>
            <color indexed="81"/>
            <rFont val="Tahoma"/>
            <family val="2"/>
          </rPr>
          <t xml:space="preserve">
When making an actual calculation, the use of the input "Electricity EU mix LV" is only allowed when the starting values in this step are kept.
When changing the starting values, use the electricity mix from the country in which the electricity is taken from the grid, by defining this mix in the list of additional standard values (following the example for “Average electricity mix in Malta”) and replacing “Electricity EU mix LV” in row B of this sheet by the name corresponding to the correct mix (for instance “Average electricity mix in Malta”).
More details can be found in the Calculation rules (chapter 4) and in the User manual (chapter 4).</t>
        </r>
      </text>
    </comment>
    <comment ref="B127" authorId="2" shapeId="0" xr:uid="{00000000-0006-0000-0B00-000011000000}">
      <text>
        <r>
          <rPr>
            <sz val="8"/>
            <color indexed="81"/>
            <rFont val="Tahoma"/>
            <family val="2"/>
          </rPr>
          <t>Annualised emissions from carbon stock changes caused by land-use change, e</t>
        </r>
        <r>
          <rPr>
            <sz val="8"/>
            <color indexed="81"/>
            <rFont val="Tahoma"/>
            <family val="2"/>
          </rPr>
          <t>l</t>
        </r>
        <r>
          <rPr>
            <sz val="8"/>
            <color indexed="81"/>
            <rFont val="Tahoma"/>
            <family val="2"/>
          </rPr>
          <t>, shall be calculated by dividing total emissions equally over 20 years. For the calculation of those emissions the following rule shall be applied:
e</t>
        </r>
        <r>
          <rPr>
            <sz val="8"/>
            <color indexed="81"/>
            <rFont val="Tahoma"/>
            <family val="2"/>
          </rPr>
          <t>l</t>
        </r>
        <r>
          <rPr>
            <sz val="8"/>
            <color indexed="81"/>
            <rFont val="Tahoma"/>
            <family val="2"/>
          </rPr>
          <t xml:space="preserve"> = (CS</t>
        </r>
        <r>
          <rPr>
            <sz val="8"/>
            <color indexed="81"/>
            <rFont val="Tahoma"/>
            <family val="2"/>
          </rPr>
          <t>R</t>
        </r>
        <r>
          <rPr>
            <sz val="8"/>
            <color indexed="81"/>
            <rFont val="Tahoma"/>
            <family val="2"/>
          </rPr>
          <t xml:space="preserve"> – CS</t>
        </r>
        <r>
          <rPr>
            <sz val="8"/>
            <color indexed="81"/>
            <rFont val="Tahoma"/>
            <family val="2"/>
          </rPr>
          <t>A</t>
        </r>
        <r>
          <rPr>
            <sz val="8"/>
            <color indexed="81"/>
            <rFont val="Tahoma"/>
            <family val="2"/>
          </rPr>
          <t>) × 3,664 × 1/20 × 1/P – e</t>
        </r>
        <r>
          <rPr>
            <sz val="8"/>
            <color indexed="81"/>
            <rFont val="Tahoma"/>
            <family val="2"/>
          </rPr>
          <t>B</t>
        </r>
        <r>
          <rPr>
            <sz val="8"/>
            <color indexed="81"/>
            <rFont val="Tahoma"/>
            <family val="2"/>
          </rPr>
          <t>(1)</t>
        </r>
        <r>
          <rPr>
            <sz val="8"/>
            <color indexed="81"/>
            <rFont val="Tahoma"/>
            <family val="2"/>
          </rPr>
          <t xml:space="preserve">
where
e</t>
        </r>
        <r>
          <rPr>
            <sz val="8"/>
            <color indexed="81"/>
            <rFont val="Tahoma"/>
            <family val="2"/>
          </rPr>
          <t>l</t>
        </r>
        <r>
          <rPr>
            <sz val="8"/>
            <color indexed="81"/>
            <rFont val="Tahoma"/>
            <family val="2"/>
          </rPr>
          <t xml:space="preserve"> = annualised greenhouse gas emissions from carbon stock change due to land-use change (measured as mass of CO</t>
        </r>
        <r>
          <rPr>
            <sz val="8"/>
            <color indexed="81"/>
            <rFont val="Tahoma"/>
            <family val="2"/>
          </rPr>
          <t>2</t>
        </r>
        <r>
          <rPr>
            <sz val="8"/>
            <color indexed="81"/>
            <rFont val="Tahoma"/>
            <family val="2"/>
          </rPr>
          <t>-equivalent per unit biofuel energy);
CS</t>
        </r>
        <r>
          <rPr>
            <sz val="8"/>
            <color indexed="81"/>
            <rFont val="Tahoma"/>
            <family val="2"/>
          </rPr>
          <t>R</t>
        </r>
        <r>
          <rPr>
            <sz val="8"/>
            <color indexed="81"/>
            <rFont val="Tahoma"/>
            <family val="2"/>
          </rPr>
          <t xml:space="preserve"> = the carbon stock per unit area associated with the reference land use (measured as mass of carbon per unit area, including both soil and vegetation). The reference land use shall be the land use in January 2008 or 20 years before the raw material was obtained, whichever was the later;
CS</t>
        </r>
        <r>
          <rPr>
            <sz val="8"/>
            <color indexed="81"/>
            <rFont val="Tahoma"/>
            <family val="2"/>
          </rPr>
          <t>A</t>
        </r>
        <r>
          <rPr>
            <sz val="8"/>
            <color indexed="81"/>
            <rFont val="Tahoma"/>
            <family val="2"/>
          </rPr>
          <t xml:space="preserve"> =the carbon stock per unit area associated with the actual land use (measured as mass of carbon per unit area, including both soil and vegetation). In cases where the carbon stock accumulates over more than one year, the value attributed to CS</t>
        </r>
        <r>
          <rPr>
            <sz val="8"/>
            <color indexed="81"/>
            <rFont val="Tahoma"/>
            <family val="2"/>
          </rPr>
          <t>A</t>
        </r>
        <r>
          <rPr>
            <sz val="8"/>
            <color indexed="81"/>
            <rFont val="Tahoma"/>
            <family val="2"/>
          </rPr>
          <t xml:space="preserve"> shall be the estimated stock per unit area after 20 years or when the crop reaches maturity, whichever the earlier;
P =the productivity of the crop (measured as biofuel or bioliquid energy per unit area per year); and
e</t>
        </r>
        <r>
          <rPr>
            <sz val="8"/>
            <color indexed="81"/>
            <rFont val="Tahoma"/>
            <family val="2"/>
          </rPr>
          <t>B</t>
        </r>
        <r>
          <rPr>
            <sz val="8"/>
            <color indexed="81"/>
            <rFont val="Tahoma"/>
            <family val="2"/>
          </rPr>
          <t xml:space="preserve"> =bonus of 29 gCO</t>
        </r>
        <r>
          <rPr>
            <sz val="8"/>
            <color indexed="81"/>
            <rFont val="Tahoma"/>
            <family val="2"/>
          </rPr>
          <t>2eq</t>
        </r>
        <r>
          <rPr>
            <sz val="8"/>
            <color indexed="81"/>
            <rFont val="Tahoma"/>
            <family val="2"/>
          </rPr>
          <t>/MJ biofuel or bioliquid if biomass is obtained from restored degraded land under the conditions provided for in point 8.
8.
The bonus of 29 gCO</t>
        </r>
        <r>
          <rPr>
            <sz val="8"/>
            <color indexed="81"/>
            <rFont val="Tahoma"/>
            <family val="2"/>
          </rPr>
          <t>2eq</t>
        </r>
        <r>
          <rPr>
            <sz val="8"/>
            <color indexed="81"/>
            <rFont val="Tahoma"/>
            <family val="2"/>
          </rPr>
          <t>/MJ shall be attributed if evidence is provided that the land:
(a) was not in use for agriculture or any other activity in January 2008; and
(b) falls into one of the following categories:
   (i) severely degraded land, including such land that was formerly in agricultural use;
   (ii) heavily contaminated land.
The bonus of 29 gCO</t>
        </r>
        <r>
          <rPr>
            <sz val="8"/>
            <color indexed="81"/>
            <rFont val="Tahoma"/>
            <family val="2"/>
          </rPr>
          <t>2eq</t>
        </r>
        <r>
          <rPr>
            <sz val="8"/>
            <color indexed="81"/>
            <rFont val="Tahoma"/>
            <family val="2"/>
          </rPr>
          <t>/MJ shall apply for a period of up to 10 years from the date of conversion of the land to agricultural use, provided that a steady increase in carbon stocks as well as a sizable reduction in erosion phenomena for land falling under (i) are ensured and that soil contamination for land falling under (ii) is reduced.
9.
The categories referred to in point 8(b) are defined as follows:
(a) ‘severely degraded land’ means land that, for a significant period of time, has either been significantly salinated or presented significantly low organic matter content and has been severely eroded;
(b) ‘heavily contaminated land’ means land that is unfit for the cultivation of food and feed due to soil contamination.
Such land shall include land that has been the subject of a Commission decision in accordance with the fourth subparagraph of Article 18(4).</t>
        </r>
        <r>
          <rPr>
            <sz val="8"/>
            <color indexed="81"/>
            <rFont val="Tahoma"/>
            <family val="2"/>
          </rPr>
          <t xml:space="preserve">
</t>
        </r>
        <r>
          <rPr>
            <sz val="8"/>
            <color indexed="81"/>
            <rFont val="Tahoma"/>
            <family val="2"/>
          </rPr>
          <t xml:space="preserve">
</t>
        </r>
        <r>
          <rPr>
            <sz val="8"/>
            <color indexed="81"/>
            <rFont val="Tahoma"/>
            <family val="2"/>
          </rPr>
          <t>(1)</t>
        </r>
        <r>
          <rPr>
            <sz val="8"/>
            <color indexed="81"/>
            <rFont val="Tahoma"/>
            <family val="2"/>
          </rPr>
          <t xml:space="preserve"> </t>
        </r>
        <r>
          <rPr>
            <sz val="8"/>
            <color indexed="81"/>
            <rFont val="Tahoma"/>
            <family val="2"/>
          </rPr>
          <t xml:space="preserve"> The quotient obtained by dividing the molecular weight of CO</t>
        </r>
        <r>
          <rPr>
            <sz val="8"/>
            <color indexed="81"/>
            <rFont val="Tahoma"/>
            <family val="2"/>
          </rPr>
          <t>2</t>
        </r>
        <r>
          <rPr>
            <sz val="8"/>
            <color indexed="81"/>
            <rFont val="Tahoma"/>
            <family val="2"/>
          </rPr>
          <t xml:space="preserve"> (44,010 g/mol) by the molecular weight of carbon (12,011 g/mol) is equal to 3,664.</t>
        </r>
      </text>
    </comment>
    <comment ref="C137" authorId="2" shapeId="0" xr:uid="{00000000-0006-0000-0B00-000012000000}">
      <text>
        <r>
          <rPr>
            <sz val="8"/>
            <color indexed="81"/>
            <rFont val="Tahoma"/>
            <family val="2"/>
          </rPr>
          <t xml:space="preserve">
8.
The bonus of 29 gCO2eq/MJ shall be attributed if evidence is provided that the land:
(a) was not in use for agriculture or any other activity in January 2008; and
(b) falls into one of the following categories:
   (i) severely degraded land, including such land that was formerly in agricultural use;
   (ii) heavily contaminated land.
The bonus of 29 gCO2eq/MJ shall apply for a period of up to 10 years from the date of conversion of the land to agricultural use, provided that a steady increase in carbon stocks as well as a sizable reduction in erosion phenomena for land falling under (i) are ensured and that soil contamination for land falling under (ii) is reduced.
9.
The categories referred to in point 8(b) are defined as follows:
(a) ‘severely degraded land’ means land that, for a significant period of time, has either been significantly salinated or presented significantly low organic matter content and has been severely eroded;
(b) ‘heavily contaminated land’ means land that is unfit for the cultivation of food and feed due to soil contamination.
Such land shall include land that has been the subject of a Commission decision in accordance with the fourth subparagraph of Article 18(4).</t>
        </r>
      </text>
    </comment>
    <comment ref="C159" authorId="2" shapeId="0" xr:uid="{00000000-0006-0000-0B00-000013000000}">
      <text>
        <r>
          <rPr>
            <sz val="8"/>
            <color indexed="81"/>
            <rFont val="Tahoma"/>
            <family val="2"/>
          </rPr>
          <t>Emission saving from carbon capture and replacement, e</t>
        </r>
        <r>
          <rPr>
            <sz val="8"/>
            <color indexed="81"/>
            <rFont val="Tahoma"/>
            <family val="2"/>
          </rPr>
          <t>ccr</t>
        </r>
        <r>
          <rPr>
            <sz val="8"/>
            <color indexed="81"/>
            <rFont val="Tahoma"/>
            <family val="2"/>
          </rPr>
          <t>, shall be limited to emissions avoided through the capture of CO</t>
        </r>
        <r>
          <rPr>
            <sz val="8"/>
            <color indexed="81"/>
            <rFont val="Tahoma"/>
            <family val="2"/>
          </rPr>
          <t>2</t>
        </r>
        <r>
          <rPr>
            <sz val="8"/>
            <color indexed="81"/>
            <rFont val="Tahoma"/>
            <family val="2"/>
          </rPr>
          <t xml:space="preserve"> of which the carbon originates from biomass and which is used to replace fossil-derived CO</t>
        </r>
        <r>
          <rPr>
            <sz val="8"/>
            <color indexed="81"/>
            <rFont val="Tahoma"/>
            <family val="2"/>
          </rPr>
          <t>2</t>
        </r>
        <r>
          <rPr>
            <sz val="8"/>
            <color indexed="81"/>
            <rFont val="Tahoma"/>
            <family val="2"/>
          </rPr>
          <t xml:space="preserve"> used in commercial products and services.</t>
        </r>
      </text>
    </comment>
    <comment ref="C165" authorId="2" shapeId="0" xr:uid="{00000000-0006-0000-0B00-000014000000}">
      <text>
        <r>
          <rPr>
            <sz val="8"/>
            <color indexed="81"/>
            <rFont val="Tahoma"/>
            <family val="2"/>
          </rPr>
          <t>Emission saving from carbon capture and geological storage e</t>
        </r>
        <r>
          <rPr>
            <sz val="8"/>
            <color indexed="81"/>
            <rFont val="Tahoma"/>
            <family val="2"/>
          </rPr>
          <t>ccs</t>
        </r>
        <r>
          <rPr>
            <sz val="8"/>
            <color indexed="81"/>
            <rFont val="Tahoma"/>
            <family val="2"/>
          </rPr>
          <t>, that have not already been accounted for in e</t>
        </r>
        <r>
          <rPr>
            <sz val="8"/>
            <color indexed="81"/>
            <rFont val="Tahoma"/>
            <family val="2"/>
          </rPr>
          <t>p</t>
        </r>
        <r>
          <rPr>
            <sz val="8"/>
            <color indexed="81"/>
            <rFont val="Tahoma"/>
            <family val="2"/>
          </rPr>
          <t>, shall be limited to emissions avoided through the capture and sequestration of emitted CO</t>
        </r>
        <r>
          <rPr>
            <sz val="8"/>
            <color indexed="81"/>
            <rFont val="Tahoma"/>
            <family val="2"/>
          </rPr>
          <t>2</t>
        </r>
        <r>
          <rPr>
            <sz val="8"/>
            <color indexed="81"/>
            <rFont val="Tahoma"/>
            <family val="2"/>
          </rPr>
          <t xml:space="preserve"> directly related to the extraction, transport, processing and distribution of fuel.</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neeft</author>
    <author>Neeft, dr. J.P.A. (John)</author>
    <author>sbu</author>
  </authors>
  <commentList>
    <comment ref="H7" authorId="0" shapeId="0" xr:uid="{00000000-0006-0000-0C00-000001000000}">
      <text>
        <r>
          <rPr>
            <sz val="8"/>
            <color indexed="81"/>
            <rFont val="Tahoma"/>
            <family val="2"/>
          </rPr>
          <t>This value is not listed in the RED. 
It has been calculated on the basis of the JEC input, as is explained in "About"</t>
        </r>
      </text>
    </comment>
    <comment ref="H9" authorId="0" shapeId="0" xr:uid="{00000000-0006-0000-0C00-000002000000}">
      <text>
        <r>
          <rPr>
            <sz val="8"/>
            <color indexed="81"/>
            <rFont val="Tahoma"/>
            <family val="2"/>
          </rPr>
          <t>This value is not listed in the RED. 
It has been calculated on the basis of the JEC input, as is explained in "About"</t>
        </r>
      </text>
    </comment>
    <comment ref="H11" authorId="0" shapeId="0" xr:uid="{00000000-0006-0000-0C00-000003000000}">
      <text>
        <r>
          <rPr>
            <sz val="8"/>
            <color indexed="81"/>
            <rFont val="Tahoma"/>
            <family val="2"/>
          </rPr>
          <t>This value is not listed in the RED. 
It has been calculated on the basis of the JEC input, as is explained in "About"</t>
        </r>
      </text>
    </comment>
    <comment ref="H13" authorId="0" shapeId="0" xr:uid="{00000000-0006-0000-0C00-000004000000}">
      <text>
        <r>
          <rPr>
            <sz val="8"/>
            <color indexed="81"/>
            <rFont val="Tahoma"/>
            <family val="2"/>
          </rPr>
          <t>This value is not listed in the RED. 
It has been calculated on the basis of the JEC input, as is explained in "About"</t>
        </r>
      </text>
    </comment>
    <comment ref="H14" authorId="0" shapeId="0" xr:uid="{00000000-0006-0000-0C00-000005000000}">
      <text>
        <r>
          <rPr>
            <sz val="8"/>
            <color indexed="81"/>
            <rFont val="Tahoma"/>
            <family val="2"/>
          </rPr>
          <t>This value is not listed in the RED. 
It has been calculated on the basis of the JEC input, as is explained in "About"</t>
        </r>
      </text>
    </comment>
    <comment ref="B50" authorId="1" shapeId="0" xr:uid="{00000000-0006-0000-0C00-000006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50" authorId="0" shapeId="0" xr:uid="{00000000-0006-0000-0C00-000007000000}">
      <text>
        <r>
          <rPr>
            <b/>
            <sz val="8"/>
            <color indexed="81"/>
            <rFont val="Tahoma"/>
            <family val="2"/>
          </rPr>
          <t>Electricity mix</t>
        </r>
        <r>
          <rPr>
            <sz val="8"/>
            <color indexed="81"/>
            <rFont val="Tahoma"/>
            <family val="2"/>
          </rPr>
          <t xml:space="preserve">
When making an actual calculation, the use of the input "Electricity EU mix LV" is not allowed. Use the electricity mix from the country in which the electricity is taken from the grid, by defining this mix in the list of additional standard values (following the example for “Average electricity mix in Malta”) and replacing “Electricity EU mix LV” in row B of this sheet by the name corresponding to the correct mix (for instance “Average electricity mix in Malta”).
More details can be found in the Calculation rules (chapter 4) and in the User manual (chapter 4).</t>
        </r>
      </text>
    </comment>
    <comment ref="B71" authorId="1" shapeId="0" xr:uid="{00000000-0006-0000-0C00-000008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71" authorId="0" shapeId="0" xr:uid="{00000000-0006-0000-0C00-000009000000}">
      <text>
        <r>
          <rPr>
            <sz val="8"/>
            <color indexed="81"/>
            <rFont val="Tahoma"/>
            <family val="2"/>
          </rPr>
          <t xml:space="preserve">Factor 1,4 is to convert "typical value" into "default value.
</t>
        </r>
        <r>
          <rPr>
            <b/>
            <sz val="8"/>
            <color indexed="81"/>
            <rFont val="Tahoma"/>
            <family val="2"/>
          </rPr>
          <t>Electricity mix</t>
        </r>
        <r>
          <rPr>
            <sz val="8"/>
            <color indexed="81"/>
            <rFont val="Tahoma"/>
            <family val="2"/>
          </rPr>
          <t xml:space="preserve">
When making an actual calculation, the use of the input "Electricity EU mix MV" is not allowed. Use the electricity mix from the country in which the electricity is taken from the grid, by defining this mix in the list of additional standard values (following the example for “Average electricity mix in Malta”) and replacing “Electricity EU mix MV” in row B of this sheet by the name corresponding to the correct mix (for instance “Average electricity mix in Malta”).
More details can be found in the Calculation rules (chapter 4) and in the User manual (chapter 4).</t>
        </r>
      </text>
    </comment>
    <comment ref="C72" authorId="0" shapeId="0" xr:uid="{00000000-0006-0000-0C00-00000A000000}">
      <text>
        <r>
          <rPr>
            <sz val="8"/>
            <color indexed="81"/>
            <rFont val="Tahoma"/>
            <family val="2"/>
          </rPr>
          <t>Factor 1,4 is to convert "typical value" into "default value</t>
        </r>
      </text>
    </comment>
    <comment ref="B78" authorId="1" shapeId="0" xr:uid="{00000000-0006-0000-0C00-00000B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78" authorId="0" shapeId="0" xr:uid="{00000000-0006-0000-0C00-00000C000000}">
      <text>
        <r>
          <rPr>
            <b/>
            <sz val="8"/>
            <color indexed="81"/>
            <rFont val="Tahoma"/>
            <family val="2"/>
          </rPr>
          <t>Electricity mix</t>
        </r>
        <r>
          <rPr>
            <sz val="8"/>
            <color indexed="81"/>
            <rFont val="Tahoma"/>
            <family val="2"/>
          </rPr>
          <t xml:space="preserve">
When making an actual calculation, the use of the input "Electricity EU mix MV" is not allowed. Use the electricity mix from the country in which the electricity is taken from the grid, by defining this mix in the list of additional standard values (following the example for “Average electricity mix in Malta”) and replacing “Electricity EU mix MV” in row B of this sheet by the name corresponding to the correct mix (for instance “Average electricity mix in Malta”).
More details can be found in the Calculation rules (chapter 4) and in the User manual (chapter 4).
</t>
        </r>
      </text>
    </comment>
    <comment ref="B102" authorId="1" shapeId="0" xr:uid="{00000000-0006-0000-0C00-00000D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102" authorId="0" shapeId="0" xr:uid="{00000000-0006-0000-0C00-00000E000000}">
      <text>
        <r>
          <rPr>
            <b/>
            <sz val="8"/>
            <color indexed="81"/>
            <rFont val="Tahoma"/>
            <family val="2"/>
          </rPr>
          <t>Electricity mix</t>
        </r>
        <r>
          <rPr>
            <sz val="8"/>
            <color indexed="81"/>
            <rFont val="Tahoma"/>
            <family val="2"/>
          </rPr>
          <t xml:space="preserve">
When making an actual calculation, the use of the input "Electricity EU mix LV" is not allowed. Use the electricity mix from the country in which the electricity is taken from the grid, by defining this mix in the list of additional standard values (following the example for “Average electricity mix in Malta”) and replacing “Electricity EU mix LV” in row B of this sheet by the name corresponding to the correct mix (for instance “Average electricity mix in Malta”).
More details can be found in the Calculation rules (chapter 4) and in the User manual (chapter 4).</t>
        </r>
      </text>
    </comment>
    <comment ref="B114" authorId="1" shapeId="0" xr:uid="{00000000-0006-0000-0C00-00000F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114" authorId="0" shapeId="0" xr:uid="{00000000-0006-0000-0C00-000010000000}">
      <text>
        <r>
          <rPr>
            <b/>
            <sz val="8"/>
            <color indexed="81"/>
            <rFont val="Tahoma"/>
            <family val="2"/>
          </rPr>
          <t>Electricity mix</t>
        </r>
        <r>
          <rPr>
            <sz val="8"/>
            <color indexed="81"/>
            <rFont val="Tahoma"/>
            <family val="2"/>
          </rPr>
          <t xml:space="preserve">
When making an actual calculation, the use of the input "Electricity EU mix LV" is only allowed when the starting values in this step are kept.
When changing the starting values, use the electricity mix from the country in which the electricity is taken from the grid, by defining this mix in the list of additional standard values (following the example for “Average electricity mix in Malta”) and replacing “Electricity EU mix LV” in row B of this sheet by the name corresponding to the correct mix (for instance “Average electricity mix in Malta”).
More details can be found in the Calculation rules (chapter 4) and in the User manual (chapter 4).</t>
        </r>
      </text>
    </comment>
    <comment ref="B119" authorId="2" shapeId="0" xr:uid="{00000000-0006-0000-0C00-000011000000}">
      <text>
        <r>
          <rPr>
            <sz val="8"/>
            <color indexed="81"/>
            <rFont val="Tahoma"/>
            <family val="2"/>
          </rPr>
          <t>Annualised emissions from carbon stock changes caused by land-use change, e</t>
        </r>
        <r>
          <rPr>
            <sz val="8"/>
            <color indexed="81"/>
            <rFont val="Tahoma"/>
            <family val="2"/>
          </rPr>
          <t>l</t>
        </r>
        <r>
          <rPr>
            <sz val="8"/>
            <color indexed="81"/>
            <rFont val="Tahoma"/>
            <family val="2"/>
          </rPr>
          <t>, shall be calculated by dividing total emissions equally over 20 years. For the calculation of those emissions the following rule shall be applied:
e</t>
        </r>
        <r>
          <rPr>
            <sz val="8"/>
            <color indexed="81"/>
            <rFont val="Tahoma"/>
            <family val="2"/>
          </rPr>
          <t>l</t>
        </r>
        <r>
          <rPr>
            <sz val="8"/>
            <color indexed="81"/>
            <rFont val="Tahoma"/>
            <family val="2"/>
          </rPr>
          <t xml:space="preserve"> = (CS</t>
        </r>
        <r>
          <rPr>
            <sz val="8"/>
            <color indexed="81"/>
            <rFont val="Tahoma"/>
            <family val="2"/>
          </rPr>
          <t>R</t>
        </r>
        <r>
          <rPr>
            <sz val="8"/>
            <color indexed="81"/>
            <rFont val="Tahoma"/>
            <family val="2"/>
          </rPr>
          <t xml:space="preserve"> – CS</t>
        </r>
        <r>
          <rPr>
            <sz val="8"/>
            <color indexed="81"/>
            <rFont val="Tahoma"/>
            <family val="2"/>
          </rPr>
          <t>A</t>
        </r>
        <r>
          <rPr>
            <sz val="8"/>
            <color indexed="81"/>
            <rFont val="Tahoma"/>
            <family val="2"/>
          </rPr>
          <t>) × 3,664 × 1/20 × 1/P – e</t>
        </r>
        <r>
          <rPr>
            <sz val="8"/>
            <color indexed="81"/>
            <rFont val="Tahoma"/>
            <family val="2"/>
          </rPr>
          <t>B</t>
        </r>
        <r>
          <rPr>
            <sz val="8"/>
            <color indexed="81"/>
            <rFont val="Tahoma"/>
            <family val="2"/>
          </rPr>
          <t>(1)</t>
        </r>
        <r>
          <rPr>
            <sz val="8"/>
            <color indexed="81"/>
            <rFont val="Tahoma"/>
            <family val="2"/>
          </rPr>
          <t xml:space="preserve">
where
e</t>
        </r>
        <r>
          <rPr>
            <sz val="8"/>
            <color indexed="81"/>
            <rFont val="Tahoma"/>
            <family val="2"/>
          </rPr>
          <t>l</t>
        </r>
        <r>
          <rPr>
            <sz val="8"/>
            <color indexed="81"/>
            <rFont val="Tahoma"/>
            <family val="2"/>
          </rPr>
          <t xml:space="preserve"> = annualised greenhouse gas emissions from carbon stock change due to land-use change (measured as mass of CO</t>
        </r>
        <r>
          <rPr>
            <sz val="8"/>
            <color indexed="81"/>
            <rFont val="Tahoma"/>
            <family val="2"/>
          </rPr>
          <t>2</t>
        </r>
        <r>
          <rPr>
            <sz val="8"/>
            <color indexed="81"/>
            <rFont val="Tahoma"/>
            <family val="2"/>
          </rPr>
          <t>-equivalent per unit biofuel energy);
CS</t>
        </r>
        <r>
          <rPr>
            <sz val="8"/>
            <color indexed="81"/>
            <rFont val="Tahoma"/>
            <family val="2"/>
          </rPr>
          <t>R</t>
        </r>
        <r>
          <rPr>
            <sz val="8"/>
            <color indexed="81"/>
            <rFont val="Tahoma"/>
            <family val="2"/>
          </rPr>
          <t xml:space="preserve"> = the carbon stock per unit area associated with the reference land use (measured as mass of carbon per unit area, including both soil and vegetation). The reference land use shall be the land use in January 2008 or 20 years before the raw material was obtained, whichever was the later;
CS</t>
        </r>
        <r>
          <rPr>
            <sz val="8"/>
            <color indexed="81"/>
            <rFont val="Tahoma"/>
            <family val="2"/>
          </rPr>
          <t>A</t>
        </r>
        <r>
          <rPr>
            <sz val="8"/>
            <color indexed="81"/>
            <rFont val="Tahoma"/>
            <family val="2"/>
          </rPr>
          <t xml:space="preserve"> =the carbon stock per unit area associated with the actual land use (measured as mass of carbon per unit area, including both soil and vegetation). In cases where the carbon stock accumulates over more than one year, the value attributed to CS</t>
        </r>
        <r>
          <rPr>
            <sz val="8"/>
            <color indexed="81"/>
            <rFont val="Tahoma"/>
            <family val="2"/>
          </rPr>
          <t>A</t>
        </r>
        <r>
          <rPr>
            <sz val="8"/>
            <color indexed="81"/>
            <rFont val="Tahoma"/>
            <family val="2"/>
          </rPr>
          <t xml:space="preserve"> shall be the estimated stock per unit area after 20 years or when the crop reaches maturity, whichever the earlier;
P =the productivity of the crop (measured as biofuel or bioliquid energy per unit area per year); and
e</t>
        </r>
        <r>
          <rPr>
            <sz val="8"/>
            <color indexed="81"/>
            <rFont val="Tahoma"/>
            <family val="2"/>
          </rPr>
          <t>B</t>
        </r>
        <r>
          <rPr>
            <sz val="8"/>
            <color indexed="81"/>
            <rFont val="Tahoma"/>
            <family val="2"/>
          </rPr>
          <t xml:space="preserve"> =bonus of 29 gCO</t>
        </r>
        <r>
          <rPr>
            <sz val="8"/>
            <color indexed="81"/>
            <rFont val="Tahoma"/>
            <family val="2"/>
          </rPr>
          <t>2eq</t>
        </r>
        <r>
          <rPr>
            <sz val="8"/>
            <color indexed="81"/>
            <rFont val="Tahoma"/>
            <family val="2"/>
          </rPr>
          <t>/MJ biofuel or bioliquid if biomass is obtained from restored degraded land under the conditions provided for in point 8.
8.
The bonus of 29 gCO</t>
        </r>
        <r>
          <rPr>
            <sz val="8"/>
            <color indexed="81"/>
            <rFont val="Tahoma"/>
            <family val="2"/>
          </rPr>
          <t>2eq</t>
        </r>
        <r>
          <rPr>
            <sz val="8"/>
            <color indexed="81"/>
            <rFont val="Tahoma"/>
            <family val="2"/>
          </rPr>
          <t>/MJ shall be attributed if evidence is provided that the land:
(a) was not in use for agriculture or any other activity in January 2008; and
(b) falls into one of the following categories:
   (i) severely degraded land, including such land that was formerly in agricultural use;
   (ii) heavily contaminated land.
The bonus of 29 gCO</t>
        </r>
        <r>
          <rPr>
            <sz val="8"/>
            <color indexed="81"/>
            <rFont val="Tahoma"/>
            <family val="2"/>
          </rPr>
          <t>2eq</t>
        </r>
        <r>
          <rPr>
            <sz val="8"/>
            <color indexed="81"/>
            <rFont val="Tahoma"/>
            <family val="2"/>
          </rPr>
          <t>/MJ shall apply for a period of up to 10 years from the date of conversion of the land to agricultural use, provided that a steady increase in carbon stocks as well as a sizable reduction in erosion phenomena for land falling under (i) are ensured and that soil contamination for land falling under (ii) is reduced.
9.
The categories referred to in point 8(b) are defined as follows:
(a) ‘severely degraded land’ means land that, for a significant period of time, has either been significantly salinated or presented significantly low organic matter content and has been severely eroded;
(b) ‘heavily contaminated land’ means land that is unfit for the cultivation of food and feed due to soil contamination.
Such land shall include land that has been the subject of a Commission decision in accordance with the fourth subparagraph of Article 18(4).</t>
        </r>
        <r>
          <rPr>
            <sz val="8"/>
            <color indexed="81"/>
            <rFont val="Tahoma"/>
            <family val="2"/>
          </rPr>
          <t xml:space="preserve">
</t>
        </r>
        <r>
          <rPr>
            <sz val="8"/>
            <color indexed="81"/>
            <rFont val="Tahoma"/>
            <family val="2"/>
          </rPr>
          <t xml:space="preserve">
</t>
        </r>
        <r>
          <rPr>
            <sz val="8"/>
            <color indexed="81"/>
            <rFont val="Tahoma"/>
            <family val="2"/>
          </rPr>
          <t>(1)</t>
        </r>
        <r>
          <rPr>
            <sz val="8"/>
            <color indexed="81"/>
            <rFont val="Tahoma"/>
            <family val="2"/>
          </rPr>
          <t xml:space="preserve"> </t>
        </r>
        <r>
          <rPr>
            <sz val="8"/>
            <color indexed="81"/>
            <rFont val="Tahoma"/>
            <family val="2"/>
          </rPr>
          <t xml:space="preserve"> The quotient obtained by dividing the molecular weight of CO</t>
        </r>
        <r>
          <rPr>
            <sz val="8"/>
            <color indexed="81"/>
            <rFont val="Tahoma"/>
            <family val="2"/>
          </rPr>
          <t>2</t>
        </r>
        <r>
          <rPr>
            <sz val="8"/>
            <color indexed="81"/>
            <rFont val="Tahoma"/>
            <family val="2"/>
          </rPr>
          <t xml:space="preserve"> (44,010 g/mol) by the molecular weight of carbon (12,011 g/mol) is equal to 3,664.</t>
        </r>
      </text>
    </comment>
    <comment ref="C129" authorId="2" shapeId="0" xr:uid="{00000000-0006-0000-0C00-000012000000}">
      <text>
        <r>
          <rPr>
            <sz val="8"/>
            <color indexed="81"/>
            <rFont val="Tahoma"/>
            <family val="2"/>
          </rPr>
          <t xml:space="preserve">
8.
The bonus of 29 gCO2eq/MJ shall be attributed if evidence is provided that the land:
(a) was not in use for agriculture or any other activity in January 2008; and
(b) falls into one of the following categories:
   (i) severely degraded land, including such land that was formerly in agricultural use;
   (ii) heavily contaminated land.
The bonus of 29 gCO2eq/MJ shall apply for a period of up to 10 years from the date of conversion of the land to agricultural use, provided that a steady increase in carbon stocks as well as a sizable reduction in erosion phenomena for land falling under (i) are ensured and that soil contamination for land falling under (ii) is reduced.
9.
The categories referred to in point 8(b) are defined as follows:
(a) ‘severely degraded land’ means land that, for a significant period of time, has either been significantly salinated or presented significantly low organic matter content and has been severely eroded;
(b) ‘heavily contaminated land’ means land that is unfit for the cultivation of food and feed due to soil contamination.
Such land shall include land that has been the subject of a Commission decision in accordance with the fourth subparagraph of Article 18(4).</t>
        </r>
      </text>
    </comment>
    <comment ref="C151" authorId="2" shapeId="0" xr:uid="{00000000-0006-0000-0C00-000013000000}">
      <text>
        <r>
          <rPr>
            <sz val="8"/>
            <color indexed="81"/>
            <rFont val="Tahoma"/>
            <family val="2"/>
          </rPr>
          <t>Emission saving from carbon capture and replacement, e</t>
        </r>
        <r>
          <rPr>
            <sz val="8"/>
            <color indexed="81"/>
            <rFont val="Tahoma"/>
            <family val="2"/>
          </rPr>
          <t>ccr</t>
        </r>
        <r>
          <rPr>
            <sz val="8"/>
            <color indexed="81"/>
            <rFont val="Tahoma"/>
            <family val="2"/>
          </rPr>
          <t>, shall be limited to emissions avoided through the capture of CO</t>
        </r>
        <r>
          <rPr>
            <sz val="8"/>
            <color indexed="81"/>
            <rFont val="Tahoma"/>
            <family val="2"/>
          </rPr>
          <t>2</t>
        </r>
        <r>
          <rPr>
            <sz val="8"/>
            <color indexed="81"/>
            <rFont val="Tahoma"/>
            <family val="2"/>
          </rPr>
          <t xml:space="preserve"> of which the carbon originates from biomass and which is used to replace fossil-derived CO</t>
        </r>
        <r>
          <rPr>
            <sz val="8"/>
            <color indexed="81"/>
            <rFont val="Tahoma"/>
            <family val="2"/>
          </rPr>
          <t>2</t>
        </r>
        <r>
          <rPr>
            <sz val="8"/>
            <color indexed="81"/>
            <rFont val="Tahoma"/>
            <family val="2"/>
          </rPr>
          <t xml:space="preserve"> used in commercial products and services.</t>
        </r>
      </text>
    </comment>
    <comment ref="C157" authorId="2" shapeId="0" xr:uid="{00000000-0006-0000-0C00-000014000000}">
      <text>
        <r>
          <rPr>
            <sz val="8"/>
            <color indexed="81"/>
            <rFont val="Tahoma"/>
            <family val="2"/>
          </rPr>
          <t>Emission saving from carbon capture and geological storage e</t>
        </r>
        <r>
          <rPr>
            <sz val="8"/>
            <color indexed="81"/>
            <rFont val="Tahoma"/>
            <family val="2"/>
          </rPr>
          <t>ccs</t>
        </r>
        <r>
          <rPr>
            <sz val="8"/>
            <color indexed="81"/>
            <rFont val="Tahoma"/>
            <family val="2"/>
          </rPr>
          <t>, that have not already been accounted for in e</t>
        </r>
        <r>
          <rPr>
            <sz val="8"/>
            <color indexed="81"/>
            <rFont val="Tahoma"/>
            <family val="2"/>
          </rPr>
          <t>p</t>
        </r>
        <r>
          <rPr>
            <sz val="8"/>
            <color indexed="81"/>
            <rFont val="Tahoma"/>
            <family val="2"/>
          </rPr>
          <t>, shall be limited to emissions avoided through the capture and sequestration of emitted CO</t>
        </r>
        <r>
          <rPr>
            <sz val="8"/>
            <color indexed="81"/>
            <rFont val="Tahoma"/>
            <family val="2"/>
          </rPr>
          <t>2</t>
        </r>
        <r>
          <rPr>
            <sz val="8"/>
            <color indexed="81"/>
            <rFont val="Tahoma"/>
            <family val="2"/>
          </rPr>
          <t xml:space="preserve"> directly related to the extraction, transport, processing and distribution of fuel.</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neeft</author>
    <author>Neeft, dr. J.P.A. (John)</author>
    <author>sbu</author>
  </authors>
  <commentList>
    <comment ref="H7" authorId="0" shapeId="0" xr:uid="{00000000-0006-0000-0D00-000001000000}">
      <text>
        <r>
          <rPr>
            <sz val="8"/>
            <color indexed="81"/>
            <rFont val="Tahoma"/>
            <family val="2"/>
          </rPr>
          <t>This value is not listed in the RED. 
It has been calculated on the basis of the JEC input, as is explained in "About"</t>
        </r>
      </text>
    </comment>
    <comment ref="H9" authorId="0" shapeId="0" xr:uid="{00000000-0006-0000-0D00-000002000000}">
      <text>
        <r>
          <rPr>
            <sz val="8"/>
            <color indexed="81"/>
            <rFont val="Tahoma"/>
            <family val="2"/>
          </rPr>
          <t>This value is not listed in the RED. 
It has been calculated on the basis of the JEC input, as is explained in "About"</t>
        </r>
      </text>
    </comment>
    <comment ref="H11" authorId="0" shapeId="0" xr:uid="{00000000-0006-0000-0D00-000003000000}">
      <text>
        <r>
          <rPr>
            <sz val="8"/>
            <color indexed="81"/>
            <rFont val="Tahoma"/>
            <family val="2"/>
          </rPr>
          <t>This value is not listed in the RED. 
It has been calculated on the basis of the JEC input, as is explained in "About"</t>
        </r>
      </text>
    </comment>
    <comment ref="H13" authorId="0" shapeId="0" xr:uid="{00000000-0006-0000-0D00-000004000000}">
      <text>
        <r>
          <rPr>
            <sz val="8"/>
            <color indexed="81"/>
            <rFont val="Tahoma"/>
            <family val="2"/>
          </rPr>
          <t>This value is not listed in the RED. 
It has been calculated on the basis of the JEC input, as is explained in "About"</t>
        </r>
      </text>
    </comment>
    <comment ref="H14" authorId="0" shapeId="0" xr:uid="{00000000-0006-0000-0D00-000005000000}">
      <text>
        <r>
          <rPr>
            <sz val="8"/>
            <color indexed="81"/>
            <rFont val="Tahoma"/>
            <family val="2"/>
          </rPr>
          <t>This value is not listed in the RED. 
It has been calculated on the basis of the JEC input, as is explained in "About"</t>
        </r>
      </text>
    </comment>
    <comment ref="B50" authorId="1" shapeId="0" xr:uid="{00000000-0006-0000-0D00-000006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50" authorId="0" shapeId="0" xr:uid="{00000000-0006-0000-0D00-000007000000}">
      <text>
        <r>
          <rPr>
            <b/>
            <sz val="8"/>
            <color indexed="81"/>
            <rFont val="Tahoma"/>
            <family val="2"/>
          </rPr>
          <t>Electricity mix</t>
        </r>
        <r>
          <rPr>
            <sz val="8"/>
            <color indexed="81"/>
            <rFont val="Tahoma"/>
            <family val="2"/>
          </rPr>
          <t xml:space="preserve">
When making an actual calculation, the use of the input "Electricity EU mix LV" is not allowed. Use the electricity mix from the country in which the electricity is taken from the grid, by defining this mix in the list of additional standard values (following the example for “Average electricity mix in Malta”) and replacing “Electricity EU mix LV” in row B of this sheet by the name corresponding to the correct mix (for instance “Average electricity mix in Malta”).
More details can be found in the Calculation rules (chapter 4) and in the User manual (chapter 4).</t>
        </r>
      </text>
    </comment>
    <comment ref="B71" authorId="0" shapeId="0" xr:uid="{00000000-0006-0000-0D00-000008000000}">
      <text>
        <r>
          <rPr>
            <sz val="8"/>
            <color indexed="81"/>
            <rFont val="Tahoma"/>
            <family val="2"/>
          </rPr>
          <t xml:space="preserve">This is the electricity consumption of the ethanol plant outside the CHP
In the steam production, electricity is produced in a larger amount (0,6615 MJ electricity per MJ steam consumed) than the electricity demand in the ethanol plant. Therefore, the electricity demand in the ethanol plant is in fact not a demand but a reduced electricity output. The output of electricity from the steam production is credited by the electricity from a natural gas fired combined cycle gas turbine (NG CCGT). As a consequence, also the electricity demand in the ethanol plant is considered to be electricity from a NG CCGT to acknowledge for the fact that in practice this is not a demand, but a reduced electricity output. If the steam would have been produced in a boiler (without cogeneration of electricity), then the electricity input in the ethanol plant should have been calculated as “Electricity EU mix MV”. If the input of electricity would have been larger than the co-generated electricity from the steam production, than part of electricity input into the ethanol plant would have been calculated as “Electricity (NG CCGT)”, and part as “Electricity EU mix MV”.
</t>
        </r>
      </text>
    </comment>
    <comment ref="C71" authorId="0" shapeId="0" xr:uid="{00000000-0006-0000-0D00-000009000000}">
      <text>
        <r>
          <rPr>
            <sz val="8"/>
            <color indexed="81"/>
            <rFont val="Tahoma"/>
            <family val="2"/>
          </rPr>
          <t>Factor 1,4 is to convert "typical value" into "default value</t>
        </r>
      </text>
    </comment>
    <comment ref="C72" authorId="0" shapeId="0" xr:uid="{00000000-0006-0000-0D00-00000A000000}">
      <text>
        <r>
          <rPr>
            <sz val="8"/>
            <color indexed="81"/>
            <rFont val="Tahoma"/>
            <family val="2"/>
          </rPr>
          <t>Factor 1,4 is to convert "typical value" into "default value</t>
        </r>
      </text>
    </comment>
    <comment ref="C85" authorId="0" shapeId="0" xr:uid="{00000000-0006-0000-0D00-00000B000000}">
      <text>
        <r>
          <rPr>
            <sz val="8"/>
            <color indexed="81"/>
            <rFont val="Tahoma"/>
            <family val="2"/>
          </rPr>
          <t>Positive number indicates net consumption, negative number indicares net production</t>
        </r>
      </text>
    </comment>
    <comment ref="C86" authorId="0" shapeId="0" xr:uid="{00000000-0006-0000-0D00-00000C000000}">
      <text>
        <r>
          <rPr>
            <b/>
            <sz val="8"/>
            <color indexed="81"/>
            <rFont val="Tahoma"/>
            <family val="2"/>
          </rPr>
          <t xml:space="preserve">Electricity mix
</t>
        </r>
        <r>
          <rPr>
            <sz val="8"/>
            <color indexed="81"/>
            <rFont val="Tahoma"/>
            <family val="2"/>
          </rPr>
          <t>When making an actual calculation, the use of the input "Electricity EU mix MV" is not allowed. Use the electricity mix from the country in which the electricity is taken from the grid, by defining this mix in the list of additional standard values (following the example for “Average electricity mix in Malta”) and replacing “Electricity EU mix MV” in row B of this sheet by the name corresponding to the correct mix (for instance “Average electricity mix in Malta”).
More details can be found in the Calculation rules (chapter 4) and in the User manual (chapter 4).</t>
        </r>
      </text>
    </comment>
    <comment ref="B110" authorId="1" shapeId="0" xr:uid="{00000000-0006-0000-0D00-00000D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110" authorId="0" shapeId="0" xr:uid="{00000000-0006-0000-0D00-00000E000000}">
      <text>
        <r>
          <rPr>
            <b/>
            <sz val="8"/>
            <color indexed="81"/>
            <rFont val="Tahoma"/>
            <family val="2"/>
          </rPr>
          <t>Electricity mix</t>
        </r>
        <r>
          <rPr>
            <sz val="8"/>
            <color indexed="81"/>
            <rFont val="Tahoma"/>
            <family val="2"/>
          </rPr>
          <t xml:space="preserve">
When making an actual calculation, the use of the input "Electricity EU mix LV" is not allowed. Use the electricity mix from the country in which the electricity is taken from the grid, by defining this mix in the list of additional standard values (following the example for “Average electricity mix in Malta”) and replacing “Electricity EU mix LV” in row B of this sheet by the name corresponding to the correct mix (for instance “Average electricity mix in Malta”).
More details can be found in the Calculation rules (chapter 4) and in the User manual (chapter 4).</t>
        </r>
      </text>
    </comment>
    <comment ref="B122" authorId="1" shapeId="0" xr:uid="{00000000-0006-0000-0D00-00000F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122" authorId="0" shapeId="0" xr:uid="{00000000-0006-0000-0D00-000010000000}">
      <text>
        <r>
          <rPr>
            <b/>
            <sz val="8"/>
            <color indexed="81"/>
            <rFont val="Tahoma"/>
            <family val="2"/>
          </rPr>
          <t>Electricity mix</t>
        </r>
        <r>
          <rPr>
            <sz val="8"/>
            <color indexed="81"/>
            <rFont val="Tahoma"/>
            <family val="2"/>
          </rPr>
          <t xml:space="preserve">
When making an actual calculation, the use of the input "Electricity EU mix LV" is only allowed when the starting values in this step are kept.
When changing the starting values, use the electricity mix from the country in which the electricity is taken from the grid, by defining this mix in the list of additional standard values (following the example for “Average electricity mix in Malta”) and replacing “Electricity EU mix LV” in row B of this sheet by the name corresponding to the correct mix (for instance “Average electricity mix in Malta”).
More details can be found in the Calculation rules (chapter 4) and in the User manual (chapter 4).</t>
        </r>
      </text>
    </comment>
    <comment ref="B127" authorId="2" shapeId="0" xr:uid="{00000000-0006-0000-0D00-000011000000}">
      <text>
        <r>
          <rPr>
            <sz val="8"/>
            <color indexed="81"/>
            <rFont val="Tahoma"/>
            <family val="2"/>
          </rPr>
          <t>Annualised emissions from carbon stock changes caused by land-use change, e</t>
        </r>
        <r>
          <rPr>
            <sz val="8"/>
            <color indexed="81"/>
            <rFont val="Tahoma"/>
            <family val="2"/>
          </rPr>
          <t>l</t>
        </r>
        <r>
          <rPr>
            <sz val="8"/>
            <color indexed="81"/>
            <rFont val="Tahoma"/>
            <family val="2"/>
          </rPr>
          <t>, shall be calculated by dividing total emissions equally over 20 years. For the calculation of those emissions the following rule shall be applied:
e</t>
        </r>
        <r>
          <rPr>
            <sz val="8"/>
            <color indexed="81"/>
            <rFont val="Tahoma"/>
            <family val="2"/>
          </rPr>
          <t>l</t>
        </r>
        <r>
          <rPr>
            <sz val="8"/>
            <color indexed="81"/>
            <rFont val="Tahoma"/>
            <family val="2"/>
          </rPr>
          <t xml:space="preserve"> = (CS</t>
        </r>
        <r>
          <rPr>
            <sz val="8"/>
            <color indexed="81"/>
            <rFont val="Tahoma"/>
            <family val="2"/>
          </rPr>
          <t>R</t>
        </r>
        <r>
          <rPr>
            <sz val="8"/>
            <color indexed="81"/>
            <rFont val="Tahoma"/>
            <family val="2"/>
          </rPr>
          <t xml:space="preserve"> – CS</t>
        </r>
        <r>
          <rPr>
            <sz val="8"/>
            <color indexed="81"/>
            <rFont val="Tahoma"/>
            <family val="2"/>
          </rPr>
          <t>A</t>
        </r>
        <r>
          <rPr>
            <sz val="8"/>
            <color indexed="81"/>
            <rFont val="Tahoma"/>
            <family val="2"/>
          </rPr>
          <t>) × 3,664 × 1/20 × 1/P – e</t>
        </r>
        <r>
          <rPr>
            <sz val="8"/>
            <color indexed="81"/>
            <rFont val="Tahoma"/>
            <family val="2"/>
          </rPr>
          <t>B</t>
        </r>
        <r>
          <rPr>
            <sz val="8"/>
            <color indexed="81"/>
            <rFont val="Tahoma"/>
            <family val="2"/>
          </rPr>
          <t>(1)</t>
        </r>
        <r>
          <rPr>
            <sz val="8"/>
            <color indexed="81"/>
            <rFont val="Tahoma"/>
            <family val="2"/>
          </rPr>
          <t xml:space="preserve">
where
e</t>
        </r>
        <r>
          <rPr>
            <sz val="8"/>
            <color indexed="81"/>
            <rFont val="Tahoma"/>
            <family val="2"/>
          </rPr>
          <t>l</t>
        </r>
        <r>
          <rPr>
            <sz val="8"/>
            <color indexed="81"/>
            <rFont val="Tahoma"/>
            <family val="2"/>
          </rPr>
          <t xml:space="preserve"> = annualised greenhouse gas emissions from carbon stock change due to land-use change (measured as mass of CO</t>
        </r>
        <r>
          <rPr>
            <sz val="8"/>
            <color indexed="81"/>
            <rFont val="Tahoma"/>
            <family val="2"/>
          </rPr>
          <t>2</t>
        </r>
        <r>
          <rPr>
            <sz val="8"/>
            <color indexed="81"/>
            <rFont val="Tahoma"/>
            <family val="2"/>
          </rPr>
          <t>-equivalent per unit biofuel energy);
CS</t>
        </r>
        <r>
          <rPr>
            <sz val="8"/>
            <color indexed="81"/>
            <rFont val="Tahoma"/>
            <family val="2"/>
          </rPr>
          <t>R</t>
        </r>
        <r>
          <rPr>
            <sz val="8"/>
            <color indexed="81"/>
            <rFont val="Tahoma"/>
            <family val="2"/>
          </rPr>
          <t xml:space="preserve"> = the carbon stock per unit area associated with the reference land use (measured as mass of carbon per unit area, including both soil and vegetation). The reference land use shall be the land use in January 2008 or 20 years before the raw material was obtained, whichever was the later;
CS</t>
        </r>
        <r>
          <rPr>
            <sz val="8"/>
            <color indexed="81"/>
            <rFont val="Tahoma"/>
            <family val="2"/>
          </rPr>
          <t>A</t>
        </r>
        <r>
          <rPr>
            <sz val="8"/>
            <color indexed="81"/>
            <rFont val="Tahoma"/>
            <family val="2"/>
          </rPr>
          <t xml:space="preserve"> =the carbon stock per unit area associated with the actual land use (measured as mass of carbon per unit area, including both soil and vegetation). In cases where the carbon stock accumulates over more than one year, the value attributed to CS</t>
        </r>
        <r>
          <rPr>
            <sz val="8"/>
            <color indexed="81"/>
            <rFont val="Tahoma"/>
            <family val="2"/>
          </rPr>
          <t>A</t>
        </r>
        <r>
          <rPr>
            <sz val="8"/>
            <color indexed="81"/>
            <rFont val="Tahoma"/>
            <family val="2"/>
          </rPr>
          <t xml:space="preserve"> shall be the estimated stock per unit area after 20 years or when the crop reaches maturity, whichever the earlier;
P =the productivity of the crop (measured as biofuel or bioliquid energy per unit area per year); and
e</t>
        </r>
        <r>
          <rPr>
            <sz val="8"/>
            <color indexed="81"/>
            <rFont val="Tahoma"/>
            <family val="2"/>
          </rPr>
          <t>B</t>
        </r>
        <r>
          <rPr>
            <sz val="8"/>
            <color indexed="81"/>
            <rFont val="Tahoma"/>
            <family val="2"/>
          </rPr>
          <t xml:space="preserve"> =bonus of 29 gCO</t>
        </r>
        <r>
          <rPr>
            <sz val="8"/>
            <color indexed="81"/>
            <rFont val="Tahoma"/>
            <family val="2"/>
          </rPr>
          <t>2eq</t>
        </r>
        <r>
          <rPr>
            <sz val="8"/>
            <color indexed="81"/>
            <rFont val="Tahoma"/>
            <family val="2"/>
          </rPr>
          <t>/MJ biofuel or bioliquid if biomass is obtained from restored degraded land under the conditions provided for in point 8.
8.
The bonus of 29 gCO</t>
        </r>
        <r>
          <rPr>
            <sz val="8"/>
            <color indexed="81"/>
            <rFont val="Tahoma"/>
            <family val="2"/>
          </rPr>
          <t>2eq</t>
        </r>
        <r>
          <rPr>
            <sz val="8"/>
            <color indexed="81"/>
            <rFont val="Tahoma"/>
            <family val="2"/>
          </rPr>
          <t>/MJ shall be attributed if evidence is provided that the land:
(a) was not in use for agriculture or any other activity in January 2008; and
(b) falls into one of the following categories:
   (i) severely degraded land, including such land that was formerly in agricultural use;
   (ii) heavily contaminated land.
The bonus of 29 gCO</t>
        </r>
        <r>
          <rPr>
            <sz val="8"/>
            <color indexed="81"/>
            <rFont val="Tahoma"/>
            <family val="2"/>
          </rPr>
          <t>2eq</t>
        </r>
        <r>
          <rPr>
            <sz val="8"/>
            <color indexed="81"/>
            <rFont val="Tahoma"/>
            <family val="2"/>
          </rPr>
          <t>/MJ shall apply for a period of up to 10 years from the date of conversion of the land to agricultural use, provided that a steady increase in carbon stocks as well as a sizable reduction in erosion phenomena for land falling under (i) are ensured and that soil contamination for land falling under (ii) is reduced.
9.
The categories referred to in point 8(b) are defined as follows:
(a) ‘severely degraded land’ means land that, for a significant period of time, has either been significantly salinated or presented significantly low organic matter content and has been severely eroded;
(b) ‘heavily contaminated land’ means land that is unfit for the cultivation of food and feed due to soil contamination.
Such land shall include land that has been the subject of a Commission decision in accordance with the fourth subparagraph of Article 18(4).</t>
        </r>
        <r>
          <rPr>
            <sz val="8"/>
            <color indexed="81"/>
            <rFont val="Tahoma"/>
            <family val="2"/>
          </rPr>
          <t xml:space="preserve">
</t>
        </r>
        <r>
          <rPr>
            <sz val="8"/>
            <color indexed="81"/>
            <rFont val="Tahoma"/>
            <family val="2"/>
          </rPr>
          <t xml:space="preserve">
</t>
        </r>
        <r>
          <rPr>
            <sz val="8"/>
            <color indexed="81"/>
            <rFont val="Tahoma"/>
            <family val="2"/>
          </rPr>
          <t>(1)</t>
        </r>
        <r>
          <rPr>
            <sz val="8"/>
            <color indexed="81"/>
            <rFont val="Tahoma"/>
            <family val="2"/>
          </rPr>
          <t xml:space="preserve"> </t>
        </r>
        <r>
          <rPr>
            <sz val="8"/>
            <color indexed="81"/>
            <rFont val="Tahoma"/>
            <family val="2"/>
          </rPr>
          <t xml:space="preserve"> The quotient obtained by dividing the molecular weight of CO</t>
        </r>
        <r>
          <rPr>
            <sz val="8"/>
            <color indexed="81"/>
            <rFont val="Tahoma"/>
            <family val="2"/>
          </rPr>
          <t>2</t>
        </r>
        <r>
          <rPr>
            <sz val="8"/>
            <color indexed="81"/>
            <rFont val="Tahoma"/>
            <family val="2"/>
          </rPr>
          <t xml:space="preserve"> (44,010 g/mol) by the molecular weight of carbon (12,011 g/mol) is equal to 3,664.</t>
        </r>
      </text>
    </comment>
    <comment ref="C137" authorId="2" shapeId="0" xr:uid="{00000000-0006-0000-0D00-000012000000}">
      <text>
        <r>
          <rPr>
            <sz val="8"/>
            <color indexed="81"/>
            <rFont val="Tahoma"/>
            <family val="2"/>
          </rPr>
          <t xml:space="preserve">
8.
The bonus of 29 gCO2eq/MJ shall be attributed if evidence is provided that the land:
(a) was not in use for agriculture or any other activity in January 2008; and
(b) falls into one of the following categories:
   (i) severely degraded land, including such land that was formerly in agricultural use;
   (ii) heavily contaminated land.
The bonus of 29 gCO2eq/MJ shall apply for a period of up to 10 years from the date of conversion of the land to agricultural use, provided that a steady increase in carbon stocks as well as a sizable reduction in erosion phenomena for land falling under (i) are ensured and that soil contamination for land falling under (ii) is reduced.
9.
The categories referred to in point 8(b) are defined as follows:
(a) ‘severely degraded land’ means land that, for a significant period of time, has either been significantly salinated or presented significantly low organic matter content and has been severely eroded;
(b) ‘heavily contaminated land’ means land that is unfit for the cultivation of food and feed due to soil contamination.
Such land shall include land that has been the subject of a Commission decision in accordance with the fourth subparagraph of Article 18(4).</t>
        </r>
      </text>
    </comment>
    <comment ref="C159" authorId="2" shapeId="0" xr:uid="{00000000-0006-0000-0D00-000013000000}">
      <text>
        <r>
          <rPr>
            <sz val="8"/>
            <color indexed="81"/>
            <rFont val="Tahoma"/>
            <family val="2"/>
          </rPr>
          <t>Emission saving from carbon capture and replacement, e</t>
        </r>
        <r>
          <rPr>
            <sz val="8"/>
            <color indexed="81"/>
            <rFont val="Tahoma"/>
            <family val="2"/>
          </rPr>
          <t>ccr</t>
        </r>
        <r>
          <rPr>
            <sz val="8"/>
            <color indexed="81"/>
            <rFont val="Tahoma"/>
            <family val="2"/>
          </rPr>
          <t>, shall be limited to emissions avoided through the capture of CO</t>
        </r>
        <r>
          <rPr>
            <sz val="8"/>
            <color indexed="81"/>
            <rFont val="Tahoma"/>
            <family val="2"/>
          </rPr>
          <t>2</t>
        </r>
        <r>
          <rPr>
            <sz val="8"/>
            <color indexed="81"/>
            <rFont val="Tahoma"/>
            <family val="2"/>
          </rPr>
          <t xml:space="preserve"> of which the carbon originates from biomass and which is used to replace fossil-derived CO</t>
        </r>
        <r>
          <rPr>
            <sz val="8"/>
            <color indexed="81"/>
            <rFont val="Tahoma"/>
            <family val="2"/>
          </rPr>
          <t>2</t>
        </r>
        <r>
          <rPr>
            <sz val="8"/>
            <color indexed="81"/>
            <rFont val="Tahoma"/>
            <family val="2"/>
          </rPr>
          <t xml:space="preserve"> used in commercial products and services.</t>
        </r>
      </text>
    </comment>
    <comment ref="C165" authorId="2" shapeId="0" xr:uid="{00000000-0006-0000-0D00-000014000000}">
      <text>
        <r>
          <rPr>
            <sz val="8"/>
            <color indexed="81"/>
            <rFont val="Tahoma"/>
            <family val="2"/>
          </rPr>
          <t>Emission saving from carbon capture and geological storage e</t>
        </r>
        <r>
          <rPr>
            <sz val="8"/>
            <color indexed="81"/>
            <rFont val="Tahoma"/>
            <family val="2"/>
          </rPr>
          <t>ccs</t>
        </r>
        <r>
          <rPr>
            <sz val="8"/>
            <color indexed="81"/>
            <rFont val="Tahoma"/>
            <family val="2"/>
          </rPr>
          <t>, that have not already been accounted for in e</t>
        </r>
        <r>
          <rPr>
            <sz val="8"/>
            <color indexed="81"/>
            <rFont val="Tahoma"/>
            <family val="2"/>
          </rPr>
          <t>p</t>
        </r>
        <r>
          <rPr>
            <sz val="8"/>
            <color indexed="81"/>
            <rFont val="Tahoma"/>
            <family val="2"/>
          </rPr>
          <t>, shall be limited to emissions avoided through the capture and sequestration of emitted CO</t>
        </r>
        <r>
          <rPr>
            <sz val="8"/>
            <color indexed="81"/>
            <rFont val="Tahoma"/>
            <family val="2"/>
          </rPr>
          <t>2</t>
        </r>
        <r>
          <rPr>
            <sz val="8"/>
            <color indexed="81"/>
            <rFont val="Tahoma"/>
            <family val="2"/>
          </rPr>
          <t xml:space="preserve"> directly related to the extraction, transport, processing and distribution of fuel.</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neeft</author>
    <author>Neeft, dr. J.P.A. (John)</author>
    <author>sbu</author>
  </authors>
  <commentList>
    <comment ref="H7" authorId="0" shapeId="0" xr:uid="{00000000-0006-0000-0E00-000001000000}">
      <text>
        <r>
          <rPr>
            <sz val="8"/>
            <color indexed="81"/>
            <rFont val="Tahoma"/>
            <family val="2"/>
          </rPr>
          <t>This value is not listed in the RED. 
It has been calculated on the basis of the JEC input, as is explained in "About"</t>
        </r>
      </text>
    </comment>
    <comment ref="H9" authorId="0" shapeId="0" xr:uid="{00000000-0006-0000-0E00-000002000000}">
      <text>
        <r>
          <rPr>
            <sz val="8"/>
            <color indexed="81"/>
            <rFont val="Tahoma"/>
            <family val="2"/>
          </rPr>
          <t>This value is not listed in the RED. 
It has been calculated on the basis of the JEC input, as is explained in "About"</t>
        </r>
      </text>
    </comment>
    <comment ref="H11" authorId="0" shapeId="0" xr:uid="{00000000-0006-0000-0E00-000003000000}">
      <text>
        <r>
          <rPr>
            <sz val="8"/>
            <color indexed="81"/>
            <rFont val="Tahoma"/>
            <family val="2"/>
          </rPr>
          <t>This value is not listed in the RED. 
It has been calculated on the basis of the JEC input, as is explained in "About"</t>
        </r>
      </text>
    </comment>
    <comment ref="H13" authorId="0" shapeId="0" xr:uid="{00000000-0006-0000-0E00-000004000000}">
      <text>
        <r>
          <rPr>
            <sz val="8"/>
            <color indexed="81"/>
            <rFont val="Tahoma"/>
            <family val="2"/>
          </rPr>
          <t>This value is not listed in the RED. 
It has been calculated on the basis of the JEC input, as is explained in "About"</t>
        </r>
      </text>
    </comment>
    <comment ref="H14" authorId="0" shapeId="0" xr:uid="{00000000-0006-0000-0E00-000005000000}">
      <text>
        <r>
          <rPr>
            <sz val="8"/>
            <color indexed="81"/>
            <rFont val="Tahoma"/>
            <family val="2"/>
          </rPr>
          <t>This value is not listed in the RED. 
It has been calculated on the basis of the JEC input, as is explained in "About"</t>
        </r>
      </text>
    </comment>
    <comment ref="B50" authorId="1" shapeId="0" xr:uid="{00000000-0006-0000-0E00-000006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50" authorId="0" shapeId="0" xr:uid="{00000000-0006-0000-0E00-000007000000}">
      <text>
        <r>
          <rPr>
            <b/>
            <sz val="8"/>
            <color indexed="81"/>
            <rFont val="Tahoma"/>
            <family val="2"/>
          </rPr>
          <t>Electricity mix</t>
        </r>
        <r>
          <rPr>
            <sz val="8"/>
            <color indexed="81"/>
            <rFont val="Tahoma"/>
            <family val="2"/>
          </rPr>
          <t xml:space="preserve">
When making an actual calculation, the use of the input "Electricity EU mix LV" is not allowed. Use the electricity mix from the country in which the electricity is taken from the grid, by defining this mix in the list of additional standard values (following the example for “Average electricity mix in Malta”) and replacing “Electricity EU mix LV” in row B of this sheet by the name corresponding to the correct mix (for instance “Average electricity mix in Malta”).
More details can be found in the Calculation rules (chapter 4) and in the User manual (chapter 4).</t>
        </r>
      </text>
    </comment>
    <comment ref="B71" authorId="0" shapeId="0" xr:uid="{00000000-0006-0000-0E00-000008000000}">
      <text>
        <r>
          <rPr>
            <sz val="8"/>
            <color indexed="81"/>
            <rFont val="Tahoma"/>
            <family val="2"/>
          </rPr>
          <t xml:space="preserve">In the steam production, electricity is produced in a larger amount (0,3612 MJ electricity per MJ steam consumed) than the electricity demand in the ethanol plant. Therefore, the electricity demand in the ethanol plant is in fact not a demand but a reduced electricity output. The output of electricity from the steam production is credited by the electricity from a straw fired steam turbine (Straw ST). As a consequence, also the electricity demand in the ethanol plant is considered to be electricity from a Straw ST to acknowledge for the fact that in practice this is not a demand, but a reduced electricity output. If the steam would have been produced in a boiler (without cogeneration of electricity), then the electricity input in the ethanol plant should have been calculated as “Electricity EU mix MV”. If the input of electricity would have been larger than the co-generated electricity from the steam production, than part of electricity input into the ethanol plant would have been calculated as “Electricity (Straw ST)”, and part as “Electricity EU mix MV”.
</t>
        </r>
      </text>
    </comment>
    <comment ref="C71" authorId="0" shapeId="0" xr:uid="{00000000-0006-0000-0E00-000009000000}">
      <text>
        <r>
          <rPr>
            <sz val="8"/>
            <color indexed="81"/>
            <rFont val="Tahoma"/>
            <family val="2"/>
          </rPr>
          <t>Factor 1,4 is to convert "typical value" into "default value</t>
        </r>
      </text>
    </comment>
    <comment ref="C72" authorId="0" shapeId="0" xr:uid="{00000000-0006-0000-0E00-00000A000000}">
      <text>
        <r>
          <rPr>
            <sz val="8"/>
            <color indexed="81"/>
            <rFont val="Tahoma"/>
            <family val="2"/>
          </rPr>
          <t>Factor 1,4 is to convert "typical value" into "default value</t>
        </r>
      </text>
    </comment>
    <comment ref="C85" authorId="0" shapeId="0" xr:uid="{00000000-0006-0000-0E00-00000B000000}">
      <text>
        <r>
          <rPr>
            <sz val="8"/>
            <color indexed="81"/>
            <rFont val="Tahoma"/>
            <family val="2"/>
          </rPr>
          <t>Positive number indicates net consumption, negative number indicares net production</t>
        </r>
      </text>
    </comment>
    <comment ref="C86" authorId="0" shapeId="0" xr:uid="{00000000-0006-0000-0E00-00000C000000}">
      <text>
        <r>
          <rPr>
            <b/>
            <sz val="8"/>
            <color indexed="81"/>
            <rFont val="Tahoma"/>
            <family val="2"/>
          </rPr>
          <t xml:space="preserve">Electricity mix
</t>
        </r>
        <r>
          <rPr>
            <sz val="8"/>
            <color indexed="81"/>
            <rFont val="Tahoma"/>
            <family val="2"/>
          </rPr>
          <t>When making an actual calculation, the use of the input "Electricity EU mix MV" is not allowed. Use the electricity mix from the country in which the electricity is taken from the grid, by defining this mix in the list of additional standard values (following the example for “Average electricity mix in Malta”) and replacing “Electricity EU mix MV” in row B of this sheet by the name corresponding to the correct mix (for instance “Average electricity mix in Malta”).
More details can be found in the Calculation rules (chapter 4) and in the User manual (chapter 4).</t>
        </r>
      </text>
    </comment>
    <comment ref="B110" authorId="1" shapeId="0" xr:uid="{00000000-0006-0000-0E00-00000D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110" authorId="0" shapeId="0" xr:uid="{00000000-0006-0000-0E00-00000E000000}">
      <text>
        <r>
          <rPr>
            <b/>
            <sz val="8"/>
            <color indexed="81"/>
            <rFont val="Tahoma"/>
            <family val="2"/>
          </rPr>
          <t>Electricity mix</t>
        </r>
        <r>
          <rPr>
            <sz val="8"/>
            <color indexed="81"/>
            <rFont val="Tahoma"/>
            <family val="2"/>
          </rPr>
          <t xml:space="preserve">
When making an actual calculation, the use of the input "Electricity EU mix LV" is not allowed. Use the electricity mix from the country in which the electricity is taken from the grid, by defining this mix in the list of additional standard values (following the example for “Average electricity mix in Malta”) and replacing “Electricity EU mix LV” in row B of this sheet by the name corresponding to the correct mix (for instance “Average electricity mix in Malta”).
More details can be found in the Calculation rules (chapter 4) and in the User manual (chapter 4).</t>
        </r>
      </text>
    </comment>
    <comment ref="B122" authorId="1" shapeId="0" xr:uid="{00000000-0006-0000-0E00-00000F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122" authorId="0" shapeId="0" xr:uid="{00000000-0006-0000-0E00-000010000000}">
      <text>
        <r>
          <rPr>
            <b/>
            <sz val="8"/>
            <color indexed="81"/>
            <rFont val="Tahoma"/>
            <family val="2"/>
          </rPr>
          <t>Electricity mix</t>
        </r>
        <r>
          <rPr>
            <sz val="8"/>
            <color indexed="81"/>
            <rFont val="Tahoma"/>
            <family val="2"/>
          </rPr>
          <t xml:space="preserve">
When making an actual calculation, the use of the input "Electricity EU mix LV" is only allowed when the starting values in this step are kept.
When changing the starting values, use the electricity mix from the country in which the electricity is taken from the grid, by defining this mix in the list of additional standard values (following the example for “Average electricity mix in Malta”) and replacing “Electricity EU mix LV” in row B of this sheet by the name corresponding to the correct mix (for instance “Average electricity mix in Malta”).
More details can be found in the Calculation rules (chapter 4) and in the User manual (chapter 4).</t>
        </r>
      </text>
    </comment>
    <comment ref="B127" authorId="2" shapeId="0" xr:uid="{00000000-0006-0000-0E00-000011000000}">
      <text>
        <r>
          <rPr>
            <sz val="8"/>
            <color indexed="81"/>
            <rFont val="Tahoma"/>
            <family val="2"/>
          </rPr>
          <t>Annualised emissions from carbon stock changes caused by land-use change, e</t>
        </r>
        <r>
          <rPr>
            <sz val="8"/>
            <color indexed="81"/>
            <rFont val="Tahoma"/>
            <family val="2"/>
          </rPr>
          <t>l</t>
        </r>
        <r>
          <rPr>
            <sz val="8"/>
            <color indexed="81"/>
            <rFont val="Tahoma"/>
            <family val="2"/>
          </rPr>
          <t>, shall be calculated by dividing total emissions equally over 20 years. For the calculation of those emissions the following rule shall be applied:
e</t>
        </r>
        <r>
          <rPr>
            <sz val="8"/>
            <color indexed="81"/>
            <rFont val="Tahoma"/>
            <family val="2"/>
          </rPr>
          <t>l</t>
        </r>
        <r>
          <rPr>
            <sz val="8"/>
            <color indexed="81"/>
            <rFont val="Tahoma"/>
            <family val="2"/>
          </rPr>
          <t xml:space="preserve"> = (CS</t>
        </r>
        <r>
          <rPr>
            <sz val="8"/>
            <color indexed="81"/>
            <rFont val="Tahoma"/>
            <family val="2"/>
          </rPr>
          <t>R</t>
        </r>
        <r>
          <rPr>
            <sz val="8"/>
            <color indexed="81"/>
            <rFont val="Tahoma"/>
            <family val="2"/>
          </rPr>
          <t xml:space="preserve"> – CS</t>
        </r>
        <r>
          <rPr>
            <sz val="8"/>
            <color indexed="81"/>
            <rFont val="Tahoma"/>
            <family val="2"/>
          </rPr>
          <t>A</t>
        </r>
        <r>
          <rPr>
            <sz val="8"/>
            <color indexed="81"/>
            <rFont val="Tahoma"/>
            <family val="2"/>
          </rPr>
          <t>) × 3,664 × 1/20 × 1/P – e</t>
        </r>
        <r>
          <rPr>
            <sz val="8"/>
            <color indexed="81"/>
            <rFont val="Tahoma"/>
            <family val="2"/>
          </rPr>
          <t>B</t>
        </r>
        <r>
          <rPr>
            <sz val="8"/>
            <color indexed="81"/>
            <rFont val="Tahoma"/>
            <family val="2"/>
          </rPr>
          <t>(1)</t>
        </r>
        <r>
          <rPr>
            <sz val="8"/>
            <color indexed="81"/>
            <rFont val="Tahoma"/>
            <family val="2"/>
          </rPr>
          <t xml:space="preserve">
where
e</t>
        </r>
        <r>
          <rPr>
            <sz val="8"/>
            <color indexed="81"/>
            <rFont val="Tahoma"/>
            <family val="2"/>
          </rPr>
          <t>l</t>
        </r>
        <r>
          <rPr>
            <sz val="8"/>
            <color indexed="81"/>
            <rFont val="Tahoma"/>
            <family val="2"/>
          </rPr>
          <t xml:space="preserve"> = annualised greenhouse gas emissions from carbon stock change due to land-use change (measured as mass of CO</t>
        </r>
        <r>
          <rPr>
            <sz val="8"/>
            <color indexed="81"/>
            <rFont val="Tahoma"/>
            <family val="2"/>
          </rPr>
          <t>2</t>
        </r>
        <r>
          <rPr>
            <sz val="8"/>
            <color indexed="81"/>
            <rFont val="Tahoma"/>
            <family val="2"/>
          </rPr>
          <t>-equivalent per unit biofuel energy);
CS</t>
        </r>
        <r>
          <rPr>
            <sz val="8"/>
            <color indexed="81"/>
            <rFont val="Tahoma"/>
            <family val="2"/>
          </rPr>
          <t>R</t>
        </r>
        <r>
          <rPr>
            <sz val="8"/>
            <color indexed="81"/>
            <rFont val="Tahoma"/>
            <family val="2"/>
          </rPr>
          <t xml:space="preserve"> = the carbon stock per unit area associated with the reference land use (measured as mass of carbon per unit area, including both soil and vegetation). The reference land use shall be the land use in January 2008 or 20 years before the raw material was obtained, whichever was the later;
CS</t>
        </r>
        <r>
          <rPr>
            <sz val="8"/>
            <color indexed="81"/>
            <rFont val="Tahoma"/>
            <family val="2"/>
          </rPr>
          <t>A</t>
        </r>
        <r>
          <rPr>
            <sz val="8"/>
            <color indexed="81"/>
            <rFont val="Tahoma"/>
            <family val="2"/>
          </rPr>
          <t xml:space="preserve"> =the carbon stock per unit area associated with the actual land use (measured as mass of carbon per unit area, including both soil and vegetation). In cases where the carbon stock accumulates over more than one year, the value attributed to CS</t>
        </r>
        <r>
          <rPr>
            <sz val="8"/>
            <color indexed="81"/>
            <rFont val="Tahoma"/>
            <family val="2"/>
          </rPr>
          <t>A</t>
        </r>
        <r>
          <rPr>
            <sz val="8"/>
            <color indexed="81"/>
            <rFont val="Tahoma"/>
            <family val="2"/>
          </rPr>
          <t xml:space="preserve"> shall be the estimated stock per unit area after 20 years or when the crop reaches maturity, whichever the earlier;
P =the productivity of the crop (measured as biofuel or bioliquid energy per unit area per year); and
e</t>
        </r>
        <r>
          <rPr>
            <sz val="8"/>
            <color indexed="81"/>
            <rFont val="Tahoma"/>
            <family val="2"/>
          </rPr>
          <t>B</t>
        </r>
        <r>
          <rPr>
            <sz val="8"/>
            <color indexed="81"/>
            <rFont val="Tahoma"/>
            <family val="2"/>
          </rPr>
          <t xml:space="preserve"> =bonus of 29 gCO</t>
        </r>
        <r>
          <rPr>
            <sz val="8"/>
            <color indexed="81"/>
            <rFont val="Tahoma"/>
            <family val="2"/>
          </rPr>
          <t>2eq</t>
        </r>
        <r>
          <rPr>
            <sz val="8"/>
            <color indexed="81"/>
            <rFont val="Tahoma"/>
            <family val="2"/>
          </rPr>
          <t>/MJ biofuel or bioliquid if biomass is obtained from restored degraded land under the conditions provided for in point 8.
8.
The bonus of 29 gCO</t>
        </r>
        <r>
          <rPr>
            <sz val="8"/>
            <color indexed="81"/>
            <rFont val="Tahoma"/>
            <family val="2"/>
          </rPr>
          <t>2eq</t>
        </r>
        <r>
          <rPr>
            <sz val="8"/>
            <color indexed="81"/>
            <rFont val="Tahoma"/>
            <family val="2"/>
          </rPr>
          <t>/MJ shall be attributed if evidence is provided that the land:
(a) was not in use for agriculture or any other activity in January 2008; and
(b) falls into one of the following categories:
   (i) severely degraded land, including such land that was formerly in agricultural use;
   (ii) heavily contaminated land.
The bonus of 29 gCO</t>
        </r>
        <r>
          <rPr>
            <sz val="8"/>
            <color indexed="81"/>
            <rFont val="Tahoma"/>
            <family val="2"/>
          </rPr>
          <t>2eq</t>
        </r>
        <r>
          <rPr>
            <sz val="8"/>
            <color indexed="81"/>
            <rFont val="Tahoma"/>
            <family val="2"/>
          </rPr>
          <t>/MJ shall apply for a period of up to 10 years from the date of conversion of the land to agricultural use, provided that a steady increase in carbon stocks as well as a sizable reduction in erosion phenomena for land falling under (i) are ensured and that soil contamination for land falling under (ii) is reduced.
9.
The categories referred to in point 8(b) are defined as follows:
(a) ‘severely degraded land’ means land that, for a significant period of time, has either been significantly salinated or presented significantly low organic matter content and has been severely eroded;
(b) ‘heavily contaminated land’ means land that is unfit for the cultivation of food and feed due to soil contamination.
Such land shall include land that has been the subject of a Commission decision in accordance with the fourth subparagraph of Article 18(4).</t>
        </r>
        <r>
          <rPr>
            <sz val="8"/>
            <color indexed="81"/>
            <rFont val="Tahoma"/>
            <family val="2"/>
          </rPr>
          <t xml:space="preserve">
</t>
        </r>
        <r>
          <rPr>
            <sz val="8"/>
            <color indexed="81"/>
            <rFont val="Tahoma"/>
            <family val="2"/>
          </rPr>
          <t xml:space="preserve">
</t>
        </r>
        <r>
          <rPr>
            <sz val="8"/>
            <color indexed="81"/>
            <rFont val="Tahoma"/>
            <family val="2"/>
          </rPr>
          <t>(1)</t>
        </r>
        <r>
          <rPr>
            <sz val="8"/>
            <color indexed="81"/>
            <rFont val="Tahoma"/>
            <family val="2"/>
          </rPr>
          <t xml:space="preserve"> </t>
        </r>
        <r>
          <rPr>
            <sz val="8"/>
            <color indexed="81"/>
            <rFont val="Tahoma"/>
            <family val="2"/>
          </rPr>
          <t xml:space="preserve"> The quotient obtained by dividing the molecular weight of CO</t>
        </r>
        <r>
          <rPr>
            <sz val="8"/>
            <color indexed="81"/>
            <rFont val="Tahoma"/>
            <family val="2"/>
          </rPr>
          <t>2</t>
        </r>
        <r>
          <rPr>
            <sz val="8"/>
            <color indexed="81"/>
            <rFont val="Tahoma"/>
            <family val="2"/>
          </rPr>
          <t xml:space="preserve"> (44,010 g/mol) by the molecular weight of carbon (12,011 g/mol) is equal to 3,664.</t>
        </r>
      </text>
    </comment>
    <comment ref="C137" authorId="2" shapeId="0" xr:uid="{00000000-0006-0000-0E00-000012000000}">
      <text>
        <r>
          <rPr>
            <sz val="8"/>
            <color indexed="81"/>
            <rFont val="Tahoma"/>
            <family val="2"/>
          </rPr>
          <t xml:space="preserve">
8.
The bonus of 29 gCO2eq/MJ shall be attributed if evidence is provided that the land:
(a) was not in use for agriculture or any other activity in January 2008; and
(b) falls into one of the following categories:
   (i) severely degraded land, including such land that was formerly in agricultural use;
   (ii) heavily contaminated land.
The bonus of 29 gCO2eq/MJ shall apply for a period of up to 10 years from the date of conversion of the land to agricultural use, provided that a steady increase in carbon stocks as well as a sizable reduction in erosion phenomena for land falling under (i) are ensured and that soil contamination for land falling under (ii) is reduced.
9.
The categories referred to in point 8(b) are defined as follows:
(a) ‘severely degraded land’ means land that, for a significant period of time, has either been significantly salinated or presented significantly low organic matter content and has been severely eroded;
(b) ‘heavily contaminated land’ means land that is unfit for the cultivation of food and feed due to soil contamination.
Such land shall include land that has been the subject of a Commission decision in accordance with the fourth subparagraph of Article 18(4).</t>
        </r>
      </text>
    </comment>
    <comment ref="C159" authorId="2" shapeId="0" xr:uid="{00000000-0006-0000-0E00-000013000000}">
      <text>
        <r>
          <rPr>
            <sz val="8"/>
            <color indexed="81"/>
            <rFont val="Tahoma"/>
            <family val="2"/>
          </rPr>
          <t>Emission saving from carbon capture and replacement, e</t>
        </r>
        <r>
          <rPr>
            <sz val="8"/>
            <color indexed="81"/>
            <rFont val="Tahoma"/>
            <family val="2"/>
          </rPr>
          <t>ccr</t>
        </r>
        <r>
          <rPr>
            <sz val="8"/>
            <color indexed="81"/>
            <rFont val="Tahoma"/>
            <family val="2"/>
          </rPr>
          <t>, shall be limited to emissions avoided through the capture of CO</t>
        </r>
        <r>
          <rPr>
            <sz val="8"/>
            <color indexed="81"/>
            <rFont val="Tahoma"/>
            <family val="2"/>
          </rPr>
          <t>2</t>
        </r>
        <r>
          <rPr>
            <sz val="8"/>
            <color indexed="81"/>
            <rFont val="Tahoma"/>
            <family val="2"/>
          </rPr>
          <t xml:space="preserve"> of which the carbon originates from biomass and which is used to replace fossil-derived CO</t>
        </r>
        <r>
          <rPr>
            <sz val="8"/>
            <color indexed="81"/>
            <rFont val="Tahoma"/>
            <family val="2"/>
          </rPr>
          <t>2</t>
        </r>
        <r>
          <rPr>
            <sz val="8"/>
            <color indexed="81"/>
            <rFont val="Tahoma"/>
            <family val="2"/>
          </rPr>
          <t xml:space="preserve"> used in commercial products and services.</t>
        </r>
      </text>
    </comment>
    <comment ref="C165" authorId="2" shapeId="0" xr:uid="{00000000-0006-0000-0E00-000014000000}">
      <text>
        <r>
          <rPr>
            <sz val="8"/>
            <color indexed="81"/>
            <rFont val="Tahoma"/>
            <family val="2"/>
          </rPr>
          <t>Emission saving from carbon capture and geological storage e</t>
        </r>
        <r>
          <rPr>
            <sz val="8"/>
            <color indexed="81"/>
            <rFont val="Tahoma"/>
            <family val="2"/>
          </rPr>
          <t>ccs</t>
        </r>
        <r>
          <rPr>
            <sz val="8"/>
            <color indexed="81"/>
            <rFont val="Tahoma"/>
            <family val="2"/>
          </rPr>
          <t>, that have not already been accounted for in e</t>
        </r>
        <r>
          <rPr>
            <sz val="8"/>
            <color indexed="81"/>
            <rFont val="Tahoma"/>
            <family val="2"/>
          </rPr>
          <t>p</t>
        </r>
        <r>
          <rPr>
            <sz val="8"/>
            <color indexed="81"/>
            <rFont val="Tahoma"/>
            <family val="2"/>
          </rPr>
          <t>, shall be limited to emissions avoided through the capture and sequestration of emitted CO</t>
        </r>
        <r>
          <rPr>
            <sz val="8"/>
            <color indexed="81"/>
            <rFont val="Tahoma"/>
            <family val="2"/>
          </rPr>
          <t>2</t>
        </r>
        <r>
          <rPr>
            <sz val="8"/>
            <color indexed="81"/>
            <rFont val="Tahoma"/>
            <family val="2"/>
          </rPr>
          <t xml:space="preserve"> directly related to the extraction, transport, processing and distribution of fuel.</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neeft</author>
    <author>Neeft, dr. J.P.A. (John)</author>
    <author>sbu</author>
  </authors>
  <commentList>
    <comment ref="H7" authorId="0" shapeId="0" xr:uid="{00000000-0006-0000-0F00-000001000000}">
      <text>
        <r>
          <rPr>
            <sz val="8"/>
            <color indexed="81"/>
            <rFont val="Tahoma"/>
            <family val="2"/>
          </rPr>
          <t>This value is not listed in the RED. 
It has been calculated on the basis of the JEC input, as is explained in "About"</t>
        </r>
      </text>
    </comment>
    <comment ref="H9" authorId="0" shapeId="0" xr:uid="{00000000-0006-0000-0F00-000002000000}">
      <text>
        <r>
          <rPr>
            <sz val="8"/>
            <color indexed="81"/>
            <rFont val="Tahoma"/>
            <family val="2"/>
          </rPr>
          <t>This value is not listed in the RED. 
It has been calculated on the basis of the JEC input, as is explained in "About"</t>
        </r>
      </text>
    </comment>
    <comment ref="H11" authorId="0" shapeId="0" xr:uid="{00000000-0006-0000-0F00-000003000000}">
      <text>
        <r>
          <rPr>
            <sz val="8"/>
            <color indexed="81"/>
            <rFont val="Tahoma"/>
            <family val="2"/>
          </rPr>
          <t>This value is not listed in the RED. 
It has been calculated on the basis of the JEC input, as is explained in "About"</t>
        </r>
      </text>
    </comment>
    <comment ref="H12" authorId="0" shapeId="0" xr:uid="{00000000-0006-0000-0F00-000004000000}">
      <text>
        <r>
          <rPr>
            <sz val="8"/>
            <color indexed="81"/>
            <rFont val="Tahoma"/>
            <family val="2"/>
          </rPr>
          <t>This value is not listed in the RED. 
It has been calculated on the basis of the JEC input, as is explained in "About"</t>
        </r>
      </text>
    </comment>
    <comment ref="H13" authorId="0" shapeId="0" xr:uid="{00000000-0006-0000-0F00-000005000000}">
      <text>
        <r>
          <rPr>
            <sz val="8"/>
            <color indexed="81"/>
            <rFont val="Tahoma"/>
            <family val="2"/>
          </rPr>
          <t>This value is not listed in the RED. 
It has been calculated on the basis of the JEC input, as is explained in "About"</t>
        </r>
      </text>
    </comment>
    <comment ref="B62" authorId="0" shapeId="0" xr:uid="{00000000-0006-0000-0F00-000006000000}">
      <text>
        <r>
          <rPr>
            <sz val="8"/>
            <color indexed="81"/>
            <rFont val="Tahoma"/>
            <family val="2"/>
          </rPr>
          <t xml:space="preserve">In the steam production, electricity is produced in a larger amount (0,6615 MJ electricity per MJ steam consumed) than the electricity demand in the ethanol plant. Therefore, the electricity demand in the ethanol plant is in fact not a demand but a reduced electricity output. The output of electricity from the steam production is credited by the electricity from a natural gas fired combined cycle gas turbine (NG CCGT). As a consequence, also the electricity demand in the ethanol plant is considered to be electricity from a NG CCGT to acknowledge for the fact that in practice this is not a demand, but a reduced electricity output. If the steam would have been produced in a boiler (without cogeneration of electricity), then the electricity input in the ethanol plant should have been calculated as “Electricity EU mix MV”. If the input of electricity would have been larger than the co-generated electricity from the steam production, than part of electricity input into the ethanol plant would have been calculated as “Electricity (NG CCGT)”, and part as “Electricity EU mix MV”.
</t>
        </r>
      </text>
    </comment>
    <comment ref="C62" authorId="0" shapeId="0" xr:uid="{00000000-0006-0000-0F00-000007000000}">
      <text>
        <r>
          <rPr>
            <sz val="8"/>
            <color indexed="81"/>
            <rFont val="Tahoma"/>
            <family val="2"/>
          </rPr>
          <t>Factor 1,4 is to convert "typical value" into "default value</t>
        </r>
      </text>
    </comment>
    <comment ref="C63" authorId="0" shapeId="0" xr:uid="{00000000-0006-0000-0F00-000008000000}">
      <text>
        <r>
          <rPr>
            <sz val="8"/>
            <color indexed="81"/>
            <rFont val="Tahoma"/>
            <family val="2"/>
          </rPr>
          <t>Factor 1,4 is to convert "typical value" into "default value</t>
        </r>
      </text>
    </comment>
    <comment ref="C76" authorId="0" shapeId="0" xr:uid="{00000000-0006-0000-0F00-000009000000}">
      <text>
        <r>
          <rPr>
            <sz val="8"/>
            <color indexed="81"/>
            <rFont val="Tahoma"/>
            <family val="2"/>
          </rPr>
          <t>Positive number indicates net consumption, negative number indicares net production</t>
        </r>
      </text>
    </comment>
    <comment ref="C77" authorId="0" shapeId="0" xr:uid="{00000000-0006-0000-0F00-00000A000000}">
      <text>
        <r>
          <rPr>
            <b/>
            <sz val="8"/>
            <color indexed="81"/>
            <rFont val="Tahoma"/>
            <family val="2"/>
          </rPr>
          <t xml:space="preserve">Electricity mix
</t>
        </r>
        <r>
          <rPr>
            <sz val="8"/>
            <color indexed="81"/>
            <rFont val="Tahoma"/>
            <family val="2"/>
          </rPr>
          <t>When making an actual calculation, the use of the input "Electricity EU mix MV" is not allowed. Use the electricity mix from the country in which the electricity is taken from the grid, by defining this mix in the list of additional standard values (following the example for “Average electricity mix in Malta”) and replacing “Electricity EU mix MV” in row B of this sheet by the name corresponding to the correct mix (for instance “Average electricity mix in Malta”).
More details can be found in the Calculation rules (chapter 4) and in the User manual (chapter 4).</t>
        </r>
      </text>
    </comment>
    <comment ref="B101" authorId="1" shapeId="0" xr:uid="{00000000-0006-0000-0F00-00000B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101" authorId="0" shapeId="0" xr:uid="{00000000-0006-0000-0F00-00000C000000}">
      <text>
        <r>
          <rPr>
            <b/>
            <sz val="8"/>
            <color indexed="81"/>
            <rFont val="Tahoma"/>
            <family val="2"/>
          </rPr>
          <t>Electricity mix</t>
        </r>
        <r>
          <rPr>
            <sz val="8"/>
            <color indexed="81"/>
            <rFont val="Tahoma"/>
            <family val="2"/>
          </rPr>
          <t xml:space="preserve">
When making an actual calculation, the use of the input "Electricity EU mix LV" is not allowed. Use the electricity mix from the country in which the electricity is taken from the grid, by defining this mix in the list of additional standard values (following the example for “Average electricity mix in Malta”) and replacing “Electricity EU mix LV” in row B of this sheet by the name corresponding to the correct mix (for instance “Average electricity mix in Malta”).
More details can be found in the Calculation rules (chapter 4) and in the User manual (chapter 4).</t>
        </r>
      </text>
    </comment>
    <comment ref="B113" authorId="1" shapeId="0" xr:uid="{00000000-0006-0000-0F00-00000D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113" authorId="0" shapeId="0" xr:uid="{00000000-0006-0000-0F00-00000E000000}">
      <text>
        <r>
          <rPr>
            <b/>
            <sz val="8"/>
            <color indexed="81"/>
            <rFont val="Tahoma"/>
            <family val="2"/>
          </rPr>
          <t>Electricity mix</t>
        </r>
        <r>
          <rPr>
            <sz val="8"/>
            <color indexed="81"/>
            <rFont val="Tahoma"/>
            <family val="2"/>
          </rPr>
          <t xml:space="preserve">
When making an actual calculation, the use of the input "Electricity EU mix LV" is only allowed when the starting values in this step are kept.
When changing the starting values, use the electricity mix from the country in which the electricity is taken from the grid, by defining this mix in the list of additional standard values (following the example for “Average electricity mix in Malta”) and replacing “Electricity EU mix LV” in row B of this sheet by the name corresponding to the correct mix (for instance “Average electricity mix in Malta”).
More details can be found in the Calculation rules (chapter 4) and in the User manual (chapter 4).</t>
        </r>
      </text>
    </comment>
    <comment ref="B118" authorId="2" shapeId="0" xr:uid="{00000000-0006-0000-0F00-00000F000000}">
      <text>
        <r>
          <rPr>
            <sz val="8"/>
            <color indexed="81"/>
            <rFont val="Tahoma"/>
            <family val="2"/>
          </rPr>
          <t>Annualised emissions from carbon stock changes caused by land-use change, e</t>
        </r>
        <r>
          <rPr>
            <sz val="8"/>
            <color indexed="81"/>
            <rFont val="Tahoma"/>
            <family val="2"/>
          </rPr>
          <t>l</t>
        </r>
        <r>
          <rPr>
            <sz val="8"/>
            <color indexed="81"/>
            <rFont val="Tahoma"/>
            <family val="2"/>
          </rPr>
          <t>, shall be calculated by dividing total emissions equally over 20 years. For the calculation of those emissions the following rule shall be applied:
e</t>
        </r>
        <r>
          <rPr>
            <sz val="8"/>
            <color indexed="81"/>
            <rFont val="Tahoma"/>
            <family val="2"/>
          </rPr>
          <t>l</t>
        </r>
        <r>
          <rPr>
            <sz val="8"/>
            <color indexed="81"/>
            <rFont val="Tahoma"/>
            <family val="2"/>
          </rPr>
          <t xml:space="preserve"> = (CS</t>
        </r>
        <r>
          <rPr>
            <sz val="8"/>
            <color indexed="81"/>
            <rFont val="Tahoma"/>
            <family val="2"/>
          </rPr>
          <t>R</t>
        </r>
        <r>
          <rPr>
            <sz val="8"/>
            <color indexed="81"/>
            <rFont val="Tahoma"/>
            <family val="2"/>
          </rPr>
          <t xml:space="preserve"> – CS</t>
        </r>
        <r>
          <rPr>
            <sz val="8"/>
            <color indexed="81"/>
            <rFont val="Tahoma"/>
            <family val="2"/>
          </rPr>
          <t>A</t>
        </r>
        <r>
          <rPr>
            <sz val="8"/>
            <color indexed="81"/>
            <rFont val="Tahoma"/>
            <family val="2"/>
          </rPr>
          <t>) × 3,664 × 1/20 × 1/P – e</t>
        </r>
        <r>
          <rPr>
            <sz val="8"/>
            <color indexed="81"/>
            <rFont val="Tahoma"/>
            <family val="2"/>
          </rPr>
          <t>B</t>
        </r>
        <r>
          <rPr>
            <sz val="8"/>
            <color indexed="81"/>
            <rFont val="Tahoma"/>
            <family val="2"/>
          </rPr>
          <t>(1)</t>
        </r>
        <r>
          <rPr>
            <sz val="8"/>
            <color indexed="81"/>
            <rFont val="Tahoma"/>
            <family val="2"/>
          </rPr>
          <t xml:space="preserve">
where
e</t>
        </r>
        <r>
          <rPr>
            <sz val="8"/>
            <color indexed="81"/>
            <rFont val="Tahoma"/>
            <family val="2"/>
          </rPr>
          <t>l</t>
        </r>
        <r>
          <rPr>
            <sz val="8"/>
            <color indexed="81"/>
            <rFont val="Tahoma"/>
            <family val="2"/>
          </rPr>
          <t xml:space="preserve"> = annualised greenhouse gas emissions from carbon stock change due to land-use change (measured as mass of CO</t>
        </r>
        <r>
          <rPr>
            <sz val="8"/>
            <color indexed="81"/>
            <rFont val="Tahoma"/>
            <family val="2"/>
          </rPr>
          <t>2</t>
        </r>
        <r>
          <rPr>
            <sz val="8"/>
            <color indexed="81"/>
            <rFont val="Tahoma"/>
            <family val="2"/>
          </rPr>
          <t>-equivalent per unit biofuel energy);
CS</t>
        </r>
        <r>
          <rPr>
            <sz val="8"/>
            <color indexed="81"/>
            <rFont val="Tahoma"/>
            <family val="2"/>
          </rPr>
          <t>R</t>
        </r>
        <r>
          <rPr>
            <sz val="8"/>
            <color indexed="81"/>
            <rFont val="Tahoma"/>
            <family val="2"/>
          </rPr>
          <t xml:space="preserve"> = the carbon stock per unit area associated with the reference land use (measured as mass of carbon per unit area, including both soil and vegetation). The reference land use shall be the land use in January 2008 or 20 years before the raw material was obtained, whichever was the later;
CS</t>
        </r>
        <r>
          <rPr>
            <sz val="8"/>
            <color indexed="81"/>
            <rFont val="Tahoma"/>
            <family val="2"/>
          </rPr>
          <t>A</t>
        </r>
        <r>
          <rPr>
            <sz val="8"/>
            <color indexed="81"/>
            <rFont val="Tahoma"/>
            <family val="2"/>
          </rPr>
          <t xml:space="preserve"> =the carbon stock per unit area associated with the actual land use (measured as mass of carbon per unit area, including both soil and vegetation). In cases where the carbon stock accumulates over more than one year, the value attributed to CS</t>
        </r>
        <r>
          <rPr>
            <sz val="8"/>
            <color indexed="81"/>
            <rFont val="Tahoma"/>
            <family val="2"/>
          </rPr>
          <t>A</t>
        </r>
        <r>
          <rPr>
            <sz val="8"/>
            <color indexed="81"/>
            <rFont val="Tahoma"/>
            <family val="2"/>
          </rPr>
          <t xml:space="preserve"> shall be the estimated stock per unit area after 20 years or when the crop reaches maturity, whichever the earlier;
P =the productivity of the crop (measured as biofuel or bioliquid energy per unit area per year); and
e</t>
        </r>
        <r>
          <rPr>
            <sz val="8"/>
            <color indexed="81"/>
            <rFont val="Tahoma"/>
            <family val="2"/>
          </rPr>
          <t>B</t>
        </r>
        <r>
          <rPr>
            <sz val="8"/>
            <color indexed="81"/>
            <rFont val="Tahoma"/>
            <family val="2"/>
          </rPr>
          <t xml:space="preserve"> =bonus of 29 gCO</t>
        </r>
        <r>
          <rPr>
            <sz val="8"/>
            <color indexed="81"/>
            <rFont val="Tahoma"/>
            <family val="2"/>
          </rPr>
          <t>2eq</t>
        </r>
        <r>
          <rPr>
            <sz val="8"/>
            <color indexed="81"/>
            <rFont val="Tahoma"/>
            <family val="2"/>
          </rPr>
          <t>/MJ biofuel or bioliquid if biomass is obtained from restored degraded land under the conditions provided for in point 8.
8.
The bonus of 29 gCO</t>
        </r>
        <r>
          <rPr>
            <sz val="8"/>
            <color indexed="81"/>
            <rFont val="Tahoma"/>
            <family val="2"/>
          </rPr>
          <t>2eq</t>
        </r>
        <r>
          <rPr>
            <sz val="8"/>
            <color indexed="81"/>
            <rFont val="Tahoma"/>
            <family val="2"/>
          </rPr>
          <t>/MJ shall be attributed if evidence is provided that the land:
(a) was not in use for agriculture or any other activity in January 2008; and
(b) falls into one of the following categories:
   (i) severely degraded land, including such land that was formerly in agricultural use;
   (ii) heavily contaminated land.
The bonus of 29 gCO</t>
        </r>
        <r>
          <rPr>
            <sz val="8"/>
            <color indexed="81"/>
            <rFont val="Tahoma"/>
            <family val="2"/>
          </rPr>
          <t>2eq</t>
        </r>
        <r>
          <rPr>
            <sz val="8"/>
            <color indexed="81"/>
            <rFont val="Tahoma"/>
            <family val="2"/>
          </rPr>
          <t>/MJ shall apply for a period of up to 10 years from the date of conversion of the land to agricultural use, provided that a steady increase in carbon stocks as well as a sizable reduction in erosion phenomena for land falling under (i) are ensured and that soil contamination for land falling under (ii) is reduced.
9.
The categories referred to in point 8(b) are defined as follows:
(a) ‘severely degraded land’ means land that, for a significant period of time, has either been significantly salinated or presented significantly low organic matter content and has been severely eroded;
(b) ‘heavily contaminated land’ means land that is unfit for the cultivation of food and feed due to soil contamination.
Such land shall include land that has been the subject of a Commission decision in accordance with the fourth subparagraph of Article 18(4).</t>
        </r>
        <r>
          <rPr>
            <sz val="8"/>
            <color indexed="81"/>
            <rFont val="Tahoma"/>
            <family val="2"/>
          </rPr>
          <t xml:space="preserve">
</t>
        </r>
        <r>
          <rPr>
            <sz val="8"/>
            <color indexed="81"/>
            <rFont val="Tahoma"/>
            <family val="2"/>
          </rPr>
          <t xml:space="preserve">
</t>
        </r>
        <r>
          <rPr>
            <sz val="8"/>
            <color indexed="81"/>
            <rFont val="Tahoma"/>
            <family val="2"/>
          </rPr>
          <t>(1)</t>
        </r>
        <r>
          <rPr>
            <sz val="8"/>
            <color indexed="81"/>
            <rFont val="Tahoma"/>
            <family val="2"/>
          </rPr>
          <t xml:space="preserve"> </t>
        </r>
        <r>
          <rPr>
            <sz val="8"/>
            <color indexed="81"/>
            <rFont val="Tahoma"/>
            <family val="2"/>
          </rPr>
          <t xml:space="preserve"> The quotient obtained by dividing the molecular weight of CO</t>
        </r>
        <r>
          <rPr>
            <sz val="8"/>
            <color indexed="81"/>
            <rFont val="Tahoma"/>
            <family val="2"/>
          </rPr>
          <t>2</t>
        </r>
        <r>
          <rPr>
            <sz val="8"/>
            <color indexed="81"/>
            <rFont val="Tahoma"/>
            <family val="2"/>
          </rPr>
          <t xml:space="preserve"> (44,010 g/mol) by the molecular weight of carbon (12,011 g/mol) is equal to 3,664.</t>
        </r>
      </text>
    </comment>
    <comment ref="C128" authorId="2" shapeId="0" xr:uid="{00000000-0006-0000-0F00-000010000000}">
      <text>
        <r>
          <rPr>
            <sz val="8"/>
            <color indexed="81"/>
            <rFont val="Tahoma"/>
            <family val="2"/>
          </rPr>
          <t xml:space="preserve">
8.
The bonus of 29 gCO2eq/MJ shall be attributed if evidence is provided that the land:
(a) was not in use for agriculture or any other activity in January 2008; and
(b) falls into one of the following categories:
   (i) severely degraded land, including such land that was formerly in agricultural use;
   (ii) heavily contaminated land.
The bonus of 29 gCO2eq/MJ shall apply for a period of up to 10 years from the date of conversion of the land to agricultural use, provided that a steady increase in carbon stocks as well as a sizable reduction in erosion phenomena for land falling under (i) are ensured and that soil contamination for land falling under (ii) is reduced.
9.
The categories referred to in point 8(b) are defined as follows:
(a) ‘severely degraded land’ means land that, for a significant period of time, has either been significantly salinated or presented significantly low organic matter content and has been severely eroded;
(b) ‘heavily contaminated land’ means land that is unfit for the cultivation of food and feed due to soil contamination.
Such land shall include land that has been the subject of a Commission decision in accordance with the fourth subparagraph of Article 18(4).</t>
        </r>
      </text>
    </comment>
    <comment ref="C150" authorId="2" shapeId="0" xr:uid="{00000000-0006-0000-0F00-000011000000}">
      <text>
        <r>
          <rPr>
            <sz val="8"/>
            <color indexed="81"/>
            <rFont val="Tahoma"/>
            <family val="2"/>
          </rPr>
          <t>Emission saving from carbon capture and replacement, e</t>
        </r>
        <r>
          <rPr>
            <sz val="8"/>
            <color indexed="81"/>
            <rFont val="Tahoma"/>
            <family val="2"/>
          </rPr>
          <t>ccr</t>
        </r>
        <r>
          <rPr>
            <sz val="8"/>
            <color indexed="81"/>
            <rFont val="Tahoma"/>
            <family val="2"/>
          </rPr>
          <t>, shall be limited to emissions avoided through the capture of CO</t>
        </r>
        <r>
          <rPr>
            <sz val="8"/>
            <color indexed="81"/>
            <rFont val="Tahoma"/>
            <family val="2"/>
          </rPr>
          <t>2</t>
        </r>
        <r>
          <rPr>
            <sz val="8"/>
            <color indexed="81"/>
            <rFont val="Tahoma"/>
            <family val="2"/>
          </rPr>
          <t xml:space="preserve"> of which the carbon originates from biomass and which is used to replace fossil-derived CO</t>
        </r>
        <r>
          <rPr>
            <sz val="8"/>
            <color indexed="81"/>
            <rFont val="Tahoma"/>
            <family val="2"/>
          </rPr>
          <t>2</t>
        </r>
        <r>
          <rPr>
            <sz val="8"/>
            <color indexed="81"/>
            <rFont val="Tahoma"/>
            <family val="2"/>
          </rPr>
          <t xml:space="preserve"> used in commercial products and services.</t>
        </r>
      </text>
    </comment>
    <comment ref="C156" authorId="2" shapeId="0" xr:uid="{00000000-0006-0000-0F00-000012000000}">
      <text>
        <r>
          <rPr>
            <sz val="8"/>
            <color indexed="81"/>
            <rFont val="Tahoma"/>
            <family val="2"/>
          </rPr>
          <t>Emission saving from carbon capture and geological storage e</t>
        </r>
        <r>
          <rPr>
            <sz val="8"/>
            <color indexed="81"/>
            <rFont val="Tahoma"/>
            <family val="2"/>
          </rPr>
          <t>ccs</t>
        </r>
        <r>
          <rPr>
            <sz val="8"/>
            <color indexed="81"/>
            <rFont val="Tahoma"/>
            <family val="2"/>
          </rPr>
          <t>, that have not already been accounted for in e</t>
        </r>
        <r>
          <rPr>
            <sz val="8"/>
            <color indexed="81"/>
            <rFont val="Tahoma"/>
            <family val="2"/>
          </rPr>
          <t>p</t>
        </r>
        <r>
          <rPr>
            <sz val="8"/>
            <color indexed="81"/>
            <rFont val="Tahoma"/>
            <family val="2"/>
          </rPr>
          <t>, shall be limited to emissions avoided through the capture and sequestration of emitted CO</t>
        </r>
        <r>
          <rPr>
            <sz val="8"/>
            <color indexed="81"/>
            <rFont val="Tahoma"/>
            <family val="2"/>
          </rPr>
          <t>2</t>
        </r>
        <r>
          <rPr>
            <sz val="8"/>
            <color indexed="81"/>
            <rFont val="Tahoma"/>
            <family val="2"/>
          </rPr>
          <t xml:space="preserve"> directly related to the extraction, transport, processing and distribution of fuel.</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neeft</author>
    <author>ludwiczekn</author>
    <author>ahennecke</author>
    <author>Neeft, dr. J.P.A. (John)</author>
    <author>sbu</author>
  </authors>
  <commentList>
    <comment ref="H7" authorId="0" shapeId="0" xr:uid="{00000000-0006-0000-1000-000001000000}">
      <text>
        <r>
          <rPr>
            <sz val="8"/>
            <color indexed="81"/>
            <rFont val="Tahoma"/>
            <family val="2"/>
          </rPr>
          <t>This value is not listed in the RED. 
It has been calculated on the basis of the JEC input, as is explained in "About"</t>
        </r>
      </text>
    </comment>
    <comment ref="H10" authorId="0" shapeId="0" xr:uid="{00000000-0006-0000-1000-000002000000}">
      <text>
        <r>
          <rPr>
            <sz val="8"/>
            <color indexed="81"/>
            <rFont val="Tahoma"/>
            <family val="2"/>
          </rPr>
          <t>This value is not listed in the RED. 
It has been calculated on the basis of the JEC input, as is explained in "About"</t>
        </r>
      </text>
    </comment>
    <comment ref="H12" authorId="0" shapeId="0" xr:uid="{00000000-0006-0000-1000-000003000000}">
      <text>
        <r>
          <rPr>
            <sz val="8"/>
            <color indexed="81"/>
            <rFont val="Tahoma"/>
            <family val="2"/>
          </rPr>
          <t>This value is not listed in the RED. 
It has been calculated on the basis of the JEC input, as is explained in "About"</t>
        </r>
      </text>
    </comment>
    <comment ref="H13" authorId="0" shapeId="0" xr:uid="{00000000-0006-0000-1000-000004000000}">
      <text>
        <r>
          <rPr>
            <sz val="8"/>
            <color indexed="81"/>
            <rFont val="Tahoma"/>
            <family val="2"/>
          </rPr>
          <t>This value is not listed in the RED. 
It has been calculated on the basis of the JEC input, as is explained in "About"</t>
        </r>
      </text>
    </comment>
    <comment ref="H14" authorId="0" shapeId="0" xr:uid="{00000000-0006-0000-1000-000005000000}">
      <text>
        <r>
          <rPr>
            <sz val="8"/>
            <color indexed="81"/>
            <rFont val="Tahoma"/>
            <family val="2"/>
          </rPr>
          <t>This value is not listed in the RED. 
It has been calculated on the basis of the JEC input, as is explained in "About"</t>
        </r>
      </text>
    </comment>
    <comment ref="C87" authorId="0" shapeId="0" xr:uid="{00000000-0006-0000-1000-000006000000}">
      <text>
        <r>
          <rPr>
            <sz val="8"/>
            <color indexed="81"/>
            <rFont val="Tahoma"/>
            <family val="2"/>
          </rPr>
          <t>Factor 1,4 is to convert "typical value" into "default value</t>
        </r>
      </text>
    </comment>
    <comment ref="C88" authorId="0" shapeId="0" xr:uid="{00000000-0006-0000-1000-000007000000}">
      <text>
        <r>
          <rPr>
            <sz val="8"/>
            <color indexed="81"/>
            <rFont val="Tahoma"/>
            <family val="2"/>
          </rPr>
          <t>Factor 1,4 is to convert "typical value" into "default value</t>
        </r>
      </text>
    </comment>
    <comment ref="B97" authorId="1" shapeId="0" xr:uid="{00000000-0006-0000-1000-000008000000}">
      <text>
        <r>
          <rPr>
            <sz val="8"/>
            <color indexed="81"/>
            <rFont val="Tahoma"/>
            <family val="2"/>
          </rPr>
          <t>To be further specified - give GHG emission coefficients for fuel used (e.g. fibres) in "user defined standard values"</t>
        </r>
      </text>
    </comment>
    <comment ref="C101" authorId="0" shapeId="0" xr:uid="{00000000-0006-0000-1000-000009000000}">
      <text>
        <r>
          <rPr>
            <sz val="8"/>
            <color indexed="81"/>
            <rFont val="Tahoma"/>
            <family val="2"/>
          </rPr>
          <t>Positive number indicates net consumption, negative number indicares net production</t>
        </r>
      </text>
    </comment>
    <comment ref="B102" authorId="1" shapeId="0" xr:uid="{00000000-0006-0000-1000-00000A000000}">
      <text>
        <r>
          <rPr>
            <sz val="8"/>
            <color indexed="81"/>
            <rFont val="Tahoma"/>
            <family val="2"/>
          </rPr>
          <t>To be further specified - give GHG emission coefficients for fuel used (e.g. fibres) in "user defined standard values"</t>
        </r>
      </text>
    </comment>
    <comment ref="C102" authorId="0" shapeId="0" xr:uid="{00000000-0006-0000-1000-00000B000000}">
      <text>
        <r>
          <rPr>
            <b/>
            <sz val="8"/>
            <color indexed="81"/>
            <rFont val="Tahoma"/>
            <family val="2"/>
          </rPr>
          <t xml:space="preserve">Electricity mix
</t>
        </r>
        <r>
          <rPr>
            <sz val="8"/>
            <color indexed="81"/>
            <rFont val="Tahoma"/>
            <family val="2"/>
          </rPr>
          <t>When making an actual calculation, the use of the input "Electricity EU mix" is not allowed. Use the electricity mix from the country in which the electricity is taken from the grid, by defining this mix in the list of additional standard values (following the example for “Average electricity mix in Malta”) and replacing “Electricity EU mix” in row B of this sheet by the name corresponding to the correct mix (for instance “Average electricity mix in Malta”).
More details can be found in the Calculation rules (chapter 4) and in the User manual (chapter 4).</t>
        </r>
      </text>
    </comment>
    <comment ref="C104" authorId="2" shapeId="0" xr:uid="{00000000-0006-0000-1000-00000C000000}">
      <text>
        <r>
          <rPr>
            <sz val="8"/>
            <color indexed="81"/>
            <rFont val="Tahoma"/>
            <family val="2"/>
          </rPr>
          <t>Factor 1,4 is to convert "typical value" into "default value</t>
        </r>
      </text>
    </comment>
    <comment ref="C105" authorId="2" shapeId="0" xr:uid="{00000000-0006-0000-1000-00000D000000}">
      <text>
        <r>
          <rPr>
            <sz val="8"/>
            <color indexed="81"/>
            <rFont val="Tahoma"/>
            <family val="2"/>
          </rPr>
          <t>Factor 1,4 is to convert "typical value" into "default value</t>
        </r>
      </text>
    </comment>
    <comment ref="C106" authorId="2" shapeId="0" xr:uid="{00000000-0006-0000-1000-00000E000000}">
      <text>
        <r>
          <rPr>
            <sz val="8"/>
            <color indexed="81"/>
            <rFont val="Tahoma"/>
            <family val="2"/>
          </rPr>
          <t>Factor 1,4 is to convert "typical value" into "default value</t>
        </r>
      </text>
    </comment>
    <comment ref="C107" authorId="2" shapeId="0" xr:uid="{00000000-0006-0000-1000-00000F000000}">
      <text>
        <r>
          <rPr>
            <sz val="8"/>
            <color indexed="81"/>
            <rFont val="Tahoma"/>
            <family val="2"/>
          </rPr>
          <t>Factor 1,4 is to convert "typical value" into "default value</t>
        </r>
      </text>
    </comment>
    <comment ref="B135" authorId="3" shapeId="0" xr:uid="{00000000-0006-0000-1000-000010000000}">
      <text>
        <r>
          <rPr>
            <b/>
            <sz val="8"/>
            <color indexed="81"/>
            <rFont val="Tahoma"/>
            <family val="2"/>
          </rPr>
          <t>Electricity mix</t>
        </r>
        <r>
          <rPr>
            <sz val="8"/>
            <color indexed="81"/>
            <rFont val="Tahoma"/>
            <family val="2"/>
          </rPr>
          <t xml:space="preserve">
When making an actual calculation,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B136" authorId="3" shapeId="0" xr:uid="{00000000-0006-0000-1000-000011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136" authorId="0" shapeId="0" xr:uid="{00000000-0006-0000-1000-000012000000}">
      <text>
        <r>
          <rPr>
            <b/>
            <sz val="8"/>
            <color indexed="81"/>
            <rFont val="Tahoma"/>
            <family val="2"/>
          </rPr>
          <t>Electricity mix</t>
        </r>
        <r>
          <rPr>
            <sz val="8"/>
            <color indexed="81"/>
            <rFont val="Tahoma"/>
            <family val="2"/>
          </rPr>
          <t xml:space="preserve">
When making an actual calculation, the use of the input "Electricity EU mix LV" is not allowed. Use the electricity mix from the country in which the electricity is taken from the grid, by defining this mix in the list of additional standard values (following the example for “Average electricity mix in Malta”) and replacing “Electricity EU mix LV” in row B of this sheet by the name corresponding to the correct mix (for instance “Average electricity mix in Malta”).
More details can be found in the Calculation rules (chapter 4) and in the User manual (chapter 4).</t>
        </r>
      </text>
    </comment>
    <comment ref="B137" authorId="3" shapeId="0" xr:uid="{00000000-0006-0000-1000-000013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137" authorId="0" shapeId="0" xr:uid="{00000000-0006-0000-1000-000014000000}">
      <text>
        <r>
          <rPr>
            <b/>
            <sz val="8"/>
            <color indexed="81"/>
            <rFont val="Tahoma"/>
            <family val="2"/>
          </rPr>
          <t>Electricity mix</t>
        </r>
        <r>
          <rPr>
            <sz val="8"/>
            <color indexed="81"/>
            <rFont val="Tahoma"/>
            <family val="2"/>
          </rPr>
          <t xml:space="preserve">
When making an actual calculation, the use of the input "Electricity EU mix LV" is not allowed. Use the electricity mix from the country in which the electricity is taken from the grid, by defining this mix in the list of additional standard values (following the example for “Average electricity mix in Malta”) and replacing “Electricity EU mix LV” in row B of this sheet by the name corresponding to the correct mix (for instance “Average electricity mix in Malta”).
More details can be found in the Calculation rules (chapter 4) and in the User manual (chapter 4).</t>
        </r>
      </text>
    </comment>
    <comment ref="B151" authorId="3" shapeId="0" xr:uid="{00000000-0006-0000-1000-000015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151" authorId="0" shapeId="0" xr:uid="{00000000-0006-0000-1000-000016000000}">
      <text>
        <r>
          <rPr>
            <b/>
            <sz val="8"/>
            <color indexed="81"/>
            <rFont val="Tahoma"/>
            <family val="2"/>
          </rPr>
          <t>Electricity mix</t>
        </r>
        <r>
          <rPr>
            <sz val="8"/>
            <color indexed="81"/>
            <rFont val="Tahoma"/>
            <family val="2"/>
          </rPr>
          <t xml:space="preserve">
When making an actual calculation, the use of the input "Electricity EU mix LV" is only allowed when the starting values in this step are kept.
When changing the starting values, use the electricity mix from the country in which the electricity is taken from the grid, by defining this mix in the list of additional standard values (following the example for “Average electricity mix in Malta”) and replacing “Electricity EU mix LV” in row B of this sheet by the name corresponding to the correct mix (for instance “Average electricity mix in Malta”).
More details can be found in the Calculation rules (chapter 4) and in the User manual (chapter 4).</t>
        </r>
      </text>
    </comment>
    <comment ref="B156" authorId="4" shapeId="0" xr:uid="{00000000-0006-0000-1000-000017000000}">
      <text>
        <r>
          <rPr>
            <sz val="8"/>
            <color indexed="81"/>
            <rFont val="Tahoma"/>
            <family val="2"/>
          </rPr>
          <t>Annualised emissions from carbon stock changes caused by land-use change, e</t>
        </r>
        <r>
          <rPr>
            <sz val="8"/>
            <color indexed="81"/>
            <rFont val="Tahoma"/>
            <family val="2"/>
          </rPr>
          <t>l</t>
        </r>
        <r>
          <rPr>
            <sz val="8"/>
            <color indexed="81"/>
            <rFont val="Tahoma"/>
            <family val="2"/>
          </rPr>
          <t>, shall be calculated by dividing total emissions equally over 20 years. For the calculation of those emissions the following rule shall be applied:
e</t>
        </r>
        <r>
          <rPr>
            <sz val="8"/>
            <color indexed="81"/>
            <rFont val="Tahoma"/>
            <family val="2"/>
          </rPr>
          <t>l</t>
        </r>
        <r>
          <rPr>
            <sz val="8"/>
            <color indexed="81"/>
            <rFont val="Tahoma"/>
            <family val="2"/>
          </rPr>
          <t xml:space="preserve"> = (CS</t>
        </r>
        <r>
          <rPr>
            <sz val="8"/>
            <color indexed="81"/>
            <rFont val="Tahoma"/>
            <family val="2"/>
          </rPr>
          <t>R</t>
        </r>
        <r>
          <rPr>
            <sz val="8"/>
            <color indexed="81"/>
            <rFont val="Tahoma"/>
            <family val="2"/>
          </rPr>
          <t xml:space="preserve"> – CS</t>
        </r>
        <r>
          <rPr>
            <sz val="8"/>
            <color indexed="81"/>
            <rFont val="Tahoma"/>
            <family val="2"/>
          </rPr>
          <t>A</t>
        </r>
        <r>
          <rPr>
            <sz val="8"/>
            <color indexed="81"/>
            <rFont val="Tahoma"/>
            <family val="2"/>
          </rPr>
          <t>) × 3,664 × 1/20 × 1/P – e</t>
        </r>
        <r>
          <rPr>
            <sz val="8"/>
            <color indexed="81"/>
            <rFont val="Tahoma"/>
            <family val="2"/>
          </rPr>
          <t>B</t>
        </r>
        <r>
          <rPr>
            <sz val="8"/>
            <color indexed="81"/>
            <rFont val="Tahoma"/>
            <family val="2"/>
          </rPr>
          <t>(1)</t>
        </r>
        <r>
          <rPr>
            <sz val="8"/>
            <color indexed="81"/>
            <rFont val="Tahoma"/>
            <family val="2"/>
          </rPr>
          <t xml:space="preserve">
where
e</t>
        </r>
        <r>
          <rPr>
            <sz val="8"/>
            <color indexed="81"/>
            <rFont val="Tahoma"/>
            <family val="2"/>
          </rPr>
          <t>l</t>
        </r>
        <r>
          <rPr>
            <sz val="8"/>
            <color indexed="81"/>
            <rFont val="Tahoma"/>
            <family val="2"/>
          </rPr>
          <t xml:space="preserve"> = annualised greenhouse gas emissions from carbon stock change due to land-use change (measured as mass of CO</t>
        </r>
        <r>
          <rPr>
            <sz val="8"/>
            <color indexed="81"/>
            <rFont val="Tahoma"/>
            <family val="2"/>
          </rPr>
          <t>2</t>
        </r>
        <r>
          <rPr>
            <sz val="8"/>
            <color indexed="81"/>
            <rFont val="Tahoma"/>
            <family val="2"/>
          </rPr>
          <t>-equivalent per unit biofuel energy);
CS</t>
        </r>
        <r>
          <rPr>
            <sz val="8"/>
            <color indexed="81"/>
            <rFont val="Tahoma"/>
            <family val="2"/>
          </rPr>
          <t>R</t>
        </r>
        <r>
          <rPr>
            <sz val="8"/>
            <color indexed="81"/>
            <rFont val="Tahoma"/>
            <family val="2"/>
          </rPr>
          <t xml:space="preserve"> = the carbon stock per unit area associated with the reference land use (measured as mass of carbon per unit area, including both soil and vegetation). The reference land use shall be the land use in January 2008 or 20 years before the raw material was obtained, whichever was the later;
CS</t>
        </r>
        <r>
          <rPr>
            <sz val="8"/>
            <color indexed="81"/>
            <rFont val="Tahoma"/>
            <family val="2"/>
          </rPr>
          <t>A</t>
        </r>
        <r>
          <rPr>
            <sz val="8"/>
            <color indexed="81"/>
            <rFont val="Tahoma"/>
            <family val="2"/>
          </rPr>
          <t xml:space="preserve"> =the carbon stock per unit area associated with the actual land use (measured as mass of carbon per unit area, including both soil and vegetation). In cases where the carbon stock accumulates over more than one year, the value attributed to CS</t>
        </r>
        <r>
          <rPr>
            <sz val="8"/>
            <color indexed="81"/>
            <rFont val="Tahoma"/>
            <family val="2"/>
          </rPr>
          <t>A</t>
        </r>
        <r>
          <rPr>
            <sz val="8"/>
            <color indexed="81"/>
            <rFont val="Tahoma"/>
            <family val="2"/>
          </rPr>
          <t xml:space="preserve"> shall be the estimated stock per unit area after 20 years or when the crop reaches maturity, whichever the earlier;
P =the productivity of the crop (measured as biofuel or bioliquid energy per unit area per year); and
e</t>
        </r>
        <r>
          <rPr>
            <sz val="8"/>
            <color indexed="81"/>
            <rFont val="Tahoma"/>
            <family val="2"/>
          </rPr>
          <t>B</t>
        </r>
        <r>
          <rPr>
            <sz val="8"/>
            <color indexed="81"/>
            <rFont val="Tahoma"/>
            <family val="2"/>
          </rPr>
          <t xml:space="preserve"> =bonus of 29 gCO</t>
        </r>
        <r>
          <rPr>
            <sz val="8"/>
            <color indexed="81"/>
            <rFont val="Tahoma"/>
            <family val="2"/>
          </rPr>
          <t>2eq</t>
        </r>
        <r>
          <rPr>
            <sz val="8"/>
            <color indexed="81"/>
            <rFont val="Tahoma"/>
            <family val="2"/>
          </rPr>
          <t>/MJ biofuel or bioliquid if biomass is obtained from restored degraded land under the conditions provided for in point 8.
8.
The bonus of 29 gCO</t>
        </r>
        <r>
          <rPr>
            <sz val="8"/>
            <color indexed="81"/>
            <rFont val="Tahoma"/>
            <family val="2"/>
          </rPr>
          <t>2eq</t>
        </r>
        <r>
          <rPr>
            <sz val="8"/>
            <color indexed="81"/>
            <rFont val="Tahoma"/>
            <family val="2"/>
          </rPr>
          <t>/MJ shall be attributed if evidence is provided that the land:
(a) was not in use for agriculture or any other activity in January 2008; and
(b) falls into one of the following categories:
   (i) severely degraded land, including such land that was formerly in agricultural use;
   (ii) heavily contaminated land.
The bonus of 29 gCO</t>
        </r>
        <r>
          <rPr>
            <sz val="8"/>
            <color indexed="81"/>
            <rFont val="Tahoma"/>
            <family val="2"/>
          </rPr>
          <t>2eq</t>
        </r>
        <r>
          <rPr>
            <sz val="8"/>
            <color indexed="81"/>
            <rFont val="Tahoma"/>
            <family val="2"/>
          </rPr>
          <t>/MJ shall apply for a period of up to 10 years from the date of conversion of the land to agricultural use, provided that a steady increase in carbon stocks as well as a sizable reduction in erosion phenomena for land falling under (i) are ensured and that soil contamination for land falling under (ii) is reduced.
9.
The categories referred to in point 8(b) are defined as follows:
(a) ‘severely degraded land’ means land that, for a significant period of time, has either been significantly salinated or presented significantly low organic matter content and has been severely eroded;
(b) ‘heavily contaminated land’ means land that is unfit for the cultivation of food and feed due to soil contamination.
Such land shall include land that has been the subject of a Commission decision in accordance with the fourth subparagraph of Article 18(4).</t>
        </r>
        <r>
          <rPr>
            <sz val="8"/>
            <color indexed="81"/>
            <rFont val="Tahoma"/>
            <family val="2"/>
          </rPr>
          <t xml:space="preserve">
</t>
        </r>
        <r>
          <rPr>
            <sz val="8"/>
            <color indexed="81"/>
            <rFont val="Tahoma"/>
            <family val="2"/>
          </rPr>
          <t xml:space="preserve">
</t>
        </r>
        <r>
          <rPr>
            <sz val="8"/>
            <color indexed="81"/>
            <rFont val="Tahoma"/>
            <family val="2"/>
          </rPr>
          <t>(1)</t>
        </r>
        <r>
          <rPr>
            <sz val="8"/>
            <color indexed="81"/>
            <rFont val="Tahoma"/>
            <family val="2"/>
          </rPr>
          <t xml:space="preserve"> </t>
        </r>
        <r>
          <rPr>
            <sz val="8"/>
            <color indexed="81"/>
            <rFont val="Tahoma"/>
            <family val="2"/>
          </rPr>
          <t xml:space="preserve"> The quotient obtained by dividing the molecular weight of CO</t>
        </r>
        <r>
          <rPr>
            <sz val="8"/>
            <color indexed="81"/>
            <rFont val="Tahoma"/>
            <family val="2"/>
          </rPr>
          <t>2</t>
        </r>
        <r>
          <rPr>
            <sz val="8"/>
            <color indexed="81"/>
            <rFont val="Tahoma"/>
            <family val="2"/>
          </rPr>
          <t xml:space="preserve"> (44,010 g/mol) by the molecular weight of carbon (12,011 g/mol) is equal to 3,664.</t>
        </r>
      </text>
    </comment>
    <comment ref="C166" authorId="4" shapeId="0" xr:uid="{00000000-0006-0000-1000-000018000000}">
      <text>
        <r>
          <rPr>
            <sz val="8"/>
            <color indexed="81"/>
            <rFont val="Tahoma"/>
            <family val="2"/>
          </rPr>
          <t xml:space="preserve">
8.
The bonus of 29 gCO2eq/MJ shall be attributed if evidence is provided that the land:
(a) was not in use for agriculture or any other activity in January 2008; and
(b) falls into one of the following categories:
   (i) severely degraded land, including such land that was formerly in agricultural use;
   (ii) heavily contaminated land.
The bonus of 29 gCO2eq/MJ shall apply for a period of up to 10 years from the date of conversion of the land to agricultural use, provided that a steady increase in carbon stocks as well as a sizable reduction in erosion phenomena for land falling under (i) are ensured and that soil contamination for land falling under (ii) is reduced.
9.
The categories referred to in point 8(b) are defined as follows:
(a) ‘severely degraded land’ means land that, for a significant period of time, has either been significantly salinated or presented significantly low organic matter content and has been severely eroded;
(b) ‘heavily contaminated land’ means land that is unfit for the cultivation of food and feed due to soil contamination.
Such land shall include land that has been the subject of a Commission decision in accordance with the fourth subparagraph of Article 18(4).</t>
        </r>
      </text>
    </comment>
    <comment ref="C188" authorId="4" shapeId="0" xr:uid="{00000000-0006-0000-1000-000019000000}">
      <text>
        <r>
          <rPr>
            <sz val="8"/>
            <color indexed="81"/>
            <rFont val="Tahoma"/>
            <family val="2"/>
          </rPr>
          <t>Emission saving from carbon capture and replacement, e</t>
        </r>
        <r>
          <rPr>
            <sz val="8"/>
            <color indexed="81"/>
            <rFont val="Tahoma"/>
            <family val="2"/>
          </rPr>
          <t>ccr</t>
        </r>
        <r>
          <rPr>
            <sz val="8"/>
            <color indexed="81"/>
            <rFont val="Tahoma"/>
            <family val="2"/>
          </rPr>
          <t>, shall be limited to emissions avoided through the capture of CO</t>
        </r>
        <r>
          <rPr>
            <sz val="8"/>
            <color indexed="81"/>
            <rFont val="Tahoma"/>
            <family val="2"/>
          </rPr>
          <t>2</t>
        </r>
        <r>
          <rPr>
            <sz val="8"/>
            <color indexed="81"/>
            <rFont val="Tahoma"/>
            <family val="2"/>
          </rPr>
          <t xml:space="preserve"> of which the carbon originates from biomass and which is used to replace fossil-derived CO</t>
        </r>
        <r>
          <rPr>
            <sz val="8"/>
            <color indexed="81"/>
            <rFont val="Tahoma"/>
            <family val="2"/>
          </rPr>
          <t>2</t>
        </r>
        <r>
          <rPr>
            <sz val="8"/>
            <color indexed="81"/>
            <rFont val="Tahoma"/>
            <family val="2"/>
          </rPr>
          <t xml:space="preserve"> used in commercial products and services.</t>
        </r>
      </text>
    </comment>
    <comment ref="C194" authorId="4" shapeId="0" xr:uid="{00000000-0006-0000-1000-00001A000000}">
      <text>
        <r>
          <rPr>
            <sz val="8"/>
            <color indexed="81"/>
            <rFont val="Tahoma"/>
            <family val="2"/>
          </rPr>
          <t>Emission saving from carbon capture and geological storage e</t>
        </r>
        <r>
          <rPr>
            <sz val="8"/>
            <color indexed="81"/>
            <rFont val="Tahoma"/>
            <family val="2"/>
          </rPr>
          <t>ccs</t>
        </r>
        <r>
          <rPr>
            <sz val="8"/>
            <color indexed="81"/>
            <rFont val="Tahoma"/>
            <family val="2"/>
          </rPr>
          <t>, that have not already been accounted for in e</t>
        </r>
        <r>
          <rPr>
            <sz val="8"/>
            <color indexed="81"/>
            <rFont val="Tahoma"/>
            <family val="2"/>
          </rPr>
          <t>p</t>
        </r>
        <r>
          <rPr>
            <sz val="8"/>
            <color indexed="81"/>
            <rFont val="Tahoma"/>
            <family val="2"/>
          </rPr>
          <t>, shall be limited to emissions avoided through the capture and sequestration of emitted CO</t>
        </r>
        <r>
          <rPr>
            <sz val="8"/>
            <color indexed="81"/>
            <rFont val="Tahoma"/>
            <family val="2"/>
          </rPr>
          <t>2</t>
        </r>
        <r>
          <rPr>
            <sz val="8"/>
            <color indexed="81"/>
            <rFont val="Tahoma"/>
            <family val="2"/>
          </rPr>
          <t xml:space="preserve"> directly related to the extraction, transport, processing and distribution of fuel.</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Henning Kage</author>
    <author>neeft</author>
    <author>Neeft, dr. J.P.A. (John)</author>
    <author>sbu</author>
  </authors>
  <commentList>
    <comment ref="A1" authorId="0" shapeId="0" xr:uid="{865DF66F-DBBA-4DA2-9F4C-C3B135D2B5AF}">
      <text>
        <r>
          <rPr>
            <sz val="9"/>
            <color indexed="81"/>
            <rFont val="Segoe UI"/>
            <family val="2"/>
          </rPr>
          <t>Old value: &lt;leeg&gt;
Date: 09-28-2022
Author: suapp194</t>
        </r>
      </text>
    </comment>
    <comment ref="N6" authorId="0" shapeId="0" xr:uid="{C2DB1915-F888-4D75-8AB1-F010F5265E35}">
      <text>
        <r>
          <rPr>
            <sz val="9"/>
            <color indexed="81"/>
            <rFont val="Segoe UI"/>
            <family val="2"/>
          </rPr>
          <t>Old value: 83.8
Date: 09-28-2022
Author: suapp194</t>
        </r>
      </text>
    </comment>
    <comment ref="C7" authorId="0" shapeId="0" xr:uid="{AE35EB59-06BE-4282-ABFF-7ED974772529}">
      <text>
        <r>
          <rPr>
            <sz val="9"/>
            <color indexed="81"/>
            <rFont val="Segoe UI"/>
            <family val="2"/>
          </rPr>
          <t>Old value: 0.585891295825312
Date: 09-26-2022
Author: suapp194</t>
        </r>
      </text>
    </comment>
    <comment ref="H7" authorId="1" shapeId="0" xr:uid="{00000000-0006-0000-1100-000001000000}">
      <text>
        <r>
          <rPr>
            <sz val="8"/>
            <color indexed="81"/>
            <rFont val="Tahoma"/>
            <family val="2"/>
          </rPr>
          <t>This value is not listed in the RED. 
It has been calculated on the basis of the JEC input, as is explained in "About"</t>
        </r>
      </text>
    </comment>
    <comment ref="H8" authorId="1" shapeId="0" xr:uid="{00000000-0006-0000-1100-000002000000}">
      <text>
        <r>
          <rPr>
            <sz val="8"/>
            <color indexed="81"/>
            <rFont val="Tahoma"/>
            <family val="2"/>
          </rPr>
          <t>This value is not listed in the RED. 
It has been calculated on the basis of the JEC input, as is explained in "About"</t>
        </r>
      </text>
    </comment>
    <comment ref="H10" authorId="1" shapeId="0" xr:uid="{00000000-0006-0000-1100-000003000000}">
      <text>
        <r>
          <rPr>
            <sz val="8"/>
            <color indexed="81"/>
            <rFont val="Tahoma"/>
            <family val="2"/>
          </rPr>
          <t>This value is not listed in the RED. 
It has been calculated on the basis of the JEC input, as is explained in "About"</t>
        </r>
      </text>
    </comment>
    <comment ref="H11" authorId="1" shapeId="0" xr:uid="{00000000-0006-0000-1100-000004000000}">
      <text>
        <r>
          <rPr>
            <sz val="8"/>
            <color indexed="81"/>
            <rFont val="Tahoma"/>
            <family val="2"/>
          </rPr>
          <t>This value is not listed in the RED. 
It has been calculated on the basis of the JEC input, as is explained in "About"</t>
        </r>
      </text>
    </comment>
    <comment ref="H14" authorId="1" shapeId="0" xr:uid="{00000000-0006-0000-1100-000005000000}">
      <text>
        <r>
          <rPr>
            <sz val="8"/>
            <color indexed="81"/>
            <rFont val="Tahoma"/>
            <family val="2"/>
          </rPr>
          <t>This value is not listed in the RED. 
It has been calculated on the basis of the JEC input, as is explained in "About"</t>
        </r>
      </text>
    </comment>
    <comment ref="H17" authorId="1" shapeId="0" xr:uid="{00000000-0006-0000-1100-000006000000}">
      <text>
        <r>
          <rPr>
            <sz val="8"/>
            <color indexed="81"/>
            <rFont val="Tahoma"/>
            <family val="2"/>
          </rPr>
          <t>This value is not listed in the RED. 
It has been calculated on the basis of the JEC input, as is explained in "About"</t>
        </r>
      </text>
    </comment>
    <comment ref="H18" authorId="1" shapeId="0" xr:uid="{00000000-0006-0000-1100-000007000000}">
      <text>
        <r>
          <rPr>
            <sz val="8"/>
            <color indexed="81"/>
            <rFont val="Tahoma"/>
            <family val="2"/>
          </rPr>
          <t>This value is not listed in the RED. 
It has been calculated on the basis of the JEC input, as is explained in "About"</t>
        </r>
      </text>
    </comment>
    <comment ref="E52" authorId="0" shapeId="0" xr:uid="{9D61E42F-50D9-4EA2-A0D5-A20E7B046ED9}">
      <text>
        <r>
          <rPr>
            <sz val="9"/>
            <color indexed="81"/>
            <rFont val="Segoe UI"/>
            <family val="2"/>
          </rPr>
          <t>Old value: 73975.4024602919
Date: 09-28-2022
Author: suapp194</t>
        </r>
      </text>
    </comment>
    <comment ref="B56" authorId="2" shapeId="0" xr:uid="{00000000-0006-0000-1100-000008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56" authorId="1" shapeId="0" xr:uid="{00000000-0006-0000-1100-000009000000}">
      <text>
        <r>
          <rPr>
            <b/>
            <sz val="8"/>
            <color indexed="81"/>
            <rFont val="Tahoma"/>
            <family val="2"/>
          </rPr>
          <t>Electricity mix</t>
        </r>
        <r>
          <rPr>
            <sz val="8"/>
            <color indexed="81"/>
            <rFont val="Tahoma"/>
            <family val="2"/>
          </rPr>
          <t xml:space="preserve">
When making an actual calculation, the use of the input "Electricity EU mix LV" is not allowed. Use the electricity mix from the country in which the electricity is taken from the grid, by defining this mix in the list of additional standard values (following the example for “Average electricity mix in Malta”) and replacing “Electricity EU mix LV” in row B of this sheet by the name corresponding to the correct mix (for instance “Average electricity mix in Malta”).
More details can be found in the Calculation rules (chapter 4) and in the User manual (chapter 4).</t>
        </r>
      </text>
    </comment>
    <comment ref="E63" authorId="0" shapeId="0" xr:uid="{4A170103-B17A-4735-A92E-C38B277B41AE}">
      <text>
        <r>
          <rPr>
            <sz val="9"/>
            <color indexed="81"/>
            <rFont val="Segoe UI"/>
            <family val="2"/>
          </rPr>
          <t>Old value: 73242.9727329623
Date: 09-28-2022
Author: suapp194</t>
        </r>
      </text>
    </comment>
    <comment ref="B78" authorId="2" shapeId="0" xr:uid="{00000000-0006-0000-1100-00000A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78" authorId="1" shapeId="0" xr:uid="{00000000-0006-0000-1100-00000B000000}">
      <text>
        <r>
          <rPr>
            <sz val="8"/>
            <color indexed="81"/>
            <rFont val="Tahoma"/>
            <family val="2"/>
          </rPr>
          <t xml:space="preserve">Factor 1,4 is to convert "typical value" into "default value.
</t>
        </r>
        <r>
          <rPr>
            <b/>
            <sz val="8"/>
            <color indexed="81"/>
            <rFont val="Tahoma"/>
            <family val="2"/>
          </rPr>
          <t>Electricity mix</t>
        </r>
        <r>
          <rPr>
            <sz val="8"/>
            <color indexed="81"/>
            <rFont val="Tahoma"/>
            <family val="2"/>
          </rPr>
          <t xml:space="preserve">
When making an actual calculation, the use of the input "Electricity EU mix MV" is not allowed. Use the electricity mix from the country in which the electricity is taken from the grid, by defining this mix in the list of additional standard values (following the example for “Average electricity mix in Malta”) and replacing “Electricity EU mix MV” in row B of this sheet by the name corresponding to the correct mix (for instance “Average electricity mix in Malta”).
More details can be found in the Calculation rules (chapter 4) and in the User manual (chapter 4).</t>
        </r>
      </text>
    </comment>
    <comment ref="C79" authorId="1" shapeId="0" xr:uid="{00000000-0006-0000-1100-00000C000000}">
      <text>
        <r>
          <rPr>
            <sz val="8"/>
            <color indexed="81"/>
            <rFont val="Tahoma"/>
            <family val="2"/>
          </rPr>
          <t>Factor 1,4 is to convert "typical value" into "default value</t>
        </r>
      </text>
    </comment>
    <comment ref="B85" authorId="2" shapeId="0" xr:uid="{00000000-0006-0000-1100-00000D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85" authorId="1" shapeId="0" xr:uid="{00000000-0006-0000-1100-00000E000000}">
      <text>
        <r>
          <rPr>
            <b/>
            <sz val="8"/>
            <color indexed="81"/>
            <rFont val="Tahoma"/>
            <family val="2"/>
          </rPr>
          <t>Electricity mix</t>
        </r>
        <r>
          <rPr>
            <sz val="8"/>
            <color indexed="81"/>
            <rFont val="Tahoma"/>
            <family val="2"/>
          </rPr>
          <t xml:space="preserve">
When making an actual calculation, the use of the input "Electricity EU mix MV" is not allowed. Use the electricity mix from the country in which the electricity is taken from the grid, by defining this mix in the list of additional standard values (following the example for “Average electricity mix in Malta”) and replacing “Electricity EU mix MV” in row B of this sheet by the name corresponding to the correct mix (for instance “Average electricity mix in Malta”).
More details can be found in the Calculation rules (chapter 4) and in the User manual (chapter 4).
</t>
        </r>
      </text>
    </comment>
    <comment ref="C88" authorId="1" shapeId="0" xr:uid="{00000000-0006-0000-1100-00000F000000}">
      <text>
        <r>
          <rPr>
            <sz val="8"/>
            <color indexed="81"/>
            <rFont val="Tahoma"/>
            <family val="2"/>
          </rPr>
          <t>Factor 1,4 is to convert "typical value" into "default value</t>
        </r>
      </text>
    </comment>
    <comment ref="B118" authorId="2" shapeId="0" xr:uid="{00000000-0006-0000-1100-000010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118" authorId="1" shapeId="0" xr:uid="{00000000-0006-0000-1100-000011000000}">
      <text>
        <r>
          <rPr>
            <sz val="8"/>
            <color indexed="81"/>
            <rFont val="Tahoma"/>
            <family val="2"/>
          </rPr>
          <t xml:space="preserve">Factor 1,4 is to convert "typical value" into "default value.
</t>
        </r>
        <r>
          <rPr>
            <b/>
            <sz val="8"/>
            <color indexed="81"/>
            <rFont val="Tahoma"/>
            <family val="2"/>
          </rPr>
          <t>Electricity mix</t>
        </r>
        <r>
          <rPr>
            <sz val="8"/>
            <color indexed="81"/>
            <rFont val="Tahoma"/>
            <family val="2"/>
          </rPr>
          <t xml:space="preserve">
When making an actual calculation, the use of the input "Electricity EU mix MV" is not allowed. Use the electricity mix from the country in which the electricity is taken from the grid, by defining this mix in the list of additional standard values (following the example for “Average electricity mix in Malta”) and replacing “Electricity EU mix MV” in row B of this sheet by the name corresponding to the correct mix (for instance “Average electricity mix in Malta”).
More details can be found in the Calculation rules (chapter 4) and in the User manual (chapter 4).</t>
        </r>
      </text>
    </comment>
    <comment ref="C119" authorId="1" shapeId="0" xr:uid="{00000000-0006-0000-1100-000012000000}">
      <text>
        <r>
          <rPr>
            <sz val="8"/>
            <color indexed="81"/>
            <rFont val="Tahoma"/>
            <family val="2"/>
          </rPr>
          <t>Factor 1,4 is to convert "typical value" into "default value</t>
        </r>
      </text>
    </comment>
    <comment ref="B125" authorId="2" shapeId="0" xr:uid="{00000000-0006-0000-1100-000013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125" authorId="1" shapeId="0" xr:uid="{00000000-0006-0000-1100-000014000000}">
      <text>
        <r>
          <rPr>
            <b/>
            <sz val="8"/>
            <color indexed="81"/>
            <rFont val="Tahoma"/>
            <family val="2"/>
          </rPr>
          <t>Electricity mix</t>
        </r>
        <r>
          <rPr>
            <sz val="8"/>
            <color indexed="81"/>
            <rFont val="Tahoma"/>
            <family val="2"/>
          </rPr>
          <t xml:space="preserve">
When making an actual calculation, the use of the input "Electricity EU mix MV" is not allowed. Use the electricity mix from the country in which the electricity is taken from the grid, by defining this mix in the list of additional standard values (following the example for “Average electricity mix in Malta”) and replacing “Electricity EU mix MV” in row B of this sheet by the name corresponding to the correct mix (for instance “Average electricity mix in Malta”).
More details can be found in the Calculation rules (chapter 4) and in the User manual (chapter 4).
</t>
        </r>
      </text>
    </comment>
    <comment ref="C128" authorId="1" shapeId="0" xr:uid="{00000000-0006-0000-1100-000015000000}">
      <text>
        <r>
          <rPr>
            <sz val="8"/>
            <color indexed="81"/>
            <rFont val="Tahoma"/>
            <family val="2"/>
          </rPr>
          <t>Factor 1,4 is to convert "typical value" into "default value</t>
        </r>
      </text>
    </comment>
    <comment ref="B150" authorId="2" shapeId="0" xr:uid="{00000000-0006-0000-1100-000016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150" authorId="1" shapeId="0" xr:uid="{00000000-0006-0000-1100-000017000000}">
      <text>
        <r>
          <rPr>
            <sz val="8"/>
            <color indexed="81"/>
            <rFont val="Tahoma"/>
            <family val="2"/>
          </rPr>
          <t xml:space="preserve">Factor 1,4 is to convert "typical value" into "default value.
</t>
        </r>
        <r>
          <rPr>
            <b/>
            <sz val="8"/>
            <color indexed="81"/>
            <rFont val="Tahoma"/>
            <family val="2"/>
          </rPr>
          <t>Electricity mix</t>
        </r>
        <r>
          <rPr>
            <sz val="8"/>
            <color indexed="81"/>
            <rFont val="Tahoma"/>
            <family val="2"/>
          </rPr>
          <t xml:space="preserve">
When making an actual calculation, the use of the input "Electricity EU mix MV" is not allowed. Use the electricity mix from the country in which the electricity is taken from the grid, by defining this mix in the list of additional standard values (following the example for “Average electricity mix in Malta”) and replacing “Electricity EU mix MV” in row B of this sheet by the name corresponding to the correct mix (for instance “Average electricity mix in Malta”).
More details can be found in the Calculation rules (chapter 4) and in the User manual (chapter 4).</t>
        </r>
      </text>
    </comment>
    <comment ref="C151" authorId="1" shapeId="0" xr:uid="{00000000-0006-0000-1100-000018000000}">
      <text>
        <r>
          <rPr>
            <sz val="8"/>
            <color indexed="81"/>
            <rFont val="Tahoma"/>
            <family val="2"/>
          </rPr>
          <t>Factor 1,4 is to convert "typical value" into "default value</t>
        </r>
      </text>
    </comment>
    <comment ref="B157" authorId="2" shapeId="0" xr:uid="{00000000-0006-0000-1100-000019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157" authorId="1" shapeId="0" xr:uid="{00000000-0006-0000-1100-00001A000000}">
      <text>
        <r>
          <rPr>
            <b/>
            <sz val="8"/>
            <color indexed="81"/>
            <rFont val="Tahoma"/>
            <family val="2"/>
          </rPr>
          <t>Electricity mix</t>
        </r>
        <r>
          <rPr>
            <sz val="8"/>
            <color indexed="81"/>
            <rFont val="Tahoma"/>
            <family val="2"/>
          </rPr>
          <t xml:space="preserve">
When making an actual calculation, the use of the input "Electricity EU mix MV" is not allowed. Use the electricity mix from the country in which the electricity is taken from the grid, by defining this mix in the list of additional standard values (following the example for “Average electricity mix in Malta”) and replacing “Electricity EU mix MV” in row B of this sheet by the name corresponding to the correct mix (for instance “Average electricity mix in Malta”).
More details can be found in the Calculation rules (chapter 4) and in the User manual (chapter 4).
</t>
        </r>
      </text>
    </comment>
    <comment ref="C160" authorId="1" shapeId="0" xr:uid="{00000000-0006-0000-1100-00001B000000}">
      <text>
        <r>
          <rPr>
            <sz val="8"/>
            <color indexed="81"/>
            <rFont val="Tahoma"/>
            <family val="2"/>
          </rPr>
          <t>Factor 1,4 is to convert "typical value" into "default value</t>
        </r>
      </text>
    </comment>
    <comment ref="C161" authorId="1" shapeId="0" xr:uid="{00000000-0006-0000-1100-00001C000000}">
      <text>
        <r>
          <rPr>
            <sz val="8"/>
            <color indexed="81"/>
            <rFont val="Tahoma"/>
            <family val="2"/>
          </rPr>
          <t>Factor 1,4 is to convert "typical value" into "default value</t>
        </r>
      </text>
    </comment>
    <comment ref="C162" authorId="1" shapeId="0" xr:uid="{00000000-0006-0000-1100-00001D000000}">
      <text>
        <r>
          <rPr>
            <sz val="8"/>
            <color indexed="81"/>
            <rFont val="Tahoma"/>
            <family val="2"/>
          </rPr>
          <t>Factor 1,4 is to convert "typical value" into "default value</t>
        </r>
      </text>
    </comment>
    <comment ref="C163" authorId="1" shapeId="0" xr:uid="{00000000-0006-0000-1100-00001E000000}">
      <text>
        <r>
          <rPr>
            <sz val="8"/>
            <color indexed="81"/>
            <rFont val="Tahoma"/>
            <family val="2"/>
          </rPr>
          <t>Factor 1,4 is to convert "typical value" into "default value</t>
        </r>
      </text>
    </comment>
    <comment ref="C164" authorId="1" shapeId="0" xr:uid="{00000000-0006-0000-1100-00001F000000}">
      <text>
        <r>
          <rPr>
            <sz val="8"/>
            <color indexed="81"/>
            <rFont val="Tahoma"/>
            <family val="2"/>
          </rPr>
          <t>Factor 1,4 is to convert "typical value" into "default value</t>
        </r>
      </text>
    </comment>
    <comment ref="B187" authorId="2" shapeId="0" xr:uid="{00000000-0006-0000-1100-000020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187" authorId="1" shapeId="0" xr:uid="{00000000-0006-0000-1100-000021000000}">
      <text>
        <r>
          <rPr>
            <b/>
            <sz val="8"/>
            <color indexed="81"/>
            <rFont val="Tahoma"/>
            <family val="2"/>
          </rPr>
          <t>Electricity mix</t>
        </r>
        <r>
          <rPr>
            <sz val="8"/>
            <color indexed="81"/>
            <rFont val="Tahoma"/>
            <family val="2"/>
          </rPr>
          <t xml:space="preserve">
When making an actual calculation, the use of the input "Electricity EU mix LV" is not allowed. Use the electricity mix from the country in which the electricity is taken from the grid, by defining this mix in the list of additional standard values (following the example for “Average electricity mix in Malta”) and replacing “Electricity EU mix LV” in row B of this sheet by the name corresponding to the correct mix (for instance “Average electricity mix in Malta”).
More details can be found in the Calculation rules (chapter 4) and in the User manual (chapter 4).</t>
        </r>
      </text>
    </comment>
    <comment ref="B199" authorId="2" shapeId="0" xr:uid="{00000000-0006-0000-1100-000022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199" authorId="1" shapeId="0" xr:uid="{00000000-0006-0000-1100-000023000000}">
      <text>
        <r>
          <rPr>
            <b/>
            <sz val="8"/>
            <color indexed="81"/>
            <rFont val="Tahoma"/>
            <family val="2"/>
          </rPr>
          <t>Electricity mix</t>
        </r>
        <r>
          <rPr>
            <sz val="8"/>
            <color indexed="81"/>
            <rFont val="Tahoma"/>
            <family val="2"/>
          </rPr>
          <t xml:space="preserve">
When making an actual calculation, the use of the input "Electricity EU mix LV" is only allowed when the starting values in this step are kept.
When changing the starting values, use the electricity mix from the country in which the electricity is taken from the grid, by defining this mix in the list of additional standard values (following the example for “Average electricity mix in Malta”) and replacing “Electricity EU mix LV” in row B of this sheet by the name corresponding to the correct mix (for instance “Average electricity mix in Malta”).
More details can be found in the Calculation rules (chapter 4) and in the User manual (chapter 4).</t>
        </r>
      </text>
    </comment>
    <comment ref="B204" authorId="3" shapeId="0" xr:uid="{00000000-0006-0000-1100-000024000000}">
      <text>
        <r>
          <rPr>
            <sz val="8"/>
            <color indexed="81"/>
            <rFont val="Tahoma"/>
            <family val="2"/>
          </rPr>
          <t>Annualised emissions from carbon stock changes caused by land-use change, e</t>
        </r>
        <r>
          <rPr>
            <sz val="8"/>
            <color indexed="81"/>
            <rFont val="Tahoma"/>
            <family val="2"/>
          </rPr>
          <t>l</t>
        </r>
        <r>
          <rPr>
            <sz val="8"/>
            <color indexed="81"/>
            <rFont val="Tahoma"/>
            <family val="2"/>
          </rPr>
          <t>, shall be calculated by dividing total emissions equally over 20 years. For the calculation of those emissions the following rule shall be applied:
e</t>
        </r>
        <r>
          <rPr>
            <sz val="8"/>
            <color indexed="81"/>
            <rFont val="Tahoma"/>
            <family val="2"/>
          </rPr>
          <t>l</t>
        </r>
        <r>
          <rPr>
            <sz val="8"/>
            <color indexed="81"/>
            <rFont val="Tahoma"/>
            <family val="2"/>
          </rPr>
          <t xml:space="preserve"> = (CS</t>
        </r>
        <r>
          <rPr>
            <sz val="8"/>
            <color indexed="81"/>
            <rFont val="Tahoma"/>
            <family val="2"/>
          </rPr>
          <t>R</t>
        </r>
        <r>
          <rPr>
            <sz val="8"/>
            <color indexed="81"/>
            <rFont val="Tahoma"/>
            <family val="2"/>
          </rPr>
          <t xml:space="preserve"> – CS</t>
        </r>
        <r>
          <rPr>
            <sz val="8"/>
            <color indexed="81"/>
            <rFont val="Tahoma"/>
            <family val="2"/>
          </rPr>
          <t>A</t>
        </r>
        <r>
          <rPr>
            <sz val="8"/>
            <color indexed="81"/>
            <rFont val="Tahoma"/>
            <family val="2"/>
          </rPr>
          <t>) × 3,664 × 1/20 × 1/P – e</t>
        </r>
        <r>
          <rPr>
            <sz val="8"/>
            <color indexed="81"/>
            <rFont val="Tahoma"/>
            <family val="2"/>
          </rPr>
          <t>B</t>
        </r>
        <r>
          <rPr>
            <sz val="8"/>
            <color indexed="81"/>
            <rFont val="Tahoma"/>
            <family val="2"/>
          </rPr>
          <t>(1)</t>
        </r>
        <r>
          <rPr>
            <sz val="8"/>
            <color indexed="81"/>
            <rFont val="Tahoma"/>
            <family val="2"/>
          </rPr>
          <t xml:space="preserve">
where
e</t>
        </r>
        <r>
          <rPr>
            <sz val="8"/>
            <color indexed="81"/>
            <rFont val="Tahoma"/>
            <family val="2"/>
          </rPr>
          <t>l</t>
        </r>
        <r>
          <rPr>
            <sz val="8"/>
            <color indexed="81"/>
            <rFont val="Tahoma"/>
            <family val="2"/>
          </rPr>
          <t xml:space="preserve"> = annualised greenhouse gas emissions from carbon stock change due to land-use change (measured as mass of CO</t>
        </r>
        <r>
          <rPr>
            <sz val="8"/>
            <color indexed="81"/>
            <rFont val="Tahoma"/>
            <family val="2"/>
          </rPr>
          <t>2</t>
        </r>
        <r>
          <rPr>
            <sz val="8"/>
            <color indexed="81"/>
            <rFont val="Tahoma"/>
            <family val="2"/>
          </rPr>
          <t>-equivalent per unit biofuel energy);
CS</t>
        </r>
        <r>
          <rPr>
            <sz val="8"/>
            <color indexed="81"/>
            <rFont val="Tahoma"/>
            <family val="2"/>
          </rPr>
          <t>R</t>
        </r>
        <r>
          <rPr>
            <sz val="8"/>
            <color indexed="81"/>
            <rFont val="Tahoma"/>
            <family val="2"/>
          </rPr>
          <t xml:space="preserve"> = the carbon stock per unit area associated with the reference land use (measured as mass of carbon per unit area, including both soil and vegetation). The reference land use shall be the land use in January 2008 or 20 years before the raw material was obtained, whichever was the later;
CS</t>
        </r>
        <r>
          <rPr>
            <sz val="8"/>
            <color indexed="81"/>
            <rFont val="Tahoma"/>
            <family val="2"/>
          </rPr>
          <t>A</t>
        </r>
        <r>
          <rPr>
            <sz val="8"/>
            <color indexed="81"/>
            <rFont val="Tahoma"/>
            <family val="2"/>
          </rPr>
          <t xml:space="preserve"> =the carbon stock per unit area associated with the actual land use (measured as mass of carbon per unit area, including both soil and vegetation). In cases where the carbon stock accumulates over more than one year, the value attributed to CS</t>
        </r>
        <r>
          <rPr>
            <sz val="8"/>
            <color indexed="81"/>
            <rFont val="Tahoma"/>
            <family val="2"/>
          </rPr>
          <t>A</t>
        </r>
        <r>
          <rPr>
            <sz val="8"/>
            <color indexed="81"/>
            <rFont val="Tahoma"/>
            <family val="2"/>
          </rPr>
          <t xml:space="preserve"> shall be the estimated stock per unit area after 20 years or when the crop reaches maturity, whichever the earlier;
P =the productivity of the crop (measured as biofuel or bioliquid energy per unit area per year); and
e</t>
        </r>
        <r>
          <rPr>
            <sz val="8"/>
            <color indexed="81"/>
            <rFont val="Tahoma"/>
            <family val="2"/>
          </rPr>
          <t>B</t>
        </r>
        <r>
          <rPr>
            <sz val="8"/>
            <color indexed="81"/>
            <rFont val="Tahoma"/>
            <family val="2"/>
          </rPr>
          <t xml:space="preserve"> =bonus of 29 gCO</t>
        </r>
        <r>
          <rPr>
            <sz val="8"/>
            <color indexed="81"/>
            <rFont val="Tahoma"/>
            <family val="2"/>
          </rPr>
          <t>2eq</t>
        </r>
        <r>
          <rPr>
            <sz val="8"/>
            <color indexed="81"/>
            <rFont val="Tahoma"/>
            <family val="2"/>
          </rPr>
          <t>/MJ biofuel or bioliquid if biomass is obtained from restored degraded land under the conditions provided for in point 8.
8.
The bonus of 29 gCO</t>
        </r>
        <r>
          <rPr>
            <sz val="8"/>
            <color indexed="81"/>
            <rFont val="Tahoma"/>
            <family val="2"/>
          </rPr>
          <t>2eq</t>
        </r>
        <r>
          <rPr>
            <sz val="8"/>
            <color indexed="81"/>
            <rFont val="Tahoma"/>
            <family val="2"/>
          </rPr>
          <t>/MJ shall be attributed if evidence is provided that the land:
(a) was not in use for agriculture or any other activity in January 2008; and
(b) falls into one of the following categories:
   (i) severely degraded land, including such land that was formerly in agricultural use;
   (ii) heavily contaminated land.
The bonus of 29 gCO</t>
        </r>
        <r>
          <rPr>
            <sz val="8"/>
            <color indexed="81"/>
            <rFont val="Tahoma"/>
            <family val="2"/>
          </rPr>
          <t>2eq</t>
        </r>
        <r>
          <rPr>
            <sz val="8"/>
            <color indexed="81"/>
            <rFont val="Tahoma"/>
            <family val="2"/>
          </rPr>
          <t>/MJ shall apply for a period of up to 10 years from the date of conversion of the land to agricultural use, provided that a steady increase in carbon stocks as well as a sizable reduction in erosion phenomena for land falling under (i) are ensured and that soil contamination for land falling under (ii) is reduced.
9.
The categories referred to in point 8(b) are defined as follows:
(a) ‘severely degraded land’ means land that, for a significant period of time, has either been significantly salinated or presented significantly low organic matter content and has been severely eroded;
(b) ‘heavily contaminated land’ means land that is unfit for the cultivation of food and feed due to soil contamination.
Such land shall include land that has been the subject of a Commission decision in accordance with the fourth subparagraph of Article 18(4).</t>
        </r>
        <r>
          <rPr>
            <sz val="8"/>
            <color indexed="81"/>
            <rFont val="Tahoma"/>
            <family val="2"/>
          </rPr>
          <t xml:space="preserve">
</t>
        </r>
        <r>
          <rPr>
            <sz val="8"/>
            <color indexed="81"/>
            <rFont val="Tahoma"/>
            <family val="2"/>
          </rPr>
          <t xml:space="preserve">
</t>
        </r>
        <r>
          <rPr>
            <sz val="8"/>
            <color indexed="81"/>
            <rFont val="Tahoma"/>
            <family val="2"/>
          </rPr>
          <t>(1)</t>
        </r>
        <r>
          <rPr>
            <sz val="8"/>
            <color indexed="81"/>
            <rFont val="Tahoma"/>
            <family val="2"/>
          </rPr>
          <t xml:space="preserve"> </t>
        </r>
        <r>
          <rPr>
            <sz val="8"/>
            <color indexed="81"/>
            <rFont val="Tahoma"/>
            <family val="2"/>
          </rPr>
          <t xml:space="preserve"> The quotient obtained by dividing the molecular weight of CO</t>
        </r>
        <r>
          <rPr>
            <sz val="8"/>
            <color indexed="81"/>
            <rFont val="Tahoma"/>
            <family val="2"/>
          </rPr>
          <t>2</t>
        </r>
        <r>
          <rPr>
            <sz val="8"/>
            <color indexed="81"/>
            <rFont val="Tahoma"/>
            <family val="2"/>
          </rPr>
          <t xml:space="preserve"> (44,010 g/mol) by the molecular weight of carbon (12,011 g/mol) is equal to 3,664.</t>
        </r>
      </text>
    </comment>
    <comment ref="C214" authorId="3" shapeId="0" xr:uid="{00000000-0006-0000-1100-000025000000}">
      <text>
        <r>
          <rPr>
            <sz val="8"/>
            <color indexed="81"/>
            <rFont val="Tahoma"/>
            <family val="2"/>
          </rPr>
          <t xml:space="preserve">
8.
The bonus of 29 gCO2eq/MJ shall be attributed if evidence is provided that the land:
(a) was not in use for agriculture or any other activity in January 2008; and
(b) falls into one of the following categories:
   (i) severely degraded land, including such land that was formerly in agricultural use;
   (ii) heavily contaminated land.
The bonus of 29 gCO2eq/MJ shall apply for a period of up to 10 years from the date of conversion of the land to agricultural use, provided that a steady increase in carbon stocks as well as a sizable reduction in erosion phenomena for land falling under (i) are ensured and that soil contamination for land falling under (ii) is reduced.
9.
The categories referred to in point 8(b) are defined as follows:
(a) ‘severely degraded land’ means land that, for a significant period of time, has either been significantly salinated or presented significantly low organic matter content and has been severely eroded;
(b) ‘heavily contaminated land’ means land that is unfit for the cultivation of food and feed due to soil contamination.
Such land shall include land that has been the subject of a Commission decision in accordance with the fourth subparagraph of Article 18(4).</t>
        </r>
      </text>
    </comment>
    <comment ref="C236" authorId="3" shapeId="0" xr:uid="{00000000-0006-0000-1100-000026000000}">
      <text>
        <r>
          <rPr>
            <sz val="8"/>
            <color indexed="81"/>
            <rFont val="Tahoma"/>
            <family val="2"/>
          </rPr>
          <t>Emission saving from carbon capture and replacement, e</t>
        </r>
        <r>
          <rPr>
            <sz val="8"/>
            <color indexed="81"/>
            <rFont val="Tahoma"/>
            <family val="2"/>
          </rPr>
          <t>ccr</t>
        </r>
        <r>
          <rPr>
            <sz val="8"/>
            <color indexed="81"/>
            <rFont val="Tahoma"/>
            <family val="2"/>
          </rPr>
          <t>, shall be limited to emissions avoided through the capture of CO</t>
        </r>
        <r>
          <rPr>
            <sz val="8"/>
            <color indexed="81"/>
            <rFont val="Tahoma"/>
            <family val="2"/>
          </rPr>
          <t>2</t>
        </r>
        <r>
          <rPr>
            <sz val="8"/>
            <color indexed="81"/>
            <rFont val="Tahoma"/>
            <family val="2"/>
          </rPr>
          <t xml:space="preserve"> of which the carbon originates from biomass and which is used to replace fossil-derived CO</t>
        </r>
        <r>
          <rPr>
            <sz val="8"/>
            <color indexed="81"/>
            <rFont val="Tahoma"/>
            <family val="2"/>
          </rPr>
          <t>2</t>
        </r>
        <r>
          <rPr>
            <sz val="8"/>
            <color indexed="81"/>
            <rFont val="Tahoma"/>
            <family val="2"/>
          </rPr>
          <t xml:space="preserve"> used in commercial products and services.</t>
        </r>
      </text>
    </comment>
    <comment ref="C242" authorId="3" shapeId="0" xr:uid="{00000000-0006-0000-1100-000027000000}">
      <text>
        <r>
          <rPr>
            <sz val="8"/>
            <color indexed="81"/>
            <rFont val="Tahoma"/>
            <family val="2"/>
          </rPr>
          <t>Emission saving from carbon capture and geological storage e</t>
        </r>
        <r>
          <rPr>
            <sz val="8"/>
            <color indexed="81"/>
            <rFont val="Tahoma"/>
            <family val="2"/>
          </rPr>
          <t>ccs</t>
        </r>
        <r>
          <rPr>
            <sz val="8"/>
            <color indexed="81"/>
            <rFont val="Tahoma"/>
            <family val="2"/>
          </rPr>
          <t>, that have not already been accounted for in e</t>
        </r>
        <r>
          <rPr>
            <sz val="8"/>
            <color indexed="81"/>
            <rFont val="Tahoma"/>
            <family val="2"/>
          </rPr>
          <t>p</t>
        </r>
        <r>
          <rPr>
            <sz val="8"/>
            <color indexed="81"/>
            <rFont val="Tahoma"/>
            <family val="2"/>
          </rPr>
          <t>, shall be limited to emissions avoided through the capture and sequestration of emitted CO</t>
        </r>
        <r>
          <rPr>
            <sz val="8"/>
            <color indexed="81"/>
            <rFont val="Tahoma"/>
            <family val="2"/>
          </rPr>
          <t>2</t>
        </r>
        <r>
          <rPr>
            <sz val="8"/>
            <color indexed="81"/>
            <rFont val="Tahoma"/>
            <family val="2"/>
          </rPr>
          <t xml:space="preserve"> directly related to the extraction, transport, processing and distribution of fuel.</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neeft</author>
    <author>Neeft, dr. J.P.A. (John)</author>
    <author>sbu</author>
  </authors>
  <commentList>
    <comment ref="H7" authorId="0" shapeId="0" xr:uid="{00000000-0006-0000-1200-000001000000}">
      <text>
        <r>
          <rPr>
            <sz val="8"/>
            <color indexed="81"/>
            <rFont val="Tahoma"/>
            <family val="2"/>
          </rPr>
          <t>This value is not listed in the RED. 
It has been calculated on the basis of the JEC input, as is explained in "About"</t>
        </r>
      </text>
    </comment>
    <comment ref="H8" authorId="0" shapeId="0" xr:uid="{00000000-0006-0000-1200-000002000000}">
      <text>
        <r>
          <rPr>
            <sz val="8"/>
            <color indexed="81"/>
            <rFont val="Tahoma"/>
            <family val="2"/>
          </rPr>
          <t>This value is not listed in the RED. 
It has been calculated on the basis of the JEC input, as is explained in "About"</t>
        </r>
      </text>
    </comment>
    <comment ref="H10" authorId="0" shapeId="0" xr:uid="{00000000-0006-0000-1200-000003000000}">
      <text>
        <r>
          <rPr>
            <sz val="8"/>
            <color indexed="81"/>
            <rFont val="Tahoma"/>
            <family val="2"/>
          </rPr>
          <t>This value is not listed in the RED. 
It has been calculated on the basis of the JEC input, as is explained in "About"</t>
        </r>
      </text>
    </comment>
    <comment ref="H11" authorId="0" shapeId="0" xr:uid="{00000000-0006-0000-1200-000004000000}">
      <text>
        <r>
          <rPr>
            <sz val="8"/>
            <color indexed="81"/>
            <rFont val="Tahoma"/>
            <family val="2"/>
          </rPr>
          <t>This value is not listed in the RED. 
It has been calculated on the basis of the JEC input, as is explained in "About"</t>
        </r>
      </text>
    </comment>
    <comment ref="H14" authorId="0" shapeId="0" xr:uid="{00000000-0006-0000-1200-000005000000}">
      <text>
        <r>
          <rPr>
            <sz val="8"/>
            <color indexed="81"/>
            <rFont val="Tahoma"/>
            <family val="2"/>
          </rPr>
          <t>This value is not listed in the RED. 
It has been calculated on the basis of the JEC input, as is explained in "About"</t>
        </r>
      </text>
    </comment>
    <comment ref="H17" authorId="0" shapeId="0" xr:uid="{00000000-0006-0000-1200-000006000000}">
      <text>
        <r>
          <rPr>
            <sz val="8"/>
            <color indexed="81"/>
            <rFont val="Tahoma"/>
            <family val="2"/>
          </rPr>
          <t>This value is not listed in the RED. 
It has been calculated on the basis of the JEC input, as is explained in "About"</t>
        </r>
      </text>
    </comment>
    <comment ref="H18" authorId="0" shapeId="0" xr:uid="{00000000-0006-0000-1200-000007000000}">
      <text>
        <r>
          <rPr>
            <sz val="8"/>
            <color indexed="81"/>
            <rFont val="Tahoma"/>
            <family val="2"/>
          </rPr>
          <t>This value is not listed in the RED. 
It has been calculated on the basis of the JEC input, as is explained in "About"</t>
        </r>
      </text>
    </comment>
    <comment ref="B56" authorId="1" shapeId="0" xr:uid="{00000000-0006-0000-1200-000008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56" authorId="0" shapeId="0" xr:uid="{00000000-0006-0000-1200-000009000000}">
      <text>
        <r>
          <rPr>
            <b/>
            <sz val="8"/>
            <color indexed="81"/>
            <rFont val="Tahoma"/>
            <family val="2"/>
          </rPr>
          <t>Electricity mix</t>
        </r>
        <r>
          <rPr>
            <sz val="8"/>
            <color indexed="81"/>
            <rFont val="Tahoma"/>
            <family val="2"/>
          </rPr>
          <t xml:space="preserve">
When making an actual calculation, the use of the input "Electricity EU mix LV" is not allowed. Use the electricity mix from the country in which the electricity is taken from the grid, by defining this mix in the list of additional standard values (following the example for “Average electricity mix in Malta”) and replacing “Electricity EU mix LV” in row B of this sheet by the name corresponding to the correct mix (for instance “Average electricity mix in Malta”).
More details can be found in the Calculation rules (chapter 4) and in the User manual (chapter 4).</t>
        </r>
      </text>
    </comment>
    <comment ref="B78" authorId="1" shapeId="0" xr:uid="{00000000-0006-0000-1200-00000A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78" authorId="0" shapeId="0" xr:uid="{00000000-0006-0000-1200-00000B000000}">
      <text>
        <r>
          <rPr>
            <sz val="8"/>
            <color indexed="81"/>
            <rFont val="Tahoma"/>
            <family val="2"/>
          </rPr>
          <t xml:space="preserve">Factor 1,4 is to convert "typical value" into "default value.
</t>
        </r>
        <r>
          <rPr>
            <b/>
            <sz val="8"/>
            <color indexed="81"/>
            <rFont val="Tahoma"/>
            <family val="2"/>
          </rPr>
          <t>Electricity mix</t>
        </r>
        <r>
          <rPr>
            <sz val="8"/>
            <color indexed="81"/>
            <rFont val="Tahoma"/>
            <family val="2"/>
          </rPr>
          <t xml:space="preserve">
When making an actual calculation, the use of the input "Electricity EU mix MV" is not allowed. Use the electricity mix from the country in which the electricity is taken from the grid, by defining this mix in the list of additional standard values (following the example for “Average electricity mix in Malta”) and replacing “Electricity EU mix MV” in row B of this sheet by the name corresponding to the correct mix (for instance “Average electricity mix in Malta”).
More details can be found in the Calculation rules (chapter 4) and in the User manual (chapter 4).</t>
        </r>
      </text>
    </comment>
    <comment ref="C79" authorId="0" shapeId="0" xr:uid="{00000000-0006-0000-1200-00000C000000}">
      <text>
        <r>
          <rPr>
            <sz val="8"/>
            <color indexed="81"/>
            <rFont val="Tahoma"/>
            <family val="2"/>
          </rPr>
          <t>Factor 1,4 is to convert "typical value" into "default value</t>
        </r>
      </text>
    </comment>
    <comment ref="B85" authorId="1" shapeId="0" xr:uid="{00000000-0006-0000-1200-00000D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85" authorId="0" shapeId="0" xr:uid="{00000000-0006-0000-1200-00000E000000}">
      <text>
        <r>
          <rPr>
            <b/>
            <sz val="8"/>
            <color indexed="81"/>
            <rFont val="Tahoma"/>
            <family val="2"/>
          </rPr>
          <t>Electricity mix</t>
        </r>
        <r>
          <rPr>
            <sz val="8"/>
            <color indexed="81"/>
            <rFont val="Tahoma"/>
            <family val="2"/>
          </rPr>
          <t xml:space="preserve">
When making an actual calculation, the use of the input "Electricity EU mix MV" is not allowed. Use the electricity mix from the country in which the electricity is taken from the grid, by defining this mix in the list of additional standard values (following the example for “Average electricity mix in Malta”) and replacing “Electricity EU mix MV” in row B of this sheet by the name corresponding to the correct mix (for instance “Average electricity mix in Malta”).
More details can be found in the Calculation rules (chapter 4) and in the User manual (chapter 4).
</t>
        </r>
      </text>
    </comment>
    <comment ref="C88" authorId="0" shapeId="0" xr:uid="{00000000-0006-0000-1200-00000F000000}">
      <text>
        <r>
          <rPr>
            <sz val="8"/>
            <color indexed="81"/>
            <rFont val="Tahoma"/>
            <family val="2"/>
          </rPr>
          <t>Factor 1,4 is to convert "typical value" into "default value</t>
        </r>
      </text>
    </comment>
    <comment ref="B118" authorId="1" shapeId="0" xr:uid="{00000000-0006-0000-1200-000010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118" authorId="0" shapeId="0" xr:uid="{00000000-0006-0000-1200-000011000000}">
      <text>
        <r>
          <rPr>
            <sz val="8"/>
            <color indexed="81"/>
            <rFont val="Tahoma"/>
            <family val="2"/>
          </rPr>
          <t xml:space="preserve">Factor 1,4 is to convert "typical value" into "default value.
</t>
        </r>
        <r>
          <rPr>
            <b/>
            <sz val="8"/>
            <color indexed="81"/>
            <rFont val="Tahoma"/>
            <family val="2"/>
          </rPr>
          <t>Electricity mix</t>
        </r>
        <r>
          <rPr>
            <sz val="8"/>
            <color indexed="81"/>
            <rFont val="Tahoma"/>
            <family val="2"/>
          </rPr>
          <t xml:space="preserve">
When making an actual calculation, the use of the input "Electricity EU mix MV" is not allowed. Use the electricity mix from the country in which the electricity is taken from the grid, by defining this mix in the list of additional standard values (following the example for “Average electricity mix in Malta”) and replacing “Electricity EU mix MV” in row B of this sheet by the name corresponding to the correct mix (for instance “Average electricity mix in Malta”).
More details can be found in the Calculation rules (chapter 4) and in the User manual (chapter 4).</t>
        </r>
      </text>
    </comment>
    <comment ref="C119" authorId="0" shapeId="0" xr:uid="{00000000-0006-0000-1200-000012000000}">
      <text>
        <r>
          <rPr>
            <sz val="8"/>
            <color indexed="81"/>
            <rFont val="Tahoma"/>
            <family val="2"/>
          </rPr>
          <t>Factor 1,4 is to convert "typical value" into "default value</t>
        </r>
      </text>
    </comment>
    <comment ref="B125" authorId="1" shapeId="0" xr:uid="{00000000-0006-0000-1200-000013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125" authorId="0" shapeId="0" xr:uid="{00000000-0006-0000-1200-000014000000}">
      <text>
        <r>
          <rPr>
            <b/>
            <sz val="8"/>
            <color indexed="81"/>
            <rFont val="Tahoma"/>
            <family val="2"/>
          </rPr>
          <t>Electricity mix</t>
        </r>
        <r>
          <rPr>
            <sz val="8"/>
            <color indexed="81"/>
            <rFont val="Tahoma"/>
            <family val="2"/>
          </rPr>
          <t xml:space="preserve">
When making an actual calculation, the use of the input "Electricity EU mix MV" is not allowed. Use the electricity mix from the country in which the electricity is taken from the grid, by defining this mix in the list of additional standard values (following the example for “Average electricity mix in Malta”) and replacing “Electricity EU mix MV” in row B of this sheet by the name corresponding to the correct mix (for instance “Average electricity mix in Malta”).
More details can be found in the Calculation rules (chapter 4) and in the User manual (chapter 4).
</t>
        </r>
      </text>
    </comment>
    <comment ref="C128" authorId="0" shapeId="0" xr:uid="{00000000-0006-0000-1200-000015000000}">
      <text>
        <r>
          <rPr>
            <sz val="8"/>
            <color indexed="81"/>
            <rFont val="Tahoma"/>
            <family val="2"/>
          </rPr>
          <t>Factor 1,4 is to convert "typical value" into "default value</t>
        </r>
      </text>
    </comment>
    <comment ref="B150" authorId="1" shapeId="0" xr:uid="{00000000-0006-0000-1200-000016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150" authorId="0" shapeId="0" xr:uid="{00000000-0006-0000-1200-000017000000}">
      <text>
        <r>
          <rPr>
            <sz val="8"/>
            <color indexed="81"/>
            <rFont val="Tahoma"/>
            <family val="2"/>
          </rPr>
          <t xml:space="preserve">Factor 1,4 is to convert "typical value" into "default value.
</t>
        </r>
        <r>
          <rPr>
            <b/>
            <sz val="8"/>
            <color indexed="81"/>
            <rFont val="Tahoma"/>
            <family val="2"/>
          </rPr>
          <t>Electricity mix</t>
        </r>
        <r>
          <rPr>
            <sz val="8"/>
            <color indexed="81"/>
            <rFont val="Tahoma"/>
            <family val="2"/>
          </rPr>
          <t xml:space="preserve">
When making an actual calculation, the use of the input "Electricity EU mix MV" is not allowed. Use the electricity mix from the country in which the electricity is taken from the grid, by defining this mix in the list of additional standard values (following the example for “Average electricity mix in Malta”) and replacing “Electricity EU mix MV” in row B of this sheet by the name corresponding to the correct mix (for instance “Average electricity mix in Malta”).
More details can be found in the Calculation rules (chapter 4) and in the User manual (chapter 4).</t>
        </r>
      </text>
    </comment>
    <comment ref="C151" authorId="0" shapeId="0" xr:uid="{00000000-0006-0000-1200-000018000000}">
      <text>
        <r>
          <rPr>
            <sz val="8"/>
            <color indexed="81"/>
            <rFont val="Tahoma"/>
            <family val="2"/>
          </rPr>
          <t>Factor 1,4 is to convert "typical value" into "default value</t>
        </r>
      </text>
    </comment>
    <comment ref="B157" authorId="1" shapeId="0" xr:uid="{00000000-0006-0000-1200-000019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157" authorId="0" shapeId="0" xr:uid="{00000000-0006-0000-1200-00001A000000}">
      <text>
        <r>
          <rPr>
            <b/>
            <sz val="8"/>
            <color indexed="81"/>
            <rFont val="Tahoma"/>
            <family val="2"/>
          </rPr>
          <t>Electricity mix</t>
        </r>
        <r>
          <rPr>
            <sz val="8"/>
            <color indexed="81"/>
            <rFont val="Tahoma"/>
            <family val="2"/>
          </rPr>
          <t xml:space="preserve">
When making an actual calculation, the use of the input "Electricity EU mix MV" is not allowed. Use the electricity mix from the country in which the electricity is taken from the grid, by defining this mix in the list of additional standard values (following the example for “Average electricity mix in Malta”) and replacing “Electricity EU mix MV” in row B of this sheet by the name corresponding to the correct mix (for instance “Average electricity mix in Malta”).
More details can be found in the Calculation rules (chapter 4) and in the User manual (chapter 4).
</t>
        </r>
      </text>
    </comment>
    <comment ref="C160" authorId="0" shapeId="0" xr:uid="{00000000-0006-0000-1200-00001B000000}">
      <text>
        <r>
          <rPr>
            <sz val="8"/>
            <color indexed="81"/>
            <rFont val="Tahoma"/>
            <family val="2"/>
          </rPr>
          <t>Factor 1,4 is to convert "typical value" into "default value</t>
        </r>
      </text>
    </comment>
    <comment ref="C161" authorId="0" shapeId="0" xr:uid="{00000000-0006-0000-1200-00001C000000}">
      <text>
        <r>
          <rPr>
            <sz val="8"/>
            <color indexed="81"/>
            <rFont val="Tahoma"/>
            <family val="2"/>
          </rPr>
          <t>Factor 1,4 is to convert "typical value" into "default value</t>
        </r>
      </text>
    </comment>
    <comment ref="C162" authorId="0" shapeId="0" xr:uid="{00000000-0006-0000-1200-00001D000000}">
      <text>
        <r>
          <rPr>
            <sz val="8"/>
            <color indexed="81"/>
            <rFont val="Tahoma"/>
            <family val="2"/>
          </rPr>
          <t>Factor 1,4 is to convert "typical value" into "default value</t>
        </r>
      </text>
    </comment>
    <comment ref="C163" authorId="0" shapeId="0" xr:uid="{00000000-0006-0000-1200-00001E000000}">
      <text>
        <r>
          <rPr>
            <sz val="8"/>
            <color indexed="81"/>
            <rFont val="Tahoma"/>
            <family val="2"/>
          </rPr>
          <t>Factor 1,4 is to convert "typical value" into "default value</t>
        </r>
      </text>
    </comment>
    <comment ref="C164" authorId="0" shapeId="0" xr:uid="{00000000-0006-0000-1200-00001F000000}">
      <text>
        <r>
          <rPr>
            <sz val="8"/>
            <color indexed="81"/>
            <rFont val="Tahoma"/>
            <family val="2"/>
          </rPr>
          <t>Factor 1,4 is to convert "typical value" into "default value</t>
        </r>
      </text>
    </comment>
    <comment ref="B187" authorId="1" shapeId="0" xr:uid="{00000000-0006-0000-1200-000020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187" authorId="0" shapeId="0" xr:uid="{00000000-0006-0000-1200-000021000000}">
      <text>
        <r>
          <rPr>
            <b/>
            <sz val="8"/>
            <color indexed="81"/>
            <rFont val="Tahoma"/>
            <family val="2"/>
          </rPr>
          <t>Electricity mix</t>
        </r>
        <r>
          <rPr>
            <sz val="8"/>
            <color indexed="81"/>
            <rFont val="Tahoma"/>
            <family val="2"/>
          </rPr>
          <t xml:space="preserve">
When making an actual calculation, the use of the input "Electricity EU mix LV" is not allowed. Use the electricity mix from the country in which the electricity is taken from the grid, by defining this mix in the list of additional standard values (following the example for “Average electricity mix in Malta”) and replacing “Electricity EU mix LV” in row B of this sheet by the name corresponding to the correct mix (for instance “Average electricity mix in Malta”).
More details can be found in the Calculation rules (chapter 4) and in the User manual (chapter 4).</t>
        </r>
      </text>
    </comment>
    <comment ref="B199" authorId="1" shapeId="0" xr:uid="{00000000-0006-0000-1200-000022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199" authorId="0" shapeId="0" xr:uid="{00000000-0006-0000-1200-000023000000}">
      <text>
        <r>
          <rPr>
            <b/>
            <sz val="8"/>
            <color indexed="81"/>
            <rFont val="Tahoma"/>
            <family val="2"/>
          </rPr>
          <t>Electricity mix</t>
        </r>
        <r>
          <rPr>
            <sz val="8"/>
            <color indexed="81"/>
            <rFont val="Tahoma"/>
            <family val="2"/>
          </rPr>
          <t xml:space="preserve">
When making an actual calculation, the use of the input "Electricity EU mix LV" is only allowed when the starting values in this step are kept.
When changing the starting values, use the electricity mix from the country in which the electricity is taken from the grid, by defining this mix in the list of additional standard values (following the example for “Average electricity mix in Malta”) and replacing “Electricity EU mix LV” in row B of this sheet by the name corresponding to the correct mix (for instance “Average electricity mix in Malta”).
More details can be found in the Calculation rules (chapter 4) and in the User manual (chapter 4).</t>
        </r>
      </text>
    </comment>
    <comment ref="B204" authorId="2" shapeId="0" xr:uid="{00000000-0006-0000-1200-000024000000}">
      <text>
        <r>
          <rPr>
            <sz val="8"/>
            <color indexed="81"/>
            <rFont val="Tahoma"/>
            <family val="2"/>
          </rPr>
          <t>Annualised emissions from carbon stock changes caused by land-use change, e</t>
        </r>
        <r>
          <rPr>
            <sz val="8"/>
            <color indexed="81"/>
            <rFont val="Tahoma"/>
            <family val="2"/>
          </rPr>
          <t>l</t>
        </r>
        <r>
          <rPr>
            <sz val="8"/>
            <color indexed="81"/>
            <rFont val="Tahoma"/>
            <family val="2"/>
          </rPr>
          <t>, shall be calculated by dividing total emissions equally over 20 years. For the calculation of those emissions the following rule shall be applied:
e</t>
        </r>
        <r>
          <rPr>
            <sz val="8"/>
            <color indexed="81"/>
            <rFont val="Tahoma"/>
            <family val="2"/>
          </rPr>
          <t>l</t>
        </r>
        <r>
          <rPr>
            <sz val="8"/>
            <color indexed="81"/>
            <rFont val="Tahoma"/>
            <family val="2"/>
          </rPr>
          <t xml:space="preserve"> = (CS</t>
        </r>
        <r>
          <rPr>
            <sz val="8"/>
            <color indexed="81"/>
            <rFont val="Tahoma"/>
            <family val="2"/>
          </rPr>
          <t>R</t>
        </r>
        <r>
          <rPr>
            <sz val="8"/>
            <color indexed="81"/>
            <rFont val="Tahoma"/>
            <family val="2"/>
          </rPr>
          <t xml:space="preserve"> – CS</t>
        </r>
        <r>
          <rPr>
            <sz val="8"/>
            <color indexed="81"/>
            <rFont val="Tahoma"/>
            <family val="2"/>
          </rPr>
          <t>A</t>
        </r>
        <r>
          <rPr>
            <sz val="8"/>
            <color indexed="81"/>
            <rFont val="Tahoma"/>
            <family val="2"/>
          </rPr>
          <t>) × 3,664 × 1/20 × 1/P – e</t>
        </r>
        <r>
          <rPr>
            <sz val="8"/>
            <color indexed="81"/>
            <rFont val="Tahoma"/>
            <family val="2"/>
          </rPr>
          <t>B</t>
        </r>
        <r>
          <rPr>
            <sz val="8"/>
            <color indexed="81"/>
            <rFont val="Tahoma"/>
            <family val="2"/>
          </rPr>
          <t>(1)</t>
        </r>
        <r>
          <rPr>
            <sz val="8"/>
            <color indexed="81"/>
            <rFont val="Tahoma"/>
            <family val="2"/>
          </rPr>
          <t xml:space="preserve">
where
e</t>
        </r>
        <r>
          <rPr>
            <sz val="8"/>
            <color indexed="81"/>
            <rFont val="Tahoma"/>
            <family val="2"/>
          </rPr>
          <t>l</t>
        </r>
        <r>
          <rPr>
            <sz val="8"/>
            <color indexed="81"/>
            <rFont val="Tahoma"/>
            <family val="2"/>
          </rPr>
          <t xml:space="preserve"> = annualised greenhouse gas emissions from carbon stock change due to land-use change (measured as mass of CO</t>
        </r>
        <r>
          <rPr>
            <sz val="8"/>
            <color indexed="81"/>
            <rFont val="Tahoma"/>
            <family val="2"/>
          </rPr>
          <t>2</t>
        </r>
        <r>
          <rPr>
            <sz val="8"/>
            <color indexed="81"/>
            <rFont val="Tahoma"/>
            <family val="2"/>
          </rPr>
          <t>-equivalent per unit biofuel energy);
CS</t>
        </r>
        <r>
          <rPr>
            <sz val="8"/>
            <color indexed="81"/>
            <rFont val="Tahoma"/>
            <family val="2"/>
          </rPr>
          <t>R</t>
        </r>
        <r>
          <rPr>
            <sz val="8"/>
            <color indexed="81"/>
            <rFont val="Tahoma"/>
            <family val="2"/>
          </rPr>
          <t xml:space="preserve"> = the carbon stock per unit area associated with the reference land use (measured as mass of carbon per unit area, including both soil and vegetation). The reference land use shall be the land use in January 2008 or 20 years before the raw material was obtained, whichever was the later;
CS</t>
        </r>
        <r>
          <rPr>
            <sz val="8"/>
            <color indexed="81"/>
            <rFont val="Tahoma"/>
            <family val="2"/>
          </rPr>
          <t>A</t>
        </r>
        <r>
          <rPr>
            <sz val="8"/>
            <color indexed="81"/>
            <rFont val="Tahoma"/>
            <family val="2"/>
          </rPr>
          <t xml:space="preserve"> =the carbon stock per unit area associated with the actual land use (measured as mass of carbon per unit area, including both soil and vegetation). In cases where the carbon stock accumulates over more than one year, the value attributed to CS</t>
        </r>
        <r>
          <rPr>
            <sz val="8"/>
            <color indexed="81"/>
            <rFont val="Tahoma"/>
            <family val="2"/>
          </rPr>
          <t>A</t>
        </r>
        <r>
          <rPr>
            <sz val="8"/>
            <color indexed="81"/>
            <rFont val="Tahoma"/>
            <family val="2"/>
          </rPr>
          <t xml:space="preserve"> shall be the estimated stock per unit area after 20 years or when the crop reaches maturity, whichever the earlier;
P =the productivity of the crop (measured as biofuel or bioliquid energy per unit area per year); and
e</t>
        </r>
        <r>
          <rPr>
            <sz val="8"/>
            <color indexed="81"/>
            <rFont val="Tahoma"/>
            <family val="2"/>
          </rPr>
          <t>B</t>
        </r>
        <r>
          <rPr>
            <sz val="8"/>
            <color indexed="81"/>
            <rFont val="Tahoma"/>
            <family val="2"/>
          </rPr>
          <t xml:space="preserve"> =bonus of 29 gCO</t>
        </r>
        <r>
          <rPr>
            <sz val="8"/>
            <color indexed="81"/>
            <rFont val="Tahoma"/>
            <family val="2"/>
          </rPr>
          <t>2eq</t>
        </r>
        <r>
          <rPr>
            <sz val="8"/>
            <color indexed="81"/>
            <rFont val="Tahoma"/>
            <family val="2"/>
          </rPr>
          <t>/MJ biofuel or bioliquid if biomass is obtained from restored degraded land under the conditions provided for in point 8.
8.
The bonus of 29 gCO</t>
        </r>
        <r>
          <rPr>
            <sz val="8"/>
            <color indexed="81"/>
            <rFont val="Tahoma"/>
            <family val="2"/>
          </rPr>
          <t>2eq</t>
        </r>
        <r>
          <rPr>
            <sz val="8"/>
            <color indexed="81"/>
            <rFont val="Tahoma"/>
            <family val="2"/>
          </rPr>
          <t>/MJ shall be attributed if evidence is provided that the land:
(a) was not in use for agriculture or any other activity in January 2008; and
(b) falls into one of the following categories:
   (i) severely degraded land, including such land that was formerly in agricultural use;
   (ii) heavily contaminated land.
The bonus of 29 gCO</t>
        </r>
        <r>
          <rPr>
            <sz val="8"/>
            <color indexed="81"/>
            <rFont val="Tahoma"/>
            <family val="2"/>
          </rPr>
          <t>2eq</t>
        </r>
        <r>
          <rPr>
            <sz val="8"/>
            <color indexed="81"/>
            <rFont val="Tahoma"/>
            <family val="2"/>
          </rPr>
          <t>/MJ shall apply for a period of up to 10 years from the date of conversion of the land to agricultural use, provided that a steady increase in carbon stocks as well as a sizable reduction in erosion phenomena for land falling under (i) are ensured and that soil contamination for land falling under (ii) is reduced.
9.
The categories referred to in point 8(b) are defined as follows:
(a) ‘severely degraded land’ means land that, for a significant period of time, has either been significantly salinated or presented significantly low organic matter content and has been severely eroded;
(b) ‘heavily contaminated land’ means land that is unfit for the cultivation of food and feed due to soil contamination.
Such land shall include land that has been the subject of a Commission decision in accordance with the fourth subparagraph of Article 18(4).</t>
        </r>
        <r>
          <rPr>
            <sz val="8"/>
            <color indexed="81"/>
            <rFont val="Tahoma"/>
            <family val="2"/>
          </rPr>
          <t xml:space="preserve">
</t>
        </r>
        <r>
          <rPr>
            <sz val="8"/>
            <color indexed="81"/>
            <rFont val="Tahoma"/>
            <family val="2"/>
          </rPr>
          <t xml:space="preserve">
</t>
        </r>
        <r>
          <rPr>
            <sz val="8"/>
            <color indexed="81"/>
            <rFont val="Tahoma"/>
            <family val="2"/>
          </rPr>
          <t>(1)</t>
        </r>
        <r>
          <rPr>
            <sz val="8"/>
            <color indexed="81"/>
            <rFont val="Tahoma"/>
            <family val="2"/>
          </rPr>
          <t xml:space="preserve"> </t>
        </r>
        <r>
          <rPr>
            <sz val="8"/>
            <color indexed="81"/>
            <rFont val="Tahoma"/>
            <family val="2"/>
          </rPr>
          <t xml:space="preserve"> The quotient obtained by dividing the molecular weight of CO</t>
        </r>
        <r>
          <rPr>
            <sz val="8"/>
            <color indexed="81"/>
            <rFont val="Tahoma"/>
            <family val="2"/>
          </rPr>
          <t>2</t>
        </r>
        <r>
          <rPr>
            <sz val="8"/>
            <color indexed="81"/>
            <rFont val="Tahoma"/>
            <family val="2"/>
          </rPr>
          <t xml:space="preserve"> (44,010 g/mol) by the molecular weight of carbon (12,011 g/mol) is equal to 3,664.</t>
        </r>
      </text>
    </comment>
    <comment ref="C214" authorId="2" shapeId="0" xr:uid="{00000000-0006-0000-1200-000025000000}">
      <text>
        <r>
          <rPr>
            <sz val="8"/>
            <color indexed="81"/>
            <rFont val="Tahoma"/>
            <family val="2"/>
          </rPr>
          <t xml:space="preserve">
8.
The bonus of 29 gCO2eq/MJ shall be attributed if evidence is provided that the land:
(a) was not in use for agriculture or any other activity in January 2008; and
(b) falls into one of the following categories:
   (i) severely degraded land, including such land that was formerly in agricultural use;
   (ii) heavily contaminated land.
The bonus of 29 gCO2eq/MJ shall apply for a period of up to 10 years from the date of conversion of the land to agricultural use, provided that a steady increase in carbon stocks as well as a sizable reduction in erosion phenomena for land falling under (i) are ensured and that soil contamination for land falling under (ii) is reduced.
9.
The categories referred to in point 8(b) are defined as follows:
(a) ‘severely degraded land’ means land that, for a significant period of time, has either been significantly salinated or presented significantly low organic matter content and has been severely eroded;
(b) ‘heavily contaminated land’ means land that is unfit for the cultivation of food and feed due to soil contamination.
Such land shall include land that has been the subject of a Commission decision in accordance with the fourth subparagraph of Article 18(4).</t>
        </r>
      </text>
    </comment>
    <comment ref="C236" authorId="2" shapeId="0" xr:uid="{00000000-0006-0000-1200-000026000000}">
      <text>
        <r>
          <rPr>
            <sz val="8"/>
            <color indexed="81"/>
            <rFont val="Tahoma"/>
            <family val="2"/>
          </rPr>
          <t>Emission saving from carbon capture and replacement, e</t>
        </r>
        <r>
          <rPr>
            <sz val="8"/>
            <color indexed="81"/>
            <rFont val="Tahoma"/>
            <family val="2"/>
          </rPr>
          <t>ccr</t>
        </r>
        <r>
          <rPr>
            <sz val="8"/>
            <color indexed="81"/>
            <rFont val="Tahoma"/>
            <family val="2"/>
          </rPr>
          <t>, shall be limited to emissions avoided through the capture of CO</t>
        </r>
        <r>
          <rPr>
            <sz val="8"/>
            <color indexed="81"/>
            <rFont val="Tahoma"/>
            <family val="2"/>
          </rPr>
          <t>2</t>
        </r>
        <r>
          <rPr>
            <sz val="8"/>
            <color indexed="81"/>
            <rFont val="Tahoma"/>
            <family val="2"/>
          </rPr>
          <t xml:space="preserve"> of which the carbon originates from biomass and which is used to replace fossil-derived CO</t>
        </r>
        <r>
          <rPr>
            <sz val="8"/>
            <color indexed="81"/>
            <rFont val="Tahoma"/>
            <family val="2"/>
          </rPr>
          <t>2</t>
        </r>
        <r>
          <rPr>
            <sz val="8"/>
            <color indexed="81"/>
            <rFont val="Tahoma"/>
            <family val="2"/>
          </rPr>
          <t xml:space="preserve"> used in commercial products and services.</t>
        </r>
      </text>
    </comment>
    <comment ref="C242" authorId="2" shapeId="0" xr:uid="{00000000-0006-0000-1200-000027000000}">
      <text>
        <r>
          <rPr>
            <sz val="8"/>
            <color indexed="81"/>
            <rFont val="Tahoma"/>
            <family val="2"/>
          </rPr>
          <t>Emission saving from carbon capture and geological storage e</t>
        </r>
        <r>
          <rPr>
            <sz val="8"/>
            <color indexed="81"/>
            <rFont val="Tahoma"/>
            <family val="2"/>
          </rPr>
          <t>ccs</t>
        </r>
        <r>
          <rPr>
            <sz val="8"/>
            <color indexed="81"/>
            <rFont val="Tahoma"/>
            <family val="2"/>
          </rPr>
          <t>, that have not already been accounted for in e</t>
        </r>
        <r>
          <rPr>
            <sz val="8"/>
            <color indexed="81"/>
            <rFont val="Tahoma"/>
            <family val="2"/>
          </rPr>
          <t>p</t>
        </r>
        <r>
          <rPr>
            <sz val="8"/>
            <color indexed="81"/>
            <rFont val="Tahoma"/>
            <family val="2"/>
          </rPr>
          <t>, shall be limited to emissions avoided through the capture and sequestration of emitted CO</t>
        </r>
        <r>
          <rPr>
            <sz val="8"/>
            <color indexed="81"/>
            <rFont val="Tahoma"/>
            <family val="2"/>
          </rPr>
          <t>2</t>
        </r>
        <r>
          <rPr>
            <sz val="8"/>
            <color indexed="81"/>
            <rFont val="Tahoma"/>
            <family val="2"/>
          </rPr>
          <t xml:space="preserve"> directly related to the extraction, transport, processing and distribution of fuel.</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neeft</author>
    <author>Neeft, dr. J.P.A. (John)</author>
    <author>sbu</author>
  </authors>
  <commentList>
    <comment ref="H7" authorId="0" shapeId="0" xr:uid="{00000000-0006-0000-1300-000001000000}">
      <text>
        <r>
          <rPr>
            <sz val="8"/>
            <color indexed="81"/>
            <rFont val="Tahoma"/>
            <family val="2"/>
          </rPr>
          <t>This value is not listed in the RED. 
It has been calculated on the basis of the JEC input, as is explained in "About"</t>
        </r>
      </text>
    </comment>
    <comment ref="H9" authorId="0" shapeId="0" xr:uid="{00000000-0006-0000-1300-000002000000}">
      <text>
        <r>
          <rPr>
            <sz val="8"/>
            <color indexed="81"/>
            <rFont val="Tahoma"/>
            <family val="2"/>
          </rPr>
          <t>This value is not listed in the RED. 
It has been calculated on the basis of the JEC input, as is explained in "About"</t>
        </r>
      </text>
    </comment>
    <comment ref="H10" authorId="0" shapeId="0" xr:uid="{00000000-0006-0000-1300-000003000000}">
      <text>
        <r>
          <rPr>
            <sz val="8"/>
            <color indexed="81"/>
            <rFont val="Tahoma"/>
            <family val="2"/>
          </rPr>
          <t>This value is not listed in the RED. 
It has been calculated on the basis of the JEC input, as is explained in "About"</t>
        </r>
      </text>
    </comment>
    <comment ref="H13" authorId="0" shapeId="0" xr:uid="{00000000-0006-0000-1300-000004000000}">
      <text>
        <r>
          <rPr>
            <sz val="8"/>
            <color indexed="81"/>
            <rFont val="Tahoma"/>
            <family val="2"/>
          </rPr>
          <t>This value is not listed in the RED. 
It has been calculated on the basis of the JEC input, as is explained in "About"</t>
        </r>
      </text>
    </comment>
    <comment ref="H16" authorId="0" shapeId="0" xr:uid="{00000000-0006-0000-1300-000005000000}">
      <text>
        <r>
          <rPr>
            <sz val="8"/>
            <color indexed="81"/>
            <rFont val="Tahoma"/>
            <family val="2"/>
          </rPr>
          <t>This value is not listed in the RED. 
It has been calculated on the basis of the JEC input, as is explained in "About"</t>
        </r>
      </text>
    </comment>
    <comment ref="H17" authorId="0" shapeId="0" xr:uid="{00000000-0006-0000-1300-000006000000}">
      <text>
        <r>
          <rPr>
            <sz val="8"/>
            <color indexed="81"/>
            <rFont val="Tahoma"/>
            <family val="2"/>
          </rPr>
          <t>This value is not listed in the RED. 
It has been calculated on the basis of the JEC input, as is explained in "About"</t>
        </r>
      </text>
    </comment>
    <comment ref="B68" authorId="1" shapeId="0" xr:uid="{00000000-0006-0000-1300-000007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68" authorId="0" shapeId="0" xr:uid="{00000000-0006-0000-1300-000008000000}">
      <text>
        <r>
          <rPr>
            <sz val="8"/>
            <color indexed="81"/>
            <rFont val="Tahoma"/>
            <family val="2"/>
          </rPr>
          <t xml:space="preserve">Factor 1,4 is to convert "typical value" into "default value.
</t>
        </r>
        <r>
          <rPr>
            <b/>
            <sz val="8"/>
            <color indexed="81"/>
            <rFont val="Tahoma"/>
            <family val="2"/>
          </rPr>
          <t>Electricity mix</t>
        </r>
        <r>
          <rPr>
            <sz val="8"/>
            <color indexed="81"/>
            <rFont val="Tahoma"/>
            <family val="2"/>
          </rPr>
          <t xml:space="preserve">
When making an actual calculation, the use of the input "Electricity EU mix MV" is not allowed. Use the electricity mix from the country in which the electricity is taken from the grid, by defining this mix in the list of additional standard values (following the example for “Average electricity mix in Malta”) and replacing “Electricity EU mix MV” in row B of this sheet by the name corresponding to the correct mix (for instance “Average electricity mix in Malta”).
More details can be found in the Calculation rules (chapter 4) and in the User manual (chapter 4).</t>
        </r>
      </text>
    </comment>
    <comment ref="C69" authorId="0" shapeId="0" xr:uid="{00000000-0006-0000-1300-000009000000}">
      <text>
        <r>
          <rPr>
            <sz val="8"/>
            <color indexed="81"/>
            <rFont val="Tahoma"/>
            <family val="2"/>
          </rPr>
          <t>Factor 1,4 is to convert "typical value" into "default value</t>
        </r>
      </text>
    </comment>
    <comment ref="B75" authorId="1" shapeId="0" xr:uid="{00000000-0006-0000-1300-00000A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75" authorId="0" shapeId="0" xr:uid="{00000000-0006-0000-1300-00000B000000}">
      <text>
        <r>
          <rPr>
            <b/>
            <sz val="8"/>
            <color indexed="81"/>
            <rFont val="Tahoma"/>
            <family val="2"/>
          </rPr>
          <t>Electricity mix</t>
        </r>
        <r>
          <rPr>
            <sz val="8"/>
            <color indexed="81"/>
            <rFont val="Tahoma"/>
            <family val="2"/>
          </rPr>
          <t xml:space="preserve">
When making an actual calculation, the use of the input "Electricity EU mix MV" is not allowed. Use the electricity mix from the country in which the electricity is taken from the grid, by defining this mix in the list of additional standard values (following the example for “Average electricity mix in Malta”) and replacing “Electricity EU mix MV” in row B of this sheet by the name corresponding to the correct mix (for instance “Average electricity mix in Malta”).
More details can be found in the Calculation rules (chapter 4) and in the User manual (chapter 4).
</t>
        </r>
      </text>
    </comment>
    <comment ref="C78" authorId="0" shapeId="0" xr:uid="{00000000-0006-0000-1300-00000C000000}">
      <text>
        <r>
          <rPr>
            <sz val="8"/>
            <color indexed="81"/>
            <rFont val="Tahoma"/>
            <family val="2"/>
          </rPr>
          <t>Factor 1,4 is to convert "typical value" into "default value</t>
        </r>
      </text>
    </comment>
    <comment ref="B108" authorId="1" shapeId="0" xr:uid="{00000000-0006-0000-1300-00000D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108" authorId="0" shapeId="0" xr:uid="{00000000-0006-0000-1300-00000E000000}">
      <text>
        <r>
          <rPr>
            <sz val="8"/>
            <color indexed="81"/>
            <rFont val="Tahoma"/>
            <family val="2"/>
          </rPr>
          <t xml:space="preserve">Factor 1,4 is to convert "typical value" into "default value.
</t>
        </r>
        <r>
          <rPr>
            <b/>
            <sz val="8"/>
            <color indexed="81"/>
            <rFont val="Tahoma"/>
            <family val="2"/>
          </rPr>
          <t>Electricity mix</t>
        </r>
        <r>
          <rPr>
            <sz val="8"/>
            <color indexed="81"/>
            <rFont val="Tahoma"/>
            <family val="2"/>
          </rPr>
          <t xml:space="preserve">
When making an actual calculation, the use of the input "Electricity EU mix MV" is not allowed. Use the electricity mix from the country in which the electricity is taken from the grid, by defining this mix in the list of additional standard values (following the example for “Average electricity mix in Malta”) and replacing “Electricity EU mix MV” in row B of this sheet by the name corresponding to the correct mix (for instance “Average electricity mix in Malta”).
More details can be found in the Calculation rules (chapter 4) and in the User manual (chapter 4).</t>
        </r>
      </text>
    </comment>
    <comment ref="C109" authorId="0" shapeId="0" xr:uid="{00000000-0006-0000-1300-00000F000000}">
      <text>
        <r>
          <rPr>
            <sz val="8"/>
            <color indexed="81"/>
            <rFont val="Tahoma"/>
            <family val="2"/>
          </rPr>
          <t>Factor 1,4 is to convert "typical value" into "default value</t>
        </r>
      </text>
    </comment>
    <comment ref="B115" authorId="1" shapeId="0" xr:uid="{00000000-0006-0000-1300-000010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115" authorId="0" shapeId="0" xr:uid="{00000000-0006-0000-1300-000011000000}">
      <text>
        <r>
          <rPr>
            <b/>
            <sz val="8"/>
            <color indexed="81"/>
            <rFont val="Tahoma"/>
            <family val="2"/>
          </rPr>
          <t>Electricity mix</t>
        </r>
        <r>
          <rPr>
            <sz val="8"/>
            <color indexed="81"/>
            <rFont val="Tahoma"/>
            <family val="2"/>
          </rPr>
          <t xml:space="preserve">
When making an actual calculation, the use of the input "Electricity EU mix MV" is not allowed. Use the electricity mix from the country in which the electricity is taken from the grid, by defining this mix in the list of additional standard values (following the example for “Average electricity mix in Malta”) and replacing “Electricity EU mix MV” in row B of this sheet by the name corresponding to the correct mix (for instance “Average electricity mix in Malta”).
More details can be found in the Calculation rules (chapter 4) and in the User manual (chapter 4).
</t>
        </r>
      </text>
    </comment>
    <comment ref="C118" authorId="0" shapeId="0" xr:uid="{00000000-0006-0000-1300-000012000000}">
      <text>
        <r>
          <rPr>
            <sz val="8"/>
            <color indexed="81"/>
            <rFont val="Tahoma"/>
            <family val="2"/>
          </rPr>
          <t>Factor 1,4 is to convert "typical value" into "default value</t>
        </r>
      </text>
    </comment>
    <comment ref="B140" authorId="1" shapeId="0" xr:uid="{00000000-0006-0000-1300-000013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140" authorId="0" shapeId="0" xr:uid="{00000000-0006-0000-1300-000014000000}">
      <text>
        <r>
          <rPr>
            <sz val="8"/>
            <color indexed="81"/>
            <rFont val="Tahoma"/>
            <family val="2"/>
          </rPr>
          <t xml:space="preserve">Factor 1,4 is to convert "typical value" into "default value.
</t>
        </r>
        <r>
          <rPr>
            <b/>
            <sz val="8"/>
            <color indexed="81"/>
            <rFont val="Tahoma"/>
            <family val="2"/>
          </rPr>
          <t>Electricity mix</t>
        </r>
        <r>
          <rPr>
            <sz val="8"/>
            <color indexed="81"/>
            <rFont val="Tahoma"/>
            <family val="2"/>
          </rPr>
          <t xml:space="preserve">
When making an actual calculation, the use of the input "Electricity EU mix MV" is not allowed. Use the electricity mix from the country in which the electricity is taken from the grid, by defining this mix in the list of additional standard values (following the example for “Average electricity mix in Malta”) and replacing “Electricity EU mix MV” in row B of this sheet by the name corresponding to the correct mix (for instance “Average electricity mix in Malta”).
More details can be found in the Calculation rules (chapter 4) and in the User manual (chapter 4).</t>
        </r>
      </text>
    </comment>
    <comment ref="C141" authorId="0" shapeId="0" xr:uid="{00000000-0006-0000-1300-000015000000}">
      <text>
        <r>
          <rPr>
            <sz val="8"/>
            <color indexed="81"/>
            <rFont val="Tahoma"/>
            <family val="2"/>
          </rPr>
          <t>Factor 1,4 is to convert "typical value" into "default value</t>
        </r>
      </text>
    </comment>
    <comment ref="B147" authorId="1" shapeId="0" xr:uid="{00000000-0006-0000-1300-000016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147" authorId="0" shapeId="0" xr:uid="{00000000-0006-0000-1300-000017000000}">
      <text>
        <r>
          <rPr>
            <b/>
            <sz val="8"/>
            <color indexed="81"/>
            <rFont val="Tahoma"/>
            <family val="2"/>
          </rPr>
          <t>Electricity mix</t>
        </r>
        <r>
          <rPr>
            <sz val="8"/>
            <color indexed="81"/>
            <rFont val="Tahoma"/>
            <family val="2"/>
          </rPr>
          <t xml:space="preserve">
When making an actual calculation, the use of the input "Electricity EU mix MV" is not allowed. Use the electricity mix from the country in which the electricity is taken from the grid, by defining this mix in the list of additional standard values (following the example for “Average electricity mix in Malta”) and replacing “Electricity EU mix MV” in row B of this sheet by the name corresponding to the correct mix (for instance “Average electricity mix in Malta”).
More details can be found in the Calculation rules (chapter 4) and in the User manual (chapter 4).
</t>
        </r>
      </text>
    </comment>
    <comment ref="C150" authorId="0" shapeId="0" xr:uid="{00000000-0006-0000-1300-000018000000}">
      <text>
        <r>
          <rPr>
            <sz val="8"/>
            <color indexed="81"/>
            <rFont val="Tahoma"/>
            <family val="2"/>
          </rPr>
          <t>Factor 1,4 is to convert "typical value" into "default value</t>
        </r>
      </text>
    </comment>
    <comment ref="C151" authorId="0" shapeId="0" xr:uid="{00000000-0006-0000-1300-000019000000}">
      <text>
        <r>
          <rPr>
            <sz val="8"/>
            <color indexed="81"/>
            <rFont val="Tahoma"/>
            <family val="2"/>
          </rPr>
          <t>Factor 1,4 is to convert "typical value" into "default value</t>
        </r>
      </text>
    </comment>
    <comment ref="C152" authorId="0" shapeId="0" xr:uid="{00000000-0006-0000-1300-00001A000000}">
      <text>
        <r>
          <rPr>
            <sz val="8"/>
            <color indexed="81"/>
            <rFont val="Tahoma"/>
            <family val="2"/>
          </rPr>
          <t>Factor 1,4 is to convert "typical value" into "default value</t>
        </r>
      </text>
    </comment>
    <comment ref="C153" authorId="0" shapeId="0" xr:uid="{00000000-0006-0000-1300-00001B000000}">
      <text>
        <r>
          <rPr>
            <sz val="8"/>
            <color indexed="81"/>
            <rFont val="Tahoma"/>
            <family val="2"/>
          </rPr>
          <t>Factor 1,4 is to convert "typical value" into "default value</t>
        </r>
      </text>
    </comment>
    <comment ref="C154" authorId="0" shapeId="0" xr:uid="{00000000-0006-0000-1300-00001C000000}">
      <text>
        <r>
          <rPr>
            <sz val="8"/>
            <color indexed="81"/>
            <rFont val="Tahoma"/>
            <family val="2"/>
          </rPr>
          <t>Factor 1,4 is to convert "typical value" into "default value</t>
        </r>
      </text>
    </comment>
    <comment ref="B177" authorId="1" shapeId="0" xr:uid="{00000000-0006-0000-1300-00001D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177" authorId="0" shapeId="0" xr:uid="{00000000-0006-0000-1300-00001E000000}">
      <text>
        <r>
          <rPr>
            <b/>
            <sz val="8"/>
            <color indexed="81"/>
            <rFont val="Tahoma"/>
            <family val="2"/>
          </rPr>
          <t>Electricity mix</t>
        </r>
        <r>
          <rPr>
            <sz val="8"/>
            <color indexed="81"/>
            <rFont val="Tahoma"/>
            <family val="2"/>
          </rPr>
          <t xml:space="preserve">
When making an actual calculation, the use of the input "Electricity EU mix LV" is not allowed. Use the electricity mix from the country in which the electricity is taken from the grid, by defining this mix in the list of additional standard values (following the example for “Average electricity mix in Malta”) and replacing “Electricity EU mix LV” in row B of this sheet by the name corresponding to the correct mix (for instance “Average electricity mix in Malta”).
More details can be found in the Calculation rules (chapter 4) and in the User manual (chapter 4).</t>
        </r>
      </text>
    </comment>
    <comment ref="B189" authorId="1" shapeId="0" xr:uid="{00000000-0006-0000-1300-00001F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189" authorId="0" shapeId="0" xr:uid="{00000000-0006-0000-1300-000020000000}">
      <text>
        <r>
          <rPr>
            <b/>
            <sz val="8"/>
            <color indexed="81"/>
            <rFont val="Tahoma"/>
            <family val="2"/>
          </rPr>
          <t>Electricity mix</t>
        </r>
        <r>
          <rPr>
            <sz val="8"/>
            <color indexed="81"/>
            <rFont val="Tahoma"/>
            <family val="2"/>
          </rPr>
          <t xml:space="preserve">
When making an actual calculation, the use of the input "Electricity EU mix LV" is only allowed when the starting values in this step are kept.
When changing the starting values, use the electricity mix from the country in which the electricity is taken from the grid, by defining this mix in the list of additional standard values (following the example for “Average electricity mix in Malta”) and replacing “Electricity EU mix LV” in row B of this sheet by the name corresponding to the correct mix (for instance “Average electricity mix in Malta”).
More details can be found in the Calculation rules (chapter 4) and in the User manual (chapter 4).</t>
        </r>
      </text>
    </comment>
    <comment ref="B194" authorId="2" shapeId="0" xr:uid="{00000000-0006-0000-1300-000021000000}">
      <text>
        <r>
          <rPr>
            <sz val="8"/>
            <color indexed="81"/>
            <rFont val="Tahoma"/>
            <family val="2"/>
          </rPr>
          <t>Annualised emissions from carbon stock changes caused by land-use change, e</t>
        </r>
        <r>
          <rPr>
            <sz val="8"/>
            <color indexed="81"/>
            <rFont val="Tahoma"/>
            <family val="2"/>
          </rPr>
          <t>l</t>
        </r>
        <r>
          <rPr>
            <sz val="8"/>
            <color indexed="81"/>
            <rFont val="Tahoma"/>
            <family val="2"/>
          </rPr>
          <t>, shall be calculated by dividing total emissions equally over 20 years. For the calculation of those emissions the following rule shall be applied:
e</t>
        </r>
        <r>
          <rPr>
            <sz val="8"/>
            <color indexed="81"/>
            <rFont val="Tahoma"/>
            <family val="2"/>
          </rPr>
          <t>l</t>
        </r>
        <r>
          <rPr>
            <sz val="8"/>
            <color indexed="81"/>
            <rFont val="Tahoma"/>
            <family val="2"/>
          </rPr>
          <t xml:space="preserve"> = (CS</t>
        </r>
        <r>
          <rPr>
            <sz val="8"/>
            <color indexed="81"/>
            <rFont val="Tahoma"/>
            <family val="2"/>
          </rPr>
          <t>R</t>
        </r>
        <r>
          <rPr>
            <sz val="8"/>
            <color indexed="81"/>
            <rFont val="Tahoma"/>
            <family val="2"/>
          </rPr>
          <t xml:space="preserve"> – CS</t>
        </r>
        <r>
          <rPr>
            <sz val="8"/>
            <color indexed="81"/>
            <rFont val="Tahoma"/>
            <family val="2"/>
          </rPr>
          <t>A</t>
        </r>
        <r>
          <rPr>
            <sz val="8"/>
            <color indexed="81"/>
            <rFont val="Tahoma"/>
            <family val="2"/>
          </rPr>
          <t>) × 3,664 × 1/20 × 1/P – e</t>
        </r>
        <r>
          <rPr>
            <sz val="8"/>
            <color indexed="81"/>
            <rFont val="Tahoma"/>
            <family val="2"/>
          </rPr>
          <t>B</t>
        </r>
        <r>
          <rPr>
            <sz val="8"/>
            <color indexed="81"/>
            <rFont val="Tahoma"/>
            <family val="2"/>
          </rPr>
          <t>(1)</t>
        </r>
        <r>
          <rPr>
            <sz val="8"/>
            <color indexed="81"/>
            <rFont val="Tahoma"/>
            <family val="2"/>
          </rPr>
          <t xml:space="preserve">
where
e</t>
        </r>
        <r>
          <rPr>
            <sz val="8"/>
            <color indexed="81"/>
            <rFont val="Tahoma"/>
            <family val="2"/>
          </rPr>
          <t>l</t>
        </r>
        <r>
          <rPr>
            <sz val="8"/>
            <color indexed="81"/>
            <rFont val="Tahoma"/>
            <family val="2"/>
          </rPr>
          <t xml:space="preserve"> = annualised greenhouse gas emissions from carbon stock change due to land-use change (measured as mass of CO</t>
        </r>
        <r>
          <rPr>
            <sz val="8"/>
            <color indexed="81"/>
            <rFont val="Tahoma"/>
            <family val="2"/>
          </rPr>
          <t>2</t>
        </r>
        <r>
          <rPr>
            <sz val="8"/>
            <color indexed="81"/>
            <rFont val="Tahoma"/>
            <family val="2"/>
          </rPr>
          <t>-equivalent per unit biofuel energy);
CS</t>
        </r>
        <r>
          <rPr>
            <sz val="8"/>
            <color indexed="81"/>
            <rFont val="Tahoma"/>
            <family val="2"/>
          </rPr>
          <t>R</t>
        </r>
        <r>
          <rPr>
            <sz val="8"/>
            <color indexed="81"/>
            <rFont val="Tahoma"/>
            <family val="2"/>
          </rPr>
          <t xml:space="preserve"> = the carbon stock per unit area associated with the reference land use (measured as mass of carbon per unit area, including both soil and vegetation). The reference land use shall be the land use in January 2008 or 20 years before the raw material was obtained, whichever was the later;
CS</t>
        </r>
        <r>
          <rPr>
            <sz val="8"/>
            <color indexed="81"/>
            <rFont val="Tahoma"/>
            <family val="2"/>
          </rPr>
          <t>A</t>
        </r>
        <r>
          <rPr>
            <sz val="8"/>
            <color indexed="81"/>
            <rFont val="Tahoma"/>
            <family val="2"/>
          </rPr>
          <t xml:space="preserve"> =the carbon stock per unit area associated with the actual land use (measured as mass of carbon per unit area, including both soil and vegetation). In cases where the carbon stock accumulates over more than one year, the value attributed to CS</t>
        </r>
        <r>
          <rPr>
            <sz val="8"/>
            <color indexed="81"/>
            <rFont val="Tahoma"/>
            <family val="2"/>
          </rPr>
          <t>A</t>
        </r>
        <r>
          <rPr>
            <sz val="8"/>
            <color indexed="81"/>
            <rFont val="Tahoma"/>
            <family val="2"/>
          </rPr>
          <t xml:space="preserve"> shall be the estimated stock per unit area after 20 years or when the crop reaches maturity, whichever the earlier;
P =the productivity of the crop (measured as biofuel or bioliquid energy per unit area per year); and
e</t>
        </r>
        <r>
          <rPr>
            <sz val="8"/>
            <color indexed="81"/>
            <rFont val="Tahoma"/>
            <family val="2"/>
          </rPr>
          <t>B</t>
        </r>
        <r>
          <rPr>
            <sz val="8"/>
            <color indexed="81"/>
            <rFont val="Tahoma"/>
            <family val="2"/>
          </rPr>
          <t xml:space="preserve"> =bonus of 29 gCO</t>
        </r>
        <r>
          <rPr>
            <sz val="8"/>
            <color indexed="81"/>
            <rFont val="Tahoma"/>
            <family val="2"/>
          </rPr>
          <t>2eq</t>
        </r>
        <r>
          <rPr>
            <sz val="8"/>
            <color indexed="81"/>
            <rFont val="Tahoma"/>
            <family val="2"/>
          </rPr>
          <t>/MJ biofuel or bioliquid if biomass is obtained from restored degraded land under the conditions provided for in point 8.
8.
The bonus of 29 gCO</t>
        </r>
        <r>
          <rPr>
            <sz val="8"/>
            <color indexed="81"/>
            <rFont val="Tahoma"/>
            <family val="2"/>
          </rPr>
          <t>2eq</t>
        </r>
        <r>
          <rPr>
            <sz val="8"/>
            <color indexed="81"/>
            <rFont val="Tahoma"/>
            <family val="2"/>
          </rPr>
          <t>/MJ shall be attributed if evidence is provided that the land:
(a) was not in use for agriculture or any other activity in January 2008; and
(b) falls into one of the following categories:
   (i) severely degraded land, including such land that was formerly in agricultural use;
   (ii) heavily contaminated land.
The bonus of 29 gCO</t>
        </r>
        <r>
          <rPr>
            <sz val="8"/>
            <color indexed="81"/>
            <rFont val="Tahoma"/>
            <family val="2"/>
          </rPr>
          <t>2eq</t>
        </r>
        <r>
          <rPr>
            <sz val="8"/>
            <color indexed="81"/>
            <rFont val="Tahoma"/>
            <family val="2"/>
          </rPr>
          <t>/MJ shall apply for a period of up to 10 years from the date of conversion of the land to agricultural use, provided that a steady increase in carbon stocks as well as a sizable reduction in erosion phenomena for land falling under (i) are ensured and that soil contamination for land falling under (ii) is reduced.
9.
The categories referred to in point 8(b) are defined as follows:
(a) ‘severely degraded land’ means land that, for a significant period of time, has either been significantly salinated or presented significantly low organic matter content and has been severely eroded;
(b) ‘heavily contaminated land’ means land that is unfit for the cultivation of food and feed due to soil contamination.
Such land shall include land that has been the subject of a Commission decision in accordance with the fourth subparagraph of Article 18(4).</t>
        </r>
        <r>
          <rPr>
            <sz val="8"/>
            <color indexed="81"/>
            <rFont val="Tahoma"/>
            <family val="2"/>
          </rPr>
          <t xml:space="preserve">
</t>
        </r>
        <r>
          <rPr>
            <sz val="8"/>
            <color indexed="81"/>
            <rFont val="Tahoma"/>
            <family val="2"/>
          </rPr>
          <t xml:space="preserve">
</t>
        </r>
        <r>
          <rPr>
            <sz val="8"/>
            <color indexed="81"/>
            <rFont val="Tahoma"/>
            <family val="2"/>
          </rPr>
          <t>(1)</t>
        </r>
        <r>
          <rPr>
            <sz val="8"/>
            <color indexed="81"/>
            <rFont val="Tahoma"/>
            <family val="2"/>
          </rPr>
          <t xml:space="preserve"> </t>
        </r>
        <r>
          <rPr>
            <sz val="8"/>
            <color indexed="81"/>
            <rFont val="Tahoma"/>
            <family val="2"/>
          </rPr>
          <t xml:space="preserve"> The quotient obtained by dividing the molecular weight of CO</t>
        </r>
        <r>
          <rPr>
            <sz val="8"/>
            <color indexed="81"/>
            <rFont val="Tahoma"/>
            <family val="2"/>
          </rPr>
          <t>2</t>
        </r>
        <r>
          <rPr>
            <sz val="8"/>
            <color indexed="81"/>
            <rFont val="Tahoma"/>
            <family val="2"/>
          </rPr>
          <t xml:space="preserve"> (44,010 g/mol) by the molecular weight of carbon (12,011 g/mol) is equal to 3,664.</t>
        </r>
      </text>
    </comment>
    <comment ref="C204" authorId="2" shapeId="0" xr:uid="{00000000-0006-0000-1300-000022000000}">
      <text>
        <r>
          <rPr>
            <sz val="8"/>
            <color indexed="81"/>
            <rFont val="Tahoma"/>
            <family val="2"/>
          </rPr>
          <t xml:space="preserve">
8.
The bonus of 29 gCO2eq/MJ shall be attributed if evidence is provided that the land:
(a) was not in use for agriculture or any other activity in January 2008; and
(b) falls into one of the following categories:
   (i) severely degraded land, including such land that was formerly in agricultural use;
   (ii) heavily contaminated land.
The bonus of 29 gCO2eq/MJ shall apply for a period of up to 10 years from the date of conversion of the land to agricultural use, provided that a steady increase in carbon stocks as well as a sizable reduction in erosion phenomena for land falling under (i) are ensured and that soil contamination for land falling under (ii) is reduced.
9.
The categories referred to in point 8(b) are defined as follows:
(a) ‘severely degraded land’ means land that, for a significant period of time, has either been significantly salinated or presented significantly low organic matter content and has been severely eroded;
(b) ‘heavily contaminated land’ means land that is unfit for the cultivation of food and feed due to soil contamination.
Such land shall include land that has been the subject of a Commission decision in accordance with the fourth subparagraph of Article 18(4).</t>
        </r>
      </text>
    </comment>
    <comment ref="C226" authorId="2" shapeId="0" xr:uid="{00000000-0006-0000-1300-000023000000}">
      <text>
        <r>
          <rPr>
            <sz val="8"/>
            <color indexed="81"/>
            <rFont val="Tahoma"/>
            <family val="2"/>
          </rPr>
          <t>Emission saving from carbon capture and replacement, e</t>
        </r>
        <r>
          <rPr>
            <sz val="8"/>
            <color indexed="81"/>
            <rFont val="Tahoma"/>
            <family val="2"/>
          </rPr>
          <t>ccr</t>
        </r>
        <r>
          <rPr>
            <sz val="8"/>
            <color indexed="81"/>
            <rFont val="Tahoma"/>
            <family val="2"/>
          </rPr>
          <t>, shall be limited to emissions avoided through the capture of CO</t>
        </r>
        <r>
          <rPr>
            <sz val="8"/>
            <color indexed="81"/>
            <rFont val="Tahoma"/>
            <family val="2"/>
          </rPr>
          <t>2</t>
        </r>
        <r>
          <rPr>
            <sz val="8"/>
            <color indexed="81"/>
            <rFont val="Tahoma"/>
            <family val="2"/>
          </rPr>
          <t xml:space="preserve"> of which the carbon originates from biomass and which is used to replace fossil-derived CO</t>
        </r>
        <r>
          <rPr>
            <sz val="8"/>
            <color indexed="81"/>
            <rFont val="Tahoma"/>
            <family val="2"/>
          </rPr>
          <t>2</t>
        </r>
        <r>
          <rPr>
            <sz val="8"/>
            <color indexed="81"/>
            <rFont val="Tahoma"/>
            <family val="2"/>
          </rPr>
          <t xml:space="preserve"> used in commercial products and services.</t>
        </r>
      </text>
    </comment>
    <comment ref="C232" authorId="2" shapeId="0" xr:uid="{00000000-0006-0000-1300-000024000000}">
      <text>
        <r>
          <rPr>
            <sz val="8"/>
            <color indexed="81"/>
            <rFont val="Tahoma"/>
            <family val="2"/>
          </rPr>
          <t>Emission saving from carbon capture and geological storage e</t>
        </r>
        <r>
          <rPr>
            <sz val="8"/>
            <color indexed="81"/>
            <rFont val="Tahoma"/>
            <family val="2"/>
          </rPr>
          <t>ccs</t>
        </r>
        <r>
          <rPr>
            <sz val="8"/>
            <color indexed="81"/>
            <rFont val="Tahoma"/>
            <family val="2"/>
          </rPr>
          <t>, that have not already been accounted for in e</t>
        </r>
        <r>
          <rPr>
            <sz val="8"/>
            <color indexed="81"/>
            <rFont val="Tahoma"/>
            <family val="2"/>
          </rPr>
          <t>p</t>
        </r>
        <r>
          <rPr>
            <sz val="8"/>
            <color indexed="81"/>
            <rFont val="Tahoma"/>
            <family val="2"/>
          </rPr>
          <t>, shall be limited to emissions avoided through the capture and sequestration of emitted CO</t>
        </r>
        <r>
          <rPr>
            <sz val="8"/>
            <color indexed="81"/>
            <rFont val="Tahoma"/>
            <family val="2"/>
          </rPr>
          <t>2</t>
        </r>
        <r>
          <rPr>
            <sz val="8"/>
            <color indexed="81"/>
            <rFont val="Tahoma"/>
            <family val="2"/>
          </rPr>
          <t xml:space="preserve"> directly related to the extraction, transport, processing and distribution of fuel.</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neeft</author>
    <author>ahennecke</author>
    <author>Neeft, dr. J.P.A. (John)</author>
    <author>ludwiczekn</author>
    <author>sbu</author>
  </authors>
  <commentList>
    <comment ref="H7" authorId="0" shapeId="0" xr:uid="{00000000-0006-0000-1400-000001000000}">
      <text>
        <r>
          <rPr>
            <sz val="8"/>
            <color indexed="81"/>
            <rFont val="Tahoma"/>
            <family val="2"/>
          </rPr>
          <t>This value is not listed in the RED. 
It has been calculated on the basis of the JEC input, as is explained in "About"</t>
        </r>
      </text>
    </comment>
    <comment ref="H8" authorId="0" shapeId="0" xr:uid="{00000000-0006-0000-1400-000002000000}">
      <text>
        <r>
          <rPr>
            <sz val="8"/>
            <color indexed="81"/>
            <rFont val="Tahoma"/>
            <family val="2"/>
          </rPr>
          <t>This value is not listed in the RED. 
It has been calculated on the basis of the JEC input, as is explained in "About"</t>
        </r>
      </text>
    </comment>
    <comment ref="H10" authorId="0" shapeId="0" xr:uid="{00000000-0006-0000-1400-000003000000}">
      <text>
        <r>
          <rPr>
            <sz val="8"/>
            <color indexed="81"/>
            <rFont val="Tahoma"/>
            <family val="2"/>
          </rPr>
          <t>This value is not listed in the RED. 
It has been calculated on the basis of the JEC input, as is explained in "About"</t>
        </r>
      </text>
    </comment>
    <comment ref="H11" authorId="0" shapeId="0" xr:uid="{00000000-0006-0000-1400-000004000000}">
      <text>
        <r>
          <rPr>
            <sz val="8"/>
            <color indexed="81"/>
            <rFont val="Tahoma"/>
            <family val="2"/>
          </rPr>
          <t>This value is not listed in the RED. 
It has been calculated on the basis of the JEC input, as is explained in "About"</t>
        </r>
      </text>
    </comment>
    <comment ref="H14" authorId="0" shapeId="0" xr:uid="{00000000-0006-0000-1400-000005000000}">
      <text>
        <r>
          <rPr>
            <sz val="8"/>
            <color indexed="81"/>
            <rFont val="Tahoma"/>
            <family val="2"/>
          </rPr>
          <t>This value is not listed in the RED. 
It has been calculated on the basis of the JEC input, as is explained in "About"</t>
        </r>
      </text>
    </comment>
    <comment ref="H15" authorId="1" shapeId="0" xr:uid="{00000000-0006-0000-1400-000006000000}">
      <text>
        <r>
          <rPr>
            <sz val="8"/>
            <color indexed="81"/>
            <rFont val="Tahoma"/>
            <family val="2"/>
          </rPr>
          <t>This value is not listed in the RED. 
It has been calculated on the basis of the JEC input, as is explained in "About"</t>
        </r>
      </text>
    </comment>
    <comment ref="H17" authorId="0" shapeId="0" xr:uid="{00000000-0006-0000-1400-000007000000}">
      <text>
        <r>
          <rPr>
            <sz val="8"/>
            <color indexed="81"/>
            <rFont val="Tahoma"/>
            <family val="2"/>
          </rPr>
          <t>This value is not listed in the RED. 
It has been calculated on the basis of the JEC input, as is explained in "About"</t>
        </r>
      </text>
    </comment>
    <comment ref="H18" authorId="0" shapeId="0" xr:uid="{00000000-0006-0000-1400-000008000000}">
      <text>
        <r>
          <rPr>
            <sz val="8"/>
            <color indexed="81"/>
            <rFont val="Tahoma"/>
            <family val="2"/>
          </rPr>
          <t>This value is not listed in the RED. 
It has been calculated on the basis of the JEC input, as is explained in "About"</t>
        </r>
      </text>
    </comment>
    <comment ref="B63" authorId="2" shapeId="0" xr:uid="{00000000-0006-0000-1400-000009000000}">
      <text>
        <r>
          <rPr>
            <b/>
            <sz val="8"/>
            <color indexed="81"/>
            <rFont val="Tahoma"/>
            <family val="2"/>
          </rPr>
          <t>Electricity mix</t>
        </r>
        <r>
          <rPr>
            <sz val="8"/>
            <color indexed="81"/>
            <rFont val="Tahoma"/>
            <family val="2"/>
          </rPr>
          <t xml:space="preserve">
When making an actual calculation,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74" authorId="0" shapeId="0" xr:uid="{00000000-0006-0000-1400-00000A000000}">
      <text>
        <r>
          <rPr>
            <sz val="8"/>
            <color indexed="81"/>
            <rFont val="Tahoma"/>
            <family val="2"/>
          </rPr>
          <t xml:space="preserve">Factor 1,4 is to convert "typical value" into "default value.
</t>
        </r>
        <r>
          <rPr>
            <b/>
            <sz val="8"/>
            <color indexed="81"/>
            <rFont val="Tahoma"/>
            <family val="2"/>
          </rPr>
          <t>This number may be set to 1,0 in case an actual calculation in this process step is made.</t>
        </r>
      </text>
    </comment>
    <comment ref="B87" authorId="3" shapeId="0" xr:uid="{00000000-0006-0000-1400-00000B000000}">
      <text>
        <r>
          <rPr>
            <sz val="8"/>
            <color indexed="81"/>
            <rFont val="Tahoma"/>
            <family val="2"/>
          </rPr>
          <t>To be further specified - give GHG emission coefficients for fuel used (e.g. fibres) in "user defined standard values"</t>
        </r>
      </text>
    </comment>
    <comment ref="C91" authorId="0" shapeId="0" xr:uid="{00000000-0006-0000-1400-00000C000000}">
      <text>
        <r>
          <rPr>
            <sz val="8"/>
            <color indexed="81"/>
            <rFont val="Tahoma"/>
            <family val="2"/>
          </rPr>
          <t>Positive number indicates net consumption, negative number indicares net production</t>
        </r>
      </text>
    </comment>
    <comment ref="B92" authorId="3" shapeId="0" xr:uid="{00000000-0006-0000-1400-00000D000000}">
      <text>
        <r>
          <rPr>
            <sz val="8"/>
            <color indexed="81"/>
            <rFont val="Tahoma"/>
            <family val="2"/>
          </rPr>
          <t>To be further specified - give GHG emission coefficients for fuel used (e.g. fibres) in "user defined standard values"</t>
        </r>
      </text>
    </comment>
    <comment ref="B122" authorId="2" shapeId="0" xr:uid="{00000000-0006-0000-1400-00000E000000}">
      <text>
        <r>
          <rPr>
            <b/>
            <sz val="8"/>
            <color indexed="81"/>
            <rFont val="Tahoma"/>
            <family val="2"/>
          </rPr>
          <t>Electricity mix</t>
        </r>
        <r>
          <rPr>
            <sz val="8"/>
            <color indexed="81"/>
            <rFont val="Tahoma"/>
            <family val="2"/>
          </rPr>
          <t xml:space="preserve">
When making an actual calculation,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B124" authorId="2" shapeId="0" xr:uid="{00000000-0006-0000-1400-00000F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124" authorId="0" shapeId="0" xr:uid="{00000000-0006-0000-1400-000010000000}">
      <text>
        <r>
          <rPr>
            <b/>
            <sz val="8"/>
            <color indexed="81"/>
            <rFont val="Tahoma"/>
            <family val="2"/>
          </rPr>
          <t>Electricity mix</t>
        </r>
        <r>
          <rPr>
            <sz val="8"/>
            <color indexed="81"/>
            <rFont val="Tahoma"/>
            <family val="2"/>
          </rPr>
          <t xml:space="preserve">
When making an actual calculation, the use of the input "Electricity EU mix LV" is not allowed. Use the electricity mix from the country in which the electricity is taken from the grid, by defining this mix in the list of additional standard values (following the example for “Average electricity mix in Malta”) and replacing “Electricity EU mix LV” in row B of this sheet by the name corresponding to the correct mix (for instance “Average electricity mix in Malta”).
More details can be found in the Calculation rules (chapter 4) and in the User manual (chapter 4).</t>
        </r>
      </text>
    </comment>
    <comment ref="B135" authorId="2" shapeId="0" xr:uid="{00000000-0006-0000-1400-000011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135" authorId="0" shapeId="0" xr:uid="{00000000-0006-0000-1400-000012000000}">
      <text>
        <r>
          <rPr>
            <sz val="8"/>
            <color indexed="81"/>
            <rFont val="Tahoma"/>
            <family val="2"/>
          </rPr>
          <t xml:space="preserve">Factor 1,4 is to convert "typical value" into "default value.
</t>
        </r>
        <r>
          <rPr>
            <b/>
            <sz val="8"/>
            <color indexed="81"/>
            <rFont val="Tahoma"/>
            <family val="2"/>
          </rPr>
          <t>Electricity mix</t>
        </r>
        <r>
          <rPr>
            <sz val="8"/>
            <color indexed="81"/>
            <rFont val="Tahoma"/>
            <family val="2"/>
          </rPr>
          <t xml:space="preserve">
When making an actual calculation, the use of the input "Electricity EU mix MV" is not allowed. Use the electricity mix from the country in which the electricity is taken from the grid, by defining this mix in the list of additional standard values (following the example for “Average electricity mix in Malta”) and replacing “Electricity EU mix MV” in row B of this sheet by the name corresponding to the correct mix (for instance “Average electricity mix in Malta”).
More details can be found in the Calculation rules (chapter 4) and in the User manual (chapter 4).</t>
        </r>
      </text>
    </comment>
    <comment ref="C136" authorId="0" shapeId="0" xr:uid="{00000000-0006-0000-1400-000013000000}">
      <text>
        <r>
          <rPr>
            <sz val="8"/>
            <color indexed="81"/>
            <rFont val="Tahoma"/>
            <family val="2"/>
          </rPr>
          <t>Factor 1,4 is to convert "typical value" into "default value</t>
        </r>
      </text>
    </comment>
    <comment ref="B142" authorId="2" shapeId="0" xr:uid="{00000000-0006-0000-1400-000014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142" authorId="0" shapeId="0" xr:uid="{00000000-0006-0000-1400-000015000000}">
      <text>
        <r>
          <rPr>
            <b/>
            <sz val="8"/>
            <color indexed="81"/>
            <rFont val="Tahoma"/>
            <family val="2"/>
          </rPr>
          <t>Electricity mix</t>
        </r>
        <r>
          <rPr>
            <sz val="8"/>
            <color indexed="81"/>
            <rFont val="Tahoma"/>
            <family val="2"/>
          </rPr>
          <t xml:space="preserve">
When making an actual calculation, the use of the input "Electricity EU mix MV" is not allowed. Use the electricity mix from the country in which the electricity is taken from the grid, by defining this mix in the list of additional standard values (following the example for “Average electricity mix in Malta”) and replacing “Electricity EU mix MV” in row B of this sheet by the name corresponding to the correct mix (for instance “Average electricity mix in Malta”).
More details can be found in the Calculation rules (chapter 4) and in the User manual (chapter 4).
</t>
        </r>
      </text>
    </comment>
    <comment ref="C145" authorId="0" shapeId="0" xr:uid="{00000000-0006-0000-1400-000016000000}">
      <text>
        <r>
          <rPr>
            <sz val="8"/>
            <color indexed="81"/>
            <rFont val="Tahoma"/>
            <family val="2"/>
          </rPr>
          <t>Factor 1,4 is to convert "typical value" into "default value</t>
        </r>
      </text>
    </comment>
    <comment ref="B167" authorId="2" shapeId="0" xr:uid="{00000000-0006-0000-1400-000017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167" authorId="0" shapeId="0" xr:uid="{00000000-0006-0000-1400-000018000000}">
      <text>
        <r>
          <rPr>
            <sz val="8"/>
            <color indexed="81"/>
            <rFont val="Tahoma"/>
            <family val="2"/>
          </rPr>
          <t xml:space="preserve">Factor 1,4 is to convert "typical value" into "default value.
</t>
        </r>
        <r>
          <rPr>
            <b/>
            <sz val="8"/>
            <color indexed="81"/>
            <rFont val="Tahoma"/>
            <family val="2"/>
          </rPr>
          <t>Electricity mix</t>
        </r>
        <r>
          <rPr>
            <sz val="8"/>
            <color indexed="81"/>
            <rFont val="Tahoma"/>
            <family val="2"/>
          </rPr>
          <t xml:space="preserve">
When making an actual calculation, the use of the input "Electricity EU mix MV" is not allowed. Use the electricity mix from the country in which the electricity is taken from the grid, by defining this mix in the list of additional standard values (following the example for “Average electricity mix in Malta”) and replacing “Electricity EU mix MV” in row B of this sheet by the name corresponding to the correct mix (for instance “Average electricity mix in Malta”).
More details can be found in the Calculation rules (chapter 4) and in the User manual (chapter 4).</t>
        </r>
      </text>
    </comment>
    <comment ref="C168" authorId="0" shapeId="0" xr:uid="{00000000-0006-0000-1400-000019000000}">
      <text>
        <r>
          <rPr>
            <sz val="8"/>
            <color indexed="81"/>
            <rFont val="Tahoma"/>
            <family val="2"/>
          </rPr>
          <t>Factor 1,4 is to convert "typical value" into "default value</t>
        </r>
      </text>
    </comment>
    <comment ref="B174" authorId="2" shapeId="0" xr:uid="{00000000-0006-0000-1400-00001A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174" authorId="0" shapeId="0" xr:uid="{00000000-0006-0000-1400-00001B000000}">
      <text>
        <r>
          <rPr>
            <b/>
            <sz val="8"/>
            <color indexed="81"/>
            <rFont val="Tahoma"/>
            <family val="2"/>
          </rPr>
          <t>Electricity mix</t>
        </r>
        <r>
          <rPr>
            <sz val="8"/>
            <color indexed="81"/>
            <rFont val="Tahoma"/>
            <family val="2"/>
          </rPr>
          <t xml:space="preserve">
When making an actual calculation, the use of the input "Electricity EU mix MV" is not allowed. Use the electricity mix from the country in which the electricity is taken from the grid, by defining this mix in the list of additional standard values (following the example for “Average electricity mix in Malta”) and replacing “Electricity EU mix MV” in row B of this sheet by the name corresponding to the correct mix (for instance “Average electricity mix in Malta”).
More details can be found in the Calculation rules (chapter 4) and in the User manual (chapter 4).
</t>
        </r>
      </text>
    </comment>
    <comment ref="C177" authorId="0" shapeId="0" xr:uid="{00000000-0006-0000-1400-00001C000000}">
      <text>
        <r>
          <rPr>
            <sz val="8"/>
            <color indexed="81"/>
            <rFont val="Tahoma"/>
            <family val="2"/>
          </rPr>
          <t>Factor 1,4 is to convert "typical value" into "default value</t>
        </r>
      </text>
    </comment>
    <comment ref="C178" authorId="0" shapeId="0" xr:uid="{00000000-0006-0000-1400-00001D000000}">
      <text>
        <r>
          <rPr>
            <sz val="8"/>
            <color indexed="81"/>
            <rFont val="Tahoma"/>
            <family val="2"/>
          </rPr>
          <t>Factor 1,4 is to convert "typical value" into "default value</t>
        </r>
      </text>
    </comment>
    <comment ref="C179" authorId="0" shapeId="0" xr:uid="{00000000-0006-0000-1400-00001E000000}">
      <text>
        <r>
          <rPr>
            <sz val="8"/>
            <color indexed="81"/>
            <rFont val="Tahoma"/>
            <family val="2"/>
          </rPr>
          <t>Factor 1,4 is to convert "typical value" into "default value</t>
        </r>
      </text>
    </comment>
    <comment ref="C180" authorId="0" shapeId="0" xr:uid="{00000000-0006-0000-1400-00001F000000}">
      <text>
        <r>
          <rPr>
            <sz val="8"/>
            <color indexed="81"/>
            <rFont val="Tahoma"/>
            <family val="2"/>
          </rPr>
          <t>Factor 1,4 is to convert "typical value" into "default value</t>
        </r>
      </text>
    </comment>
    <comment ref="C181" authorId="0" shapeId="0" xr:uid="{00000000-0006-0000-1400-000020000000}">
      <text>
        <r>
          <rPr>
            <sz val="8"/>
            <color indexed="81"/>
            <rFont val="Tahoma"/>
            <family val="2"/>
          </rPr>
          <t>Factor 1,4 is to convert "typical value" into "default value</t>
        </r>
      </text>
    </comment>
    <comment ref="B204" authorId="2" shapeId="0" xr:uid="{00000000-0006-0000-1400-000021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204" authorId="0" shapeId="0" xr:uid="{00000000-0006-0000-1400-000022000000}">
      <text>
        <r>
          <rPr>
            <b/>
            <sz val="8"/>
            <color indexed="81"/>
            <rFont val="Tahoma"/>
            <family val="2"/>
          </rPr>
          <t>Electricity mix</t>
        </r>
        <r>
          <rPr>
            <sz val="8"/>
            <color indexed="81"/>
            <rFont val="Tahoma"/>
            <family val="2"/>
          </rPr>
          <t xml:space="preserve">
When making an actual calculation, the use of the input "Electricity EU mix LV" is not allowed. Use the electricity mix from the country in which the electricity is taken from the grid, by defining this mix in the list of additional standard values (following the example for “Average electricity mix in Malta”) and replacing “Electricity EU mix LV” in row B of this sheet by the name corresponding to the correct mix (for instance “Average electricity mix in Malta”).
More details can be found in the Calculation rules (chapter 4) and in the User manual (chapter 4).</t>
        </r>
      </text>
    </comment>
    <comment ref="B216" authorId="2" shapeId="0" xr:uid="{00000000-0006-0000-1400-000023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216" authorId="0" shapeId="0" xr:uid="{00000000-0006-0000-1400-000024000000}">
      <text>
        <r>
          <rPr>
            <b/>
            <sz val="8"/>
            <color indexed="81"/>
            <rFont val="Tahoma"/>
            <family val="2"/>
          </rPr>
          <t>Electricity mix</t>
        </r>
        <r>
          <rPr>
            <sz val="8"/>
            <color indexed="81"/>
            <rFont val="Tahoma"/>
            <family val="2"/>
          </rPr>
          <t xml:space="preserve">
When making an actual calculation, the use of the input "Electricity EU mix LV" is only allowed when the starting values in this step are kept.
When changing the starting values, use the electricity mix from the country in which the electricity is taken from the grid, by defining this mix in the list of additional standard values (following the example for “Average electricity mix in Malta”) and replacing “Electricity EU mix LV” in row B of this sheet by the name corresponding to the correct mix (for instance “Average electricity mix in Malta”).
More details can be found in the Calculation rules (chapter 4) and in the User manual (chapter 4).</t>
        </r>
      </text>
    </comment>
    <comment ref="B221" authorId="4" shapeId="0" xr:uid="{00000000-0006-0000-1400-000025000000}">
      <text>
        <r>
          <rPr>
            <sz val="8"/>
            <color indexed="81"/>
            <rFont val="Tahoma"/>
            <family val="2"/>
          </rPr>
          <t>Annualised emissions from carbon stock changes caused by land-use change, e</t>
        </r>
        <r>
          <rPr>
            <sz val="8"/>
            <color indexed="81"/>
            <rFont val="Tahoma"/>
            <family val="2"/>
          </rPr>
          <t>l</t>
        </r>
        <r>
          <rPr>
            <sz val="8"/>
            <color indexed="81"/>
            <rFont val="Tahoma"/>
            <family val="2"/>
          </rPr>
          <t>, shall be calculated by dividing total emissions equally over 20 years. For the calculation of those emissions the following rule shall be applied:
e</t>
        </r>
        <r>
          <rPr>
            <sz val="8"/>
            <color indexed="81"/>
            <rFont val="Tahoma"/>
            <family val="2"/>
          </rPr>
          <t>l</t>
        </r>
        <r>
          <rPr>
            <sz val="8"/>
            <color indexed="81"/>
            <rFont val="Tahoma"/>
            <family val="2"/>
          </rPr>
          <t xml:space="preserve"> = (CS</t>
        </r>
        <r>
          <rPr>
            <sz val="8"/>
            <color indexed="81"/>
            <rFont val="Tahoma"/>
            <family val="2"/>
          </rPr>
          <t>R</t>
        </r>
        <r>
          <rPr>
            <sz val="8"/>
            <color indexed="81"/>
            <rFont val="Tahoma"/>
            <family val="2"/>
          </rPr>
          <t xml:space="preserve"> – CS</t>
        </r>
        <r>
          <rPr>
            <sz val="8"/>
            <color indexed="81"/>
            <rFont val="Tahoma"/>
            <family val="2"/>
          </rPr>
          <t>A</t>
        </r>
        <r>
          <rPr>
            <sz val="8"/>
            <color indexed="81"/>
            <rFont val="Tahoma"/>
            <family val="2"/>
          </rPr>
          <t>) × 3,664 × 1/20 × 1/P – e</t>
        </r>
        <r>
          <rPr>
            <sz val="8"/>
            <color indexed="81"/>
            <rFont val="Tahoma"/>
            <family val="2"/>
          </rPr>
          <t>B</t>
        </r>
        <r>
          <rPr>
            <sz val="8"/>
            <color indexed="81"/>
            <rFont val="Tahoma"/>
            <family val="2"/>
          </rPr>
          <t>(1)</t>
        </r>
        <r>
          <rPr>
            <sz val="8"/>
            <color indexed="81"/>
            <rFont val="Tahoma"/>
            <family val="2"/>
          </rPr>
          <t xml:space="preserve">
where
e</t>
        </r>
        <r>
          <rPr>
            <sz val="8"/>
            <color indexed="81"/>
            <rFont val="Tahoma"/>
            <family val="2"/>
          </rPr>
          <t>l</t>
        </r>
        <r>
          <rPr>
            <sz val="8"/>
            <color indexed="81"/>
            <rFont val="Tahoma"/>
            <family val="2"/>
          </rPr>
          <t xml:space="preserve"> = annualised greenhouse gas emissions from carbon stock change due to land-use change (measured as mass of CO</t>
        </r>
        <r>
          <rPr>
            <sz val="8"/>
            <color indexed="81"/>
            <rFont val="Tahoma"/>
            <family val="2"/>
          </rPr>
          <t>2</t>
        </r>
        <r>
          <rPr>
            <sz val="8"/>
            <color indexed="81"/>
            <rFont val="Tahoma"/>
            <family val="2"/>
          </rPr>
          <t>-equivalent per unit biofuel energy);
CS</t>
        </r>
        <r>
          <rPr>
            <sz val="8"/>
            <color indexed="81"/>
            <rFont val="Tahoma"/>
            <family val="2"/>
          </rPr>
          <t>R</t>
        </r>
        <r>
          <rPr>
            <sz val="8"/>
            <color indexed="81"/>
            <rFont val="Tahoma"/>
            <family val="2"/>
          </rPr>
          <t xml:space="preserve"> = the carbon stock per unit area associated with the reference land use (measured as mass of carbon per unit area, including both soil and vegetation). The reference land use shall be the land use in January 2008 or 20 years before the raw material was obtained, whichever was the later;
CS</t>
        </r>
        <r>
          <rPr>
            <sz val="8"/>
            <color indexed="81"/>
            <rFont val="Tahoma"/>
            <family val="2"/>
          </rPr>
          <t>A</t>
        </r>
        <r>
          <rPr>
            <sz val="8"/>
            <color indexed="81"/>
            <rFont val="Tahoma"/>
            <family val="2"/>
          </rPr>
          <t xml:space="preserve"> =the carbon stock per unit area associated with the actual land use (measured as mass of carbon per unit area, including both soil and vegetation). In cases where the carbon stock accumulates over more than one year, the value attributed to CS</t>
        </r>
        <r>
          <rPr>
            <sz val="8"/>
            <color indexed="81"/>
            <rFont val="Tahoma"/>
            <family val="2"/>
          </rPr>
          <t>A</t>
        </r>
        <r>
          <rPr>
            <sz val="8"/>
            <color indexed="81"/>
            <rFont val="Tahoma"/>
            <family val="2"/>
          </rPr>
          <t xml:space="preserve"> shall be the estimated stock per unit area after 20 years or when the crop reaches maturity, whichever the earlier;
P =the productivity of the crop (measured as biofuel or bioliquid energy per unit area per year); and
e</t>
        </r>
        <r>
          <rPr>
            <sz val="8"/>
            <color indexed="81"/>
            <rFont val="Tahoma"/>
            <family val="2"/>
          </rPr>
          <t>B</t>
        </r>
        <r>
          <rPr>
            <sz val="8"/>
            <color indexed="81"/>
            <rFont val="Tahoma"/>
            <family val="2"/>
          </rPr>
          <t xml:space="preserve"> =bonus of 29 gCO</t>
        </r>
        <r>
          <rPr>
            <sz val="8"/>
            <color indexed="81"/>
            <rFont val="Tahoma"/>
            <family val="2"/>
          </rPr>
          <t>2eq</t>
        </r>
        <r>
          <rPr>
            <sz val="8"/>
            <color indexed="81"/>
            <rFont val="Tahoma"/>
            <family val="2"/>
          </rPr>
          <t>/MJ biofuel or bioliquid if biomass is obtained from restored degraded land under the conditions provided for in point 8.
8.
The bonus of 29 gCO</t>
        </r>
        <r>
          <rPr>
            <sz val="8"/>
            <color indexed="81"/>
            <rFont val="Tahoma"/>
            <family val="2"/>
          </rPr>
          <t>2eq</t>
        </r>
        <r>
          <rPr>
            <sz val="8"/>
            <color indexed="81"/>
            <rFont val="Tahoma"/>
            <family val="2"/>
          </rPr>
          <t>/MJ shall be attributed if evidence is provided that the land:
(a) was not in use for agriculture or any other activity in January 2008; and
(b) falls into one of the following categories:
   (i) severely degraded land, including such land that was formerly in agricultural use;
   (ii) heavily contaminated land.
The bonus of 29 gCO</t>
        </r>
        <r>
          <rPr>
            <sz val="8"/>
            <color indexed="81"/>
            <rFont val="Tahoma"/>
            <family val="2"/>
          </rPr>
          <t>2eq</t>
        </r>
        <r>
          <rPr>
            <sz val="8"/>
            <color indexed="81"/>
            <rFont val="Tahoma"/>
            <family val="2"/>
          </rPr>
          <t>/MJ shall apply for a period of up to 10 years from the date of conversion of the land to agricultural use, provided that a steady increase in carbon stocks as well as a sizable reduction in erosion phenomena for land falling under (i) are ensured and that soil contamination for land falling under (ii) is reduced.
9.
The categories referred to in point 8(b) are defined as follows:
(a) ‘severely degraded land’ means land that, for a significant period of time, has either been significantly salinated or presented significantly low organic matter content and has been severely eroded;
(b) ‘heavily contaminated land’ means land that is unfit for the cultivation of food and feed due to soil contamination.
Such land shall include land that has been the subject of a Commission decision in accordance with the fourth subparagraph of Article 18(4).</t>
        </r>
        <r>
          <rPr>
            <sz val="8"/>
            <color indexed="81"/>
            <rFont val="Tahoma"/>
            <family val="2"/>
          </rPr>
          <t xml:space="preserve">
</t>
        </r>
        <r>
          <rPr>
            <sz val="8"/>
            <color indexed="81"/>
            <rFont val="Tahoma"/>
            <family val="2"/>
          </rPr>
          <t xml:space="preserve">
</t>
        </r>
        <r>
          <rPr>
            <sz val="8"/>
            <color indexed="81"/>
            <rFont val="Tahoma"/>
            <family val="2"/>
          </rPr>
          <t>(1)</t>
        </r>
        <r>
          <rPr>
            <sz val="8"/>
            <color indexed="81"/>
            <rFont val="Tahoma"/>
            <family val="2"/>
          </rPr>
          <t xml:space="preserve"> </t>
        </r>
        <r>
          <rPr>
            <sz val="8"/>
            <color indexed="81"/>
            <rFont val="Tahoma"/>
            <family val="2"/>
          </rPr>
          <t xml:space="preserve"> The quotient obtained by dividing the molecular weight of CO</t>
        </r>
        <r>
          <rPr>
            <sz val="8"/>
            <color indexed="81"/>
            <rFont val="Tahoma"/>
            <family val="2"/>
          </rPr>
          <t>2</t>
        </r>
        <r>
          <rPr>
            <sz val="8"/>
            <color indexed="81"/>
            <rFont val="Tahoma"/>
            <family val="2"/>
          </rPr>
          <t xml:space="preserve"> (44,010 g/mol) by the molecular weight of carbon (12,011 g/mol) is equal to 3,664.</t>
        </r>
      </text>
    </comment>
    <comment ref="C231" authorId="4" shapeId="0" xr:uid="{00000000-0006-0000-1400-000026000000}">
      <text>
        <r>
          <rPr>
            <sz val="8"/>
            <color indexed="81"/>
            <rFont val="Tahoma"/>
            <family val="2"/>
          </rPr>
          <t xml:space="preserve">
8.
The bonus of 29 gCO2eq/MJ shall be attributed if evidence is provided that the land:
(a) was not in use for agriculture or any other activity in January 2008; and
(b) falls into one of the following categories:
   (i) severely degraded land, including such land that was formerly in agricultural use;
   (ii) heavily contaminated land.
The bonus of 29 gCO2eq/MJ shall apply for a period of up to 10 years from the date of conversion of the land to agricultural use, provided that a steady increase in carbon stocks as well as a sizable reduction in erosion phenomena for land falling under (i) are ensured and that soil contamination for land falling under (ii) is reduced.
9.
The categories referred to in point 8(b) are defined as follows:
(a) ‘severely degraded land’ means land that, for a significant period of time, has either been significantly salinated or presented significantly low organic matter content and has been severely eroded;
(b) ‘heavily contaminated land’ means land that is unfit for the cultivation of food and feed due to soil contamination.
Such land shall include land that has been the subject of a Commission decision in accordance with the fourth subparagraph of Article 18(4).</t>
        </r>
      </text>
    </comment>
    <comment ref="C253" authorId="4" shapeId="0" xr:uid="{00000000-0006-0000-1400-000027000000}">
      <text>
        <r>
          <rPr>
            <sz val="8"/>
            <color indexed="81"/>
            <rFont val="Tahoma"/>
            <family val="2"/>
          </rPr>
          <t>Emission saving from carbon capture and replacement, e</t>
        </r>
        <r>
          <rPr>
            <sz val="8"/>
            <color indexed="81"/>
            <rFont val="Tahoma"/>
            <family val="2"/>
          </rPr>
          <t>ccr</t>
        </r>
        <r>
          <rPr>
            <sz val="8"/>
            <color indexed="81"/>
            <rFont val="Tahoma"/>
            <family val="2"/>
          </rPr>
          <t>, shall be limited to emissions avoided through the capture of CO</t>
        </r>
        <r>
          <rPr>
            <sz val="8"/>
            <color indexed="81"/>
            <rFont val="Tahoma"/>
            <family val="2"/>
          </rPr>
          <t>2</t>
        </r>
        <r>
          <rPr>
            <sz val="8"/>
            <color indexed="81"/>
            <rFont val="Tahoma"/>
            <family val="2"/>
          </rPr>
          <t xml:space="preserve"> of which the carbon originates from biomass and which is used to replace fossil-derived CO</t>
        </r>
        <r>
          <rPr>
            <sz val="8"/>
            <color indexed="81"/>
            <rFont val="Tahoma"/>
            <family val="2"/>
          </rPr>
          <t>2</t>
        </r>
        <r>
          <rPr>
            <sz val="8"/>
            <color indexed="81"/>
            <rFont val="Tahoma"/>
            <family val="2"/>
          </rPr>
          <t xml:space="preserve"> used in commercial products and services.</t>
        </r>
      </text>
    </comment>
    <comment ref="C259" authorId="4" shapeId="0" xr:uid="{00000000-0006-0000-1400-000028000000}">
      <text>
        <r>
          <rPr>
            <sz val="8"/>
            <color indexed="81"/>
            <rFont val="Tahoma"/>
            <family val="2"/>
          </rPr>
          <t>Emission saving from carbon capture and geological storage e</t>
        </r>
        <r>
          <rPr>
            <sz val="8"/>
            <color indexed="81"/>
            <rFont val="Tahoma"/>
            <family val="2"/>
          </rPr>
          <t>ccs</t>
        </r>
        <r>
          <rPr>
            <sz val="8"/>
            <color indexed="81"/>
            <rFont val="Tahoma"/>
            <family val="2"/>
          </rPr>
          <t>, that have not already been accounted for in e</t>
        </r>
        <r>
          <rPr>
            <sz val="8"/>
            <color indexed="81"/>
            <rFont val="Tahoma"/>
            <family val="2"/>
          </rPr>
          <t>p</t>
        </r>
        <r>
          <rPr>
            <sz val="8"/>
            <color indexed="81"/>
            <rFont val="Tahoma"/>
            <family val="2"/>
          </rPr>
          <t>, shall be limited to emissions avoided through the capture and sequestration of emitted CO</t>
        </r>
        <r>
          <rPr>
            <sz val="8"/>
            <color indexed="81"/>
            <rFont val="Tahoma"/>
            <family val="2"/>
          </rPr>
          <t>2</t>
        </r>
        <r>
          <rPr>
            <sz val="8"/>
            <color indexed="81"/>
            <rFont val="Tahoma"/>
            <family val="2"/>
          </rPr>
          <t xml:space="preserve"> directly related to the extraction, transport, processing and distribution of fuel.</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neeft</author>
    <author>ahennecke</author>
    <author>Neeft, dr. J.P.A. (John)</author>
    <author>ludwiczekn</author>
    <author>sbu</author>
  </authors>
  <commentList>
    <comment ref="H7" authorId="0" shapeId="0" xr:uid="{00000000-0006-0000-1500-000001000000}">
      <text>
        <r>
          <rPr>
            <sz val="8"/>
            <color indexed="81"/>
            <rFont val="Tahoma"/>
            <family val="2"/>
          </rPr>
          <t>This value is not listed in the RED. 
It has been calculated on the basis of the JEC input, as is explained in "About"</t>
        </r>
      </text>
    </comment>
    <comment ref="H8" authorId="0" shapeId="0" xr:uid="{00000000-0006-0000-1500-000002000000}">
      <text>
        <r>
          <rPr>
            <sz val="8"/>
            <color indexed="81"/>
            <rFont val="Tahoma"/>
            <family val="2"/>
          </rPr>
          <t>This value is not listed in the RED. 
It has been calculated on the basis of the JEC input, as is explained in "About"</t>
        </r>
      </text>
    </comment>
    <comment ref="H10" authorId="0" shapeId="0" xr:uid="{00000000-0006-0000-1500-000003000000}">
      <text>
        <r>
          <rPr>
            <sz val="8"/>
            <color indexed="81"/>
            <rFont val="Tahoma"/>
            <family val="2"/>
          </rPr>
          <t>This value is not listed in the RED. 
It has been calculated on the basis of the JEC input, as is explained in "About"</t>
        </r>
      </text>
    </comment>
    <comment ref="H11" authorId="0" shapeId="0" xr:uid="{00000000-0006-0000-1500-000004000000}">
      <text>
        <r>
          <rPr>
            <sz val="8"/>
            <color indexed="81"/>
            <rFont val="Tahoma"/>
            <family val="2"/>
          </rPr>
          <t>This value is not listed in the RED. 
It has been calculated on the basis of the JEC input, as is explained in "About"</t>
        </r>
      </text>
    </comment>
    <comment ref="H14" authorId="0" shapeId="0" xr:uid="{00000000-0006-0000-1500-000005000000}">
      <text>
        <r>
          <rPr>
            <sz val="8"/>
            <color indexed="81"/>
            <rFont val="Tahoma"/>
            <family val="2"/>
          </rPr>
          <t>This value is not listed in the RED. 
It has been calculated on the basis of the JEC input, as is explained in "About"</t>
        </r>
      </text>
    </comment>
    <comment ref="H15" authorId="1" shapeId="0" xr:uid="{00000000-0006-0000-1500-000006000000}">
      <text>
        <r>
          <rPr>
            <sz val="8"/>
            <color indexed="81"/>
            <rFont val="Tahoma"/>
            <family val="2"/>
          </rPr>
          <t>This value is not listed in the RED. 
It has been calculated on the basis of the JEC input, as is explained in "About"</t>
        </r>
      </text>
    </comment>
    <comment ref="H17" authorId="0" shapeId="0" xr:uid="{00000000-0006-0000-1500-000007000000}">
      <text>
        <r>
          <rPr>
            <sz val="8"/>
            <color indexed="81"/>
            <rFont val="Tahoma"/>
            <family val="2"/>
          </rPr>
          <t>This value is not listed in the RED. 
It has been calculated on the basis of the JEC input, as is explained in "About"</t>
        </r>
      </text>
    </comment>
    <comment ref="H18" authorId="0" shapeId="0" xr:uid="{00000000-0006-0000-1500-000008000000}">
      <text>
        <r>
          <rPr>
            <sz val="8"/>
            <color indexed="81"/>
            <rFont val="Tahoma"/>
            <family val="2"/>
          </rPr>
          <t>This value is not listed in the RED. 
It has been calculated on the basis of the JEC input, as is explained in "About"</t>
        </r>
      </text>
    </comment>
    <comment ref="B63" authorId="2" shapeId="0" xr:uid="{00000000-0006-0000-1500-000009000000}">
      <text>
        <r>
          <rPr>
            <b/>
            <sz val="8"/>
            <color indexed="81"/>
            <rFont val="Tahoma"/>
            <family val="2"/>
          </rPr>
          <t>Electricity mix</t>
        </r>
        <r>
          <rPr>
            <sz val="8"/>
            <color indexed="81"/>
            <rFont val="Tahoma"/>
            <family val="2"/>
          </rPr>
          <t xml:space="preserve">
When making an actual calculation,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B85" authorId="3" shapeId="0" xr:uid="{00000000-0006-0000-1500-00000A000000}">
      <text>
        <r>
          <rPr>
            <sz val="8"/>
            <color indexed="81"/>
            <rFont val="Tahoma"/>
            <family val="2"/>
          </rPr>
          <t>To be further specified - give GHG emission coefficients for fuel used (e.g. fibres) in "user defined standard values"</t>
        </r>
      </text>
    </comment>
    <comment ref="C89" authorId="0" shapeId="0" xr:uid="{00000000-0006-0000-1500-00000B000000}">
      <text>
        <r>
          <rPr>
            <sz val="8"/>
            <color indexed="81"/>
            <rFont val="Tahoma"/>
            <family val="2"/>
          </rPr>
          <t>Positive number indicates net consumption, negative number indicares net production</t>
        </r>
      </text>
    </comment>
    <comment ref="B90" authorId="3" shapeId="0" xr:uid="{00000000-0006-0000-1500-00000C000000}">
      <text>
        <r>
          <rPr>
            <sz val="8"/>
            <color indexed="81"/>
            <rFont val="Tahoma"/>
            <family val="2"/>
          </rPr>
          <t>To be further specified - give GHG emission coefficients for fuel used (e.g. fibres) in "user defined standard values"</t>
        </r>
      </text>
    </comment>
    <comment ref="B121" authorId="2" shapeId="0" xr:uid="{00000000-0006-0000-1500-00000D000000}">
      <text>
        <r>
          <rPr>
            <b/>
            <sz val="8"/>
            <color indexed="81"/>
            <rFont val="Tahoma"/>
            <family val="2"/>
          </rPr>
          <t>Electricity mix</t>
        </r>
        <r>
          <rPr>
            <sz val="8"/>
            <color indexed="81"/>
            <rFont val="Tahoma"/>
            <family val="2"/>
          </rPr>
          <t xml:space="preserve">
When making an actual calculation,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B123" authorId="2" shapeId="0" xr:uid="{00000000-0006-0000-1500-00000E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123" authorId="0" shapeId="0" xr:uid="{00000000-0006-0000-1500-00000F000000}">
      <text>
        <r>
          <rPr>
            <b/>
            <sz val="8"/>
            <color indexed="81"/>
            <rFont val="Tahoma"/>
            <family val="2"/>
          </rPr>
          <t>Electricity mix</t>
        </r>
        <r>
          <rPr>
            <sz val="8"/>
            <color indexed="81"/>
            <rFont val="Tahoma"/>
            <family val="2"/>
          </rPr>
          <t xml:space="preserve">
When making an actual calculation, the use of the input "Electricity EU mix LV" is not allowed. Use the electricity mix from the country in which the electricity is taken from the grid, by defining this mix in the list of additional standard values (following the example for “Average electricity mix in Malta”) and replacing “Electricity EU mix LV” in row B of this sheet by the name corresponding to the correct mix (for instance “Average electricity mix in Malta”).
More details can be found in the Calculation rules (chapter 4) and in the User manual (chapter 4).</t>
        </r>
      </text>
    </comment>
    <comment ref="B134" authorId="2" shapeId="0" xr:uid="{00000000-0006-0000-1500-000010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134" authorId="0" shapeId="0" xr:uid="{00000000-0006-0000-1500-000011000000}">
      <text>
        <r>
          <rPr>
            <sz val="8"/>
            <color indexed="81"/>
            <rFont val="Tahoma"/>
            <family val="2"/>
          </rPr>
          <t xml:space="preserve">Factor 1,4 is to convert "typical value" into "default value.
</t>
        </r>
        <r>
          <rPr>
            <b/>
            <sz val="8"/>
            <color indexed="81"/>
            <rFont val="Tahoma"/>
            <family val="2"/>
          </rPr>
          <t>Electricity mix</t>
        </r>
        <r>
          <rPr>
            <sz val="8"/>
            <color indexed="81"/>
            <rFont val="Tahoma"/>
            <family val="2"/>
          </rPr>
          <t xml:space="preserve">
When making an actual calculation, the use of the input "Electricity EU mix MV" is not allowed. Use the electricity mix from the country in which the electricity is taken from the grid, by defining this mix in the list of additional standard values (following the example for “Average electricity mix in Malta”) and replacing “Electricity EU mix MV” in row B of this sheet by the name corresponding to the correct mix (for instance “Average electricity mix in Malta”).
More details can be found in the Calculation rules (chapter 4) and in the User manual (chapter 4).</t>
        </r>
      </text>
    </comment>
    <comment ref="C135" authorId="0" shapeId="0" xr:uid="{00000000-0006-0000-1500-000012000000}">
      <text>
        <r>
          <rPr>
            <sz val="8"/>
            <color indexed="81"/>
            <rFont val="Tahoma"/>
            <family val="2"/>
          </rPr>
          <t>Factor 1,4 is to convert "typical value" into "default value</t>
        </r>
      </text>
    </comment>
    <comment ref="B141" authorId="2" shapeId="0" xr:uid="{00000000-0006-0000-1500-000013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141" authorId="0" shapeId="0" xr:uid="{00000000-0006-0000-1500-000014000000}">
      <text>
        <r>
          <rPr>
            <b/>
            <sz val="8"/>
            <color indexed="81"/>
            <rFont val="Tahoma"/>
            <family val="2"/>
          </rPr>
          <t>Electricity mix</t>
        </r>
        <r>
          <rPr>
            <sz val="8"/>
            <color indexed="81"/>
            <rFont val="Tahoma"/>
            <family val="2"/>
          </rPr>
          <t xml:space="preserve">
When making an actual calculation, the use of the input "Electricity EU mix MV" is not allowed. Use the electricity mix from the country in which the electricity is taken from the grid, by defining this mix in the list of additional standard values (following the example for “Average electricity mix in Malta”) and replacing “Electricity EU mix MV” in row B of this sheet by the name corresponding to the correct mix (for instance “Average electricity mix in Malta”).
More details can be found in the Calculation rules (chapter 4) and in the User manual (chapter 4).
</t>
        </r>
      </text>
    </comment>
    <comment ref="C144" authorId="0" shapeId="0" xr:uid="{00000000-0006-0000-1500-000015000000}">
      <text>
        <r>
          <rPr>
            <sz val="8"/>
            <color indexed="81"/>
            <rFont val="Tahoma"/>
            <family val="2"/>
          </rPr>
          <t>Factor 1,4 is to convert "typical value" into "default value</t>
        </r>
      </text>
    </comment>
    <comment ref="B166" authorId="2" shapeId="0" xr:uid="{00000000-0006-0000-1500-000016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166" authorId="0" shapeId="0" xr:uid="{00000000-0006-0000-1500-000017000000}">
      <text>
        <r>
          <rPr>
            <sz val="8"/>
            <color indexed="81"/>
            <rFont val="Tahoma"/>
            <family val="2"/>
          </rPr>
          <t xml:space="preserve">Factor 1,4 is to convert "typical value" into "default value.
</t>
        </r>
        <r>
          <rPr>
            <b/>
            <sz val="8"/>
            <color indexed="81"/>
            <rFont val="Tahoma"/>
            <family val="2"/>
          </rPr>
          <t>Electricity mix</t>
        </r>
        <r>
          <rPr>
            <sz val="8"/>
            <color indexed="81"/>
            <rFont val="Tahoma"/>
            <family val="2"/>
          </rPr>
          <t xml:space="preserve">
When making an actual calculation, the use of the input "Electricity EU mix MV" is not allowed. Use the electricity mix from the country in which the electricity is taken from the grid, by defining this mix in the list of additional standard values (following the example for “Average electricity mix in Malta”) and replacing “Electricity EU mix MV” in row B of this sheet by the name corresponding to the correct mix (for instance “Average electricity mix in Malta”).
More details can be found in the Calculation rules (chapter 4) and in the User manual (chapter 4).</t>
        </r>
      </text>
    </comment>
    <comment ref="C167" authorId="0" shapeId="0" xr:uid="{00000000-0006-0000-1500-000018000000}">
      <text>
        <r>
          <rPr>
            <sz val="8"/>
            <color indexed="81"/>
            <rFont val="Tahoma"/>
            <family val="2"/>
          </rPr>
          <t>Factor 1,4 is to convert "typical value" into "default value</t>
        </r>
      </text>
    </comment>
    <comment ref="B173" authorId="2" shapeId="0" xr:uid="{00000000-0006-0000-1500-000019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173" authorId="0" shapeId="0" xr:uid="{00000000-0006-0000-1500-00001A000000}">
      <text>
        <r>
          <rPr>
            <b/>
            <sz val="8"/>
            <color indexed="81"/>
            <rFont val="Tahoma"/>
            <family val="2"/>
          </rPr>
          <t>Electricity mix</t>
        </r>
        <r>
          <rPr>
            <sz val="8"/>
            <color indexed="81"/>
            <rFont val="Tahoma"/>
            <family val="2"/>
          </rPr>
          <t xml:space="preserve">
When making an actual calculation, the use of the input "Electricity EU mix MV" is not allowed. Use the electricity mix from the country in which the electricity is taken from the grid, by defining this mix in the list of additional standard values (following the example for “Average electricity mix in Malta”) and replacing “Electricity EU mix MV” in row B of this sheet by the name corresponding to the correct mix (for instance “Average electricity mix in Malta”).
More details can be found in the Calculation rules (chapter 4) and in the User manual (chapter 4).
</t>
        </r>
      </text>
    </comment>
    <comment ref="C176" authorId="0" shapeId="0" xr:uid="{00000000-0006-0000-1500-00001B000000}">
      <text>
        <r>
          <rPr>
            <sz val="8"/>
            <color indexed="81"/>
            <rFont val="Tahoma"/>
            <family val="2"/>
          </rPr>
          <t>Factor 1,4 is to convert "typical value" into "default value</t>
        </r>
      </text>
    </comment>
    <comment ref="C177" authorId="0" shapeId="0" xr:uid="{00000000-0006-0000-1500-00001C000000}">
      <text>
        <r>
          <rPr>
            <sz val="8"/>
            <color indexed="81"/>
            <rFont val="Tahoma"/>
            <family val="2"/>
          </rPr>
          <t>Factor 1,4 is to convert "typical value" into "default value</t>
        </r>
      </text>
    </comment>
    <comment ref="C178" authorId="0" shapeId="0" xr:uid="{00000000-0006-0000-1500-00001D000000}">
      <text>
        <r>
          <rPr>
            <sz val="8"/>
            <color indexed="81"/>
            <rFont val="Tahoma"/>
            <family val="2"/>
          </rPr>
          <t>Factor 1,4 is to convert "typical value" into "default value</t>
        </r>
      </text>
    </comment>
    <comment ref="C179" authorId="0" shapeId="0" xr:uid="{00000000-0006-0000-1500-00001E000000}">
      <text>
        <r>
          <rPr>
            <sz val="8"/>
            <color indexed="81"/>
            <rFont val="Tahoma"/>
            <family val="2"/>
          </rPr>
          <t>Factor 1,4 is to convert "typical value" into "default value</t>
        </r>
      </text>
    </comment>
    <comment ref="C180" authorId="0" shapeId="0" xr:uid="{00000000-0006-0000-1500-00001F000000}">
      <text>
        <r>
          <rPr>
            <sz val="8"/>
            <color indexed="81"/>
            <rFont val="Tahoma"/>
            <family val="2"/>
          </rPr>
          <t>Factor 1,4 is to convert "typical value" into "default value</t>
        </r>
      </text>
    </comment>
    <comment ref="B203" authorId="2" shapeId="0" xr:uid="{00000000-0006-0000-1500-000020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203" authorId="0" shapeId="0" xr:uid="{00000000-0006-0000-1500-000021000000}">
      <text>
        <r>
          <rPr>
            <b/>
            <sz val="8"/>
            <color indexed="81"/>
            <rFont val="Tahoma"/>
            <family val="2"/>
          </rPr>
          <t>Electricity mix</t>
        </r>
        <r>
          <rPr>
            <sz val="8"/>
            <color indexed="81"/>
            <rFont val="Tahoma"/>
            <family val="2"/>
          </rPr>
          <t xml:space="preserve">
When making an actual calculation, the use of the input "Electricity EU mix LV" is not allowed. Use the electricity mix from the country in which the electricity is taken from the grid, by defining this mix in the list of additional standard values (following the example for “Average electricity mix in Malta”) and replacing “Electricity EU mix LV” in row B of this sheet by the name corresponding to the correct mix (for instance “Average electricity mix in Malta”).
More details can be found in the Calculation rules (chapter 4) and in the User manual (chapter 4).</t>
        </r>
      </text>
    </comment>
    <comment ref="B215" authorId="2" shapeId="0" xr:uid="{00000000-0006-0000-1500-000022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215" authorId="0" shapeId="0" xr:uid="{00000000-0006-0000-1500-000023000000}">
      <text>
        <r>
          <rPr>
            <b/>
            <sz val="8"/>
            <color indexed="81"/>
            <rFont val="Tahoma"/>
            <family val="2"/>
          </rPr>
          <t>Electricity mix</t>
        </r>
        <r>
          <rPr>
            <sz val="8"/>
            <color indexed="81"/>
            <rFont val="Tahoma"/>
            <family val="2"/>
          </rPr>
          <t xml:space="preserve">
When making an actual calculation, the use of the input "Electricity EU mix LV" is only allowed when the starting values in this step are kept.
When changing the starting values, use the electricity mix from the country in which the electricity is taken from the grid, by defining this mix in the list of additional standard values (following the example for “Average electricity mix in Malta”) and replacing “Electricity EU mix LV” in row B of this sheet by the name corresponding to the correct mix (for instance “Average electricity mix in Malta”).
More details can be found in the Calculation rules (chapter 4) and in the User manual (chapter 4).</t>
        </r>
      </text>
    </comment>
    <comment ref="B220" authorId="4" shapeId="0" xr:uid="{00000000-0006-0000-1500-000024000000}">
      <text>
        <r>
          <rPr>
            <sz val="8"/>
            <color indexed="81"/>
            <rFont val="Tahoma"/>
            <family val="2"/>
          </rPr>
          <t>Annualised emissions from carbon stock changes caused by land-use change, e</t>
        </r>
        <r>
          <rPr>
            <sz val="8"/>
            <color indexed="81"/>
            <rFont val="Tahoma"/>
            <family val="2"/>
          </rPr>
          <t>l</t>
        </r>
        <r>
          <rPr>
            <sz val="8"/>
            <color indexed="81"/>
            <rFont val="Tahoma"/>
            <family val="2"/>
          </rPr>
          <t>, shall be calculated by dividing total emissions equally over 20 years. For the calculation of those emissions the following rule shall be applied:
e</t>
        </r>
        <r>
          <rPr>
            <sz val="8"/>
            <color indexed="81"/>
            <rFont val="Tahoma"/>
            <family val="2"/>
          </rPr>
          <t>l</t>
        </r>
        <r>
          <rPr>
            <sz val="8"/>
            <color indexed="81"/>
            <rFont val="Tahoma"/>
            <family val="2"/>
          </rPr>
          <t xml:space="preserve"> = (CS</t>
        </r>
        <r>
          <rPr>
            <sz val="8"/>
            <color indexed="81"/>
            <rFont val="Tahoma"/>
            <family val="2"/>
          </rPr>
          <t>R</t>
        </r>
        <r>
          <rPr>
            <sz val="8"/>
            <color indexed="81"/>
            <rFont val="Tahoma"/>
            <family val="2"/>
          </rPr>
          <t xml:space="preserve"> – CS</t>
        </r>
        <r>
          <rPr>
            <sz val="8"/>
            <color indexed="81"/>
            <rFont val="Tahoma"/>
            <family val="2"/>
          </rPr>
          <t>A</t>
        </r>
        <r>
          <rPr>
            <sz val="8"/>
            <color indexed="81"/>
            <rFont val="Tahoma"/>
            <family val="2"/>
          </rPr>
          <t>) × 3,664 × 1/20 × 1/P – e</t>
        </r>
        <r>
          <rPr>
            <sz val="8"/>
            <color indexed="81"/>
            <rFont val="Tahoma"/>
            <family val="2"/>
          </rPr>
          <t>B</t>
        </r>
        <r>
          <rPr>
            <sz val="8"/>
            <color indexed="81"/>
            <rFont val="Tahoma"/>
            <family val="2"/>
          </rPr>
          <t>(1)</t>
        </r>
        <r>
          <rPr>
            <sz val="8"/>
            <color indexed="81"/>
            <rFont val="Tahoma"/>
            <family val="2"/>
          </rPr>
          <t xml:space="preserve">
where
e</t>
        </r>
        <r>
          <rPr>
            <sz val="8"/>
            <color indexed="81"/>
            <rFont val="Tahoma"/>
            <family val="2"/>
          </rPr>
          <t>l</t>
        </r>
        <r>
          <rPr>
            <sz val="8"/>
            <color indexed="81"/>
            <rFont val="Tahoma"/>
            <family val="2"/>
          </rPr>
          <t xml:space="preserve"> = annualised greenhouse gas emissions from carbon stock change due to land-use change (measured as mass of CO</t>
        </r>
        <r>
          <rPr>
            <sz val="8"/>
            <color indexed="81"/>
            <rFont val="Tahoma"/>
            <family val="2"/>
          </rPr>
          <t>2</t>
        </r>
        <r>
          <rPr>
            <sz val="8"/>
            <color indexed="81"/>
            <rFont val="Tahoma"/>
            <family val="2"/>
          </rPr>
          <t>-equivalent per unit biofuel energy);
CS</t>
        </r>
        <r>
          <rPr>
            <sz val="8"/>
            <color indexed="81"/>
            <rFont val="Tahoma"/>
            <family val="2"/>
          </rPr>
          <t>R</t>
        </r>
        <r>
          <rPr>
            <sz val="8"/>
            <color indexed="81"/>
            <rFont val="Tahoma"/>
            <family val="2"/>
          </rPr>
          <t xml:space="preserve"> = the carbon stock per unit area associated with the reference land use (measured as mass of carbon per unit area, including both soil and vegetation). The reference land use shall be the land use in January 2008 or 20 years before the raw material was obtained, whichever was the later;
CS</t>
        </r>
        <r>
          <rPr>
            <sz val="8"/>
            <color indexed="81"/>
            <rFont val="Tahoma"/>
            <family val="2"/>
          </rPr>
          <t>A</t>
        </r>
        <r>
          <rPr>
            <sz val="8"/>
            <color indexed="81"/>
            <rFont val="Tahoma"/>
            <family val="2"/>
          </rPr>
          <t xml:space="preserve"> =the carbon stock per unit area associated with the actual land use (measured as mass of carbon per unit area, including both soil and vegetation). In cases where the carbon stock accumulates over more than one year, the value attributed to CS</t>
        </r>
        <r>
          <rPr>
            <sz val="8"/>
            <color indexed="81"/>
            <rFont val="Tahoma"/>
            <family val="2"/>
          </rPr>
          <t>A</t>
        </r>
        <r>
          <rPr>
            <sz val="8"/>
            <color indexed="81"/>
            <rFont val="Tahoma"/>
            <family val="2"/>
          </rPr>
          <t xml:space="preserve"> shall be the estimated stock per unit area after 20 years or when the crop reaches maturity, whichever the earlier;
P =the productivity of the crop (measured as biofuel or bioliquid energy per unit area per year); and
e</t>
        </r>
        <r>
          <rPr>
            <sz val="8"/>
            <color indexed="81"/>
            <rFont val="Tahoma"/>
            <family val="2"/>
          </rPr>
          <t>B</t>
        </r>
        <r>
          <rPr>
            <sz val="8"/>
            <color indexed="81"/>
            <rFont val="Tahoma"/>
            <family val="2"/>
          </rPr>
          <t xml:space="preserve"> =bonus of 29 gCO</t>
        </r>
        <r>
          <rPr>
            <sz val="8"/>
            <color indexed="81"/>
            <rFont val="Tahoma"/>
            <family val="2"/>
          </rPr>
          <t>2eq</t>
        </r>
        <r>
          <rPr>
            <sz val="8"/>
            <color indexed="81"/>
            <rFont val="Tahoma"/>
            <family val="2"/>
          </rPr>
          <t>/MJ biofuel or bioliquid if biomass is obtained from restored degraded land under the conditions provided for in point 8.
8.
The bonus of 29 gCO</t>
        </r>
        <r>
          <rPr>
            <sz val="8"/>
            <color indexed="81"/>
            <rFont val="Tahoma"/>
            <family val="2"/>
          </rPr>
          <t>2eq</t>
        </r>
        <r>
          <rPr>
            <sz val="8"/>
            <color indexed="81"/>
            <rFont val="Tahoma"/>
            <family val="2"/>
          </rPr>
          <t>/MJ shall be attributed if evidence is provided that the land:
(a) was not in use for agriculture or any other activity in January 2008; and
(b) falls into one of the following categories:
   (i) severely degraded land, including such land that was formerly in agricultural use;
   (ii) heavily contaminated land.
The bonus of 29 gCO</t>
        </r>
        <r>
          <rPr>
            <sz val="8"/>
            <color indexed="81"/>
            <rFont val="Tahoma"/>
            <family val="2"/>
          </rPr>
          <t>2eq</t>
        </r>
        <r>
          <rPr>
            <sz val="8"/>
            <color indexed="81"/>
            <rFont val="Tahoma"/>
            <family val="2"/>
          </rPr>
          <t>/MJ shall apply for a period of up to 10 years from the date of conversion of the land to agricultural use, provided that a steady increase in carbon stocks as well as a sizable reduction in erosion phenomena for land falling under (i) are ensured and that soil contamination for land falling under (ii) is reduced.
9.
The categories referred to in point 8(b) are defined as follows:
(a) ‘severely degraded land’ means land that, for a significant period of time, has either been significantly salinated or presented significantly low organic matter content and has been severely eroded;
(b) ‘heavily contaminated land’ means land that is unfit for the cultivation of food and feed due to soil contamination.
Such land shall include land that has been the subject of a Commission decision in accordance with the fourth subparagraph of Article 18(4).</t>
        </r>
        <r>
          <rPr>
            <sz val="8"/>
            <color indexed="81"/>
            <rFont val="Tahoma"/>
            <family val="2"/>
          </rPr>
          <t xml:space="preserve">
</t>
        </r>
        <r>
          <rPr>
            <sz val="8"/>
            <color indexed="81"/>
            <rFont val="Tahoma"/>
            <family val="2"/>
          </rPr>
          <t xml:space="preserve">
</t>
        </r>
        <r>
          <rPr>
            <sz val="8"/>
            <color indexed="81"/>
            <rFont val="Tahoma"/>
            <family val="2"/>
          </rPr>
          <t>(1)</t>
        </r>
        <r>
          <rPr>
            <sz val="8"/>
            <color indexed="81"/>
            <rFont val="Tahoma"/>
            <family val="2"/>
          </rPr>
          <t xml:space="preserve"> </t>
        </r>
        <r>
          <rPr>
            <sz val="8"/>
            <color indexed="81"/>
            <rFont val="Tahoma"/>
            <family val="2"/>
          </rPr>
          <t xml:space="preserve"> The quotient obtained by dividing the molecular weight of CO</t>
        </r>
        <r>
          <rPr>
            <sz val="8"/>
            <color indexed="81"/>
            <rFont val="Tahoma"/>
            <family val="2"/>
          </rPr>
          <t>2</t>
        </r>
        <r>
          <rPr>
            <sz val="8"/>
            <color indexed="81"/>
            <rFont val="Tahoma"/>
            <family val="2"/>
          </rPr>
          <t xml:space="preserve"> (44,010 g/mol) by the molecular weight of carbon (12,011 g/mol) is equal to 3,664.</t>
        </r>
      </text>
    </comment>
    <comment ref="C230" authorId="4" shapeId="0" xr:uid="{00000000-0006-0000-1500-000025000000}">
      <text>
        <r>
          <rPr>
            <sz val="8"/>
            <color indexed="81"/>
            <rFont val="Tahoma"/>
            <family val="2"/>
          </rPr>
          <t xml:space="preserve">
8.
The bonus of 29 gCO2eq/MJ shall be attributed if evidence is provided that the land:
(a) was not in use for agriculture or any other activity in January 2008; and
(b) falls into one of the following categories:
   (i) severely degraded land, including such land that was formerly in agricultural use;
   (ii) heavily contaminated land.
The bonus of 29 gCO2eq/MJ shall apply for a period of up to 10 years from the date of conversion of the land to agricultural use, provided that a steady increase in carbon stocks as well as a sizable reduction in erosion phenomena for land falling under (i) are ensured and that soil contamination for land falling under (ii) is reduced.
9.
The categories referred to in point 8(b) are defined as follows:
(a) ‘severely degraded land’ means land that, for a significant period of time, has either been significantly salinated or presented significantly low organic matter content and has been severely eroded;
(b) ‘heavily contaminated land’ means land that is unfit for the cultivation of food and feed due to soil contamination.
Such land shall include land that has been the subject of a Commission decision in accordance with the fourth subparagraph of Article 18(4).</t>
        </r>
      </text>
    </comment>
    <comment ref="C252" authorId="4" shapeId="0" xr:uid="{00000000-0006-0000-1500-000026000000}">
      <text>
        <r>
          <rPr>
            <sz val="8"/>
            <color indexed="81"/>
            <rFont val="Tahoma"/>
            <family val="2"/>
          </rPr>
          <t>Emission saving from carbon capture and replacement, e</t>
        </r>
        <r>
          <rPr>
            <sz val="8"/>
            <color indexed="81"/>
            <rFont val="Tahoma"/>
            <family val="2"/>
          </rPr>
          <t>ccr</t>
        </r>
        <r>
          <rPr>
            <sz val="8"/>
            <color indexed="81"/>
            <rFont val="Tahoma"/>
            <family val="2"/>
          </rPr>
          <t>, shall be limited to emissions avoided through the capture of CO</t>
        </r>
        <r>
          <rPr>
            <sz val="8"/>
            <color indexed="81"/>
            <rFont val="Tahoma"/>
            <family val="2"/>
          </rPr>
          <t>2</t>
        </r>
        <r>
          <rPr>
            <sz val="8"/>
            <color indexed="81"/>
            <rFont val="Tahoma"/>
            <family val="2"/>
          </rPr>
          <t xml:space="preserve"> of which the carbon originates from biomass and which is used to replace fossil-derived CO</t>
        </r>
        <r>
          <rPr>
            <sz val="8"/>
            <color indexed="81"/>
            <rFont val="Tahoma"/>
            <family val="2"/>
          </rPr>
          <t>2</t>
        </r>
        <r>
          <rPr>
            <sz val="8"/>
            <color indexed="81"/>
            <rFont val="Tahoma"/>
            <family val="2"/>
          </rPr>
          <t xml:space="preserve"> used in commercial products and services.</t>
        </r>
      </text>
    </comment>
    <comment ref="C258" authorId="4" shapeId="0" xr:uid="{00000000-0006-0000-1500-000027000000}">
      <text>
        <r>
          <rPr>
            <sz val="8"/>
            <color indexed="81"/>
            <rFont val="Tahoma"/>
            <family val="2"/>
          </rPr>
          <t>Emission saving from carbon capture and geological storage e</t>
        </r>
        <r>
          <rPr>
            <sz val="8"/>
            <color indexed="81"/>
            <rFont val="Tahoma"/>
            <family val="2"/>
          </rPr>
          <t>ccs</t>
        </r>
        <r>
          <rPr>
            <sz val="8"/>
            <color indexed="81"/>
            <rFont val="Tahoma"/>
            <family val="2"/>
          </rPr>
          <t>, that have not already been accounted for in e</t>
        </r>
        <r>
          <rPr>
            <sz val="8"/>
            <color indexed="81"/>
            <rFont val="Tahoma"/>
            <family val="2"/>
          </rPr>
          <t>p</t>
        </r>
        <r>
          <rPr>
            <sz val="8"/>
            <color indexed="81"/>
            <rFont val="Tahoma"/>
            <family val="2"/>
          </rPr>
          <t>, shall be limited to emissions avoided through the capture and sequestration of emitted CO</t>
        </r>
        <r>
          <rPr>
            <sz val="8"/>
            <color indexed="81"/>
            <rFont val="Tahoma"/>
            <family val="2"/>
          </rPr>
          <t>2</t>
        </r>
        <r>
          <rPr>
            <sz val="8"/>
            <color indexed="81"/>
            <rFont val="Tahoma"/>
            <family val="2"/>
          </rPr>
          <t xml:space="preserve"> directly related to the extraction, transport, processing and distribution of fuel.</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neeft</author>
    <author>Neeft, dr. J.P.A. (John)</author>
    <author>sbu</author>
  </authors>
  <commentList>
    <comment ref="H7" authorId="0" shapeId="0" xr:uid="{00000000-0006-0000-1600-000001000000}">
      <text>
        <r>
          <rPr>
            <sz val="8"/>
            <color indexed="81"/>
            <rFont val="Tahoma"/>
            <family val="2"/>
          </rPr>
          <t>This value is not listed in the RED. 
It has been calculated on the basis of the JEC input, as is explained in "About"</t>
        </r>
      </text>
    </comment>
    <comment ref="H9" authorId="0" shapeId="0" xr:uid="{00000000-0006-0000-1600-000002000000}">
      <text>
        <r>
          <rPr>
            <sz val="8"/>
            <color indexed="81"/>
            <rFont val="Tahoma"/>
            <family val="2"/>
          </rPr>
          <t>This value is not listed in the RED. 
It has been calculated on the basis of the JEC input, as is explained in "About"</t>
        </r>
      </text>
    </comment>
    <comment ref="H14" authorId="0" shapeId="0" xr:uid="{00000000-0006-0000-1600-000003000000}">
      <text>
        <r>
          <rPr>
            <sz val="8"/>
            <color indexed="81"/>
            <rFont val="Tahoma"/>
            <family val="2"/>
          </rPr>
          <t>This value is not listed in the RED. 
It has been calculated on the basis of the JEC input, as is explained in "About"</t>
        </r>
      </text>
    </comment>
    <comment ref="H15" authorId="0" shapeId="0" xr:uid="{00000000-0006-0000-1600-000004000000}">
      <text>
        <r>
          <rPr>
            <sz val="8"/>
            <color indexed="81"/>
            <rFont val="Tahoma"/>
            <family val="2"/>
          </rPr>
          <t>This value is not listed in the RED. 
It has been calculated on the basis of the JEC input, as is explained in "About"</t>
        </r>
      </text>
    </comment>
    <comment ref="B46" authorId="1" shapeId="0" xr:uid="{00000000-0006-0000-1600-000005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46" authorId="0" shapeId="0" xr:uid="{00000000-0006-0000-1600-000006000000}">
      <text>
        <r>
          <rPr>
            <sz val="8"/>
            <color indexed="81"/>
            <rFont val="Tahoma"/>
            <family val="2"/>
          </rPr>
          <t xml:space="preserve">Factor 1,4 is to convert "typical value" into "default value.
</t>
        </r>
        <r>
          <rPr>
            <b/>
            <sz val="8"/>
            <color indexed="81"/>
            <rFont val="Tahoma"/>
            <family val="2"/>
          </rPr>
          <t>Electricity mix</t>
        </r>
        <r>
          <rPr>
            <sz val="8"/>
            <color indexed="81"/>
            <rFont val="Tahoma"/>
            <family val="2"/>
          </rPr>
          <t xml:space="preserve">
When making an actual calculation, the use of the input "Electricity EU mix MV" is not allowed. Use the electricity mix from the country in which the electricity is taken from the grid, by defining this mix in the list of additional standard values (following the example for “Average electricity mix in Malta”) and replacing “Electricity EU mix MV” in row B of this sheet by the name corresponding to the correct mix (for instance “Average electricity mix in Malta”).
More details can be found in the Calculation rules (chapter 4) and in the User manual (chapter 4).</t>
        </r>
      </text>
    </comment>
    <comment ref="C47" authorId="0" shapeId="0" xr:uid="{00000000-0006-0000-1600-000007000000}">
      <text>
        <r>
          <rPr>
            <sz val="8"/>
            <color indexed="81"/>
            <rFont val="Tahoma"/>
            <family val="2"/>
          </rPr>
          <t>Factor 1,4 is to convert "typical value" into "default value</t>
        </r>
      </text>
    </comment>
    <comment ref="B53" authorId="1" shapeId="0" xr:uid="{00000000-0006-0000-1600-000008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53" authorId="0" shapeId="0" xr:uid="{00000000-0006-0000-1600-000009000000}">
      <text>
        <r>
          <rPr>
            <b/>
            <sz val="8"/>
            <color indexed="81"/>
            <rFont val="Tahoma"/>
            <family val="2"/>
          </rPr>
          <t>Electricity mix</t>
        </r>
        <r>
          <rPr>
            <sz val="8"/>
            <color indexed="81"/>
            <rFont val="Tahoma"/>
            <family val="2"/>
          </rPr>
          <t xml:space="preserve">
When making an actual calculation, the use of the input "Electricity EU mix MV" is not allowed. Use the electricity mix from the country in which the electricity is taken from the grid, by defining this mix in the list of additional standard values (following the example for “Average electricity mix in Malta”) and replacing “Electricity EU mix MV” in row B of this sheet by the name corresponding to the correct mix (for instance “Average electricity mix in Malta”).
More details can be found in the Calculation rules (chapter 4) and in the User manual (chapter 4).
</t>
        </r>
      </text>
    </comment>
    <comment ref="C56" authorId="0" shapeId="0" xr:uid="{00000000-0006-0000-1600-00000A000000}">
      <text>
        <r>
          <rPr>
            <sz val="8"/>
            <color indexed="81"/>
            <rFont val="Tahoma"/>
            <family val="2"/>
          </rPr>
          <t>Factor 1,4 is to convert "typical value" into "default value</t>
        </r>
      </text>
    </comment>
    <comment ref="B79" authorId="1" shapeId="0" xr:uid="{00000000-0006-0000-1600-00000B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79" authorId="0" shapeId="0" xr:uid="{00000000-0006-0000-1600-00000C000000}">
      <text>
        <r>
          <rPr>
            <sz val="8"/>
            <color indexed="81"/>
            <rFont val="Tahoma"/>
            <family val="2"/>
          </rPr>
          <t xml:space="preserve">Factor 1,4 is to convert "typical value" into "default value.
</t>
        </r>
        <r>
          <rPr>
            <b/>
            <sz val="8"/>
            <color indexed="81"/>
            <rFont val="Tahoma"/>
            <family val="2"/>
          </rPr>
          <t>Electricity mix</t>
        </r>
        <r>
          <rPr>
            <sz val="8"/>
            <color indexed="81"/>
            <rFont val="Tahoma"/>
            <family val="2"/>
          </rPr>
          <t xml:space="preserve">
When making an actual calculation, the use of the input "Electricity EU mix MV" is not allowed. Use the electricity mix from the country in which the electricity is taken from the grid, by defining this mix in the list of additional standard values (following the example for “Average electricity mix in Malta”) and replacing “Electricity EU mix MV” in row B of this sheet by the name corresponding to the correct mix (for instance “Average electricity mix in Malta”).
More details can be found in the Calculation rules (chapter 4) and in the User manual (chapter 4).</t>
        </r>
      </text>
    </comment>
    <comment ref="C80" authorId="0" shapeId="0" xr:uid="{00000000-0006-0000-1600-00000D000000}">
      <text>
        <r>
          <rPr>
            <sz val="8"/>
            <color indexed="81"/>
            <rFont val="Tahoma"/>
            <family val="2"/>
          </rPr>
          <t>Factor 1,4 is to convert "typical value" into "default value</t>
        </r>
      </text>
    </comment>
    <comment ref="C83" authorId="0" shapeId="0" xr:uid="{00000000-0006-0000-1600-00000E000000}">
      <text>
        <r>
          <rPr>
            <sz val="8"/>
            <color indexed="81"/>
            <rFont val="Tahoma"/>
            <family val="2"/>
          </rPr>
          <t>Factor 1,4 is to convert "typical value" into "default value</t>
        </r>
      </text>
    </comment>
    <comment ref="C84" authorId="0" shapeId="0" xr:uid="{00000000-0006-0000-1600-00000F000000}">
      <text>
        <r>
          <rPr>
            <sz val="8"/>
            <color indexed="81"/>
            <rFont val="Tahoma"/>
            <family val="2"/>
          </rPr>
          <t xml:space="preserve">Factor 1,4 is to convert "typical value" into "default value
</t>
        </r>
      </text>
    </comment>
    <comment ref="C85" authorId="0" shapeId="0" xr:uid="{00000000-0006-0000-1600-000010000000}">
      <text>
        <r>
          <rPr>
            <sz val="8"/>
            <color indexed="81"/>
            <rFont val="Tahoma"/>
            <family val="2"/>
          </rPr>
          <t>Factor 1,4 is to convert "typical value" into "default value</t>
        </r>
      </text>
    </comment>
    <comment ref="C86" authorId="0" shapeId="0" xr:uid="{00000000-0006-0000-1600-000011000000}">
      <text>
        <r>
          <rPr>
            <sz val="8"/>
            <color indexed="81"/>
            <rFont val="Tahoma"/>
            <family val="2"/>
          </rPr>
          <t>Factor 1,4 is to convert "typical value" into "default value</t>
        </r>
      </text>
    </comment>
    <comment ref="B110" authorId="1" shapeId="0" xr:uid="{00000000-0006-0000-1600-000012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110" authorId="0" shapeId="0" xr:uid="{00000000-0006-0000-1600-000013000000}">
      <text>
        <r>
          <rPr>
            <b/>
            <sz val="8"/>
            <color indexed="81"/>
            <rFont val="Tahoma"/>
            <family val="2"/>
          </rPr>
          <t>Electricity mix</t>
        </r>
        <r>
          <rPr>
            <sz val="8"/>
            <color indexed="81"/>
            <rFont val="Tahoma"/>
            <family val="2"/>
          </rPr>
          <t xml:space="preserve">
When making an actual calculation, the use of the input "Electricity EU mix LV" is not allowed. Use the electricity mix from the country in which the electricity is taken from the grid, by defining this mix in the list of additional standard values (following the example for “Average electricity mix in Malta”) and replacing “Electricity EU mix LV” in row B of this sheet by the name corresponding to the correct mix (for instance “Average electricity mix in Malta”).
More details can be found in the Calculation rules (chapter 4) and in the User manual (chapter 4).</t>
        </r>
      </text>
    </comment>
    <comment ref="B122" authorId="1" shapeId="0" xr:uid="{00000000-0006-0000-1600-000014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122" authorId="0" shapeId="0" xr:uid="{00000000-0006-0000-1600-000015000000}">
      <text>
        <r>
          <rPr>
            <b/>
            <sz val="8"/>
            <color indexed="81"/>
            <rFont val="Tahoma"/>
            <family val="2"/>
          </rPr>
          <t>Electricity mix</t>
        </r>
        <r>
          <rPr>
            <sz val="8"/>
            <color indexed="81"/>
            <rFont val="Tahoma"/>
            <family val="2"/>
          </rPr>
          <t xml:space="preserve">
When making an actual calculation, the use of the input "Electricity EU mix LV" is only allowed when the starting values in this step are kept.
When changing the starting values, use the electricity mix from the country in which the electricity is taken from the grid, by defining this mix in the list of additional standard values (following the example for “Average electricity mix in Malta”) and replacing “Electricity EU mix LV” in row B of this sheet by the name corresponding to the correct mix (for instance “Average electricity mix in Malta”).
More details can be found in the Calculation rules (chapter 4) and in the User manual (chapter 4).</t>
        </r>
      </text>
    </comment>
    <comment ref="C140" authorId="2" shapeId="0" xr:uid="{00000000-0006-0000-1600-000016000000}">
      <text>
        <r>
          <rPr>
            <sz val="8"/>
            <color indexed="81"/>
            <rFont val="Tahoma"/>
            <family val="2"/>
          </rPr>
          <t>Emission saving from carbon capture and replacement, e</t>
        </r>
        <r>
          <rPr>
            <sz val="8"/>
            <color indexed="81"/>
            <rFont val="Tahoma"/>
            <family val="2"/>
          </rPr>
          <t>ccr</t>
        </r>
        <r>
          <rPr>
            <sz val="8"/>
            <color indexed="81"/>
            <rFont val="Tahoma"/>
            <family val="2"/>
          </rPr>
          <t>, shall be limited to emissions avoided through the capture of CO</t>
        </r>
        <r>
          <rPr>
            <sz val="8"/>
            <color indexed="81"/>
            <rFont val="Tahoma"/>
            <family val="2"/>
          </rPr>
          <t>2</t>
        </r>
        <r>
          <rPr>
            <sz val="8"/>
            <color indexed="81"/>
            <rFont val="Tahoma"/>
            <family val="2"/>
          </rPr>
          <t xml:space="preserve"> of which the carbon originates from biomass and which is used to replace fossil-derived CO</t>
        </r>
        <r>
          <rPr>
            <sz val="8"/>
            <color indexed="81"/>
            <rFont val="Tahoma"/>
            <family val="2"/>
          </rPr>
          <t>2</t>
        </r>
        <r>
          <rPr>
            <sz val="8"/>
            <color indexed="81"/>
            <rFont val="Tahoma"/>
            <family val="2"/>
          </rPr>
          <t xml:space="preserve"> used in commercial products and services.</t>
        </r>
      </text>
    </comment>
    <comment ref="C146" authorId="2" shapeId="0" xr:uid="{00000000-0006-0000-1600-000017000000}">
      <text>
        <r>
          <rPr>
            <sz val="8"/>
            <color indexed="81"/>
            <rFont val="Tahoma"/>
            <family val="2"/>
          </rPr>
          <t>Emission saving from carbon capture and geological storage e</t>
        </r>
        <r>
          <rPr>
            <sz val="8"/>
            <color indexed="81"/>
            <rFont val="Tahoma"/>
            <family val="2"/>
          </rPr>
          <t>ccs</t>
        </r>
        <r>
          <rPr>
            <sz val="8"/>
            <color indexed="81"/>
            <rFont val="Tahoma"/>
            <family val="2"/>
          </rPr>
          <t>, that have not already been accounted for in e</t>
        </r>
        <r>
          <rPr>
            <sz val="8"/>
            <color indexed="81"/>
            <rFont val="Tahoma"/>
            <family val="2"/>
          </rPr>
          <t>p</t>
        </r>
        <r>
          <rPr>
            <sz val="8"/>
            <color indexed="81"/>
            <rFont val="Tahoma"/>
            <family val="2"/>
          </rPr>
          <t>, shall be limited to emissions avoided through the capture and sequestration of emitted CO</t>
        </r>
        <r>
          <rPr>
            <sz val="8"/>
            <color indexed="81"/>
            <rFont val="Tahoma"/>
            <family val="2"/>
          </rPr>
          <t>2</t>
        </r>
        <r>
          <rPr>
            <sz val="8"/>
            <color indexed="81"/>
            <rFont val="Tahoma"/>
            <family val="2"/>
          </rPr>
          <t xml:space="preserve"> directly related to the extraction, transport, processing and distribution of fuel.</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neeft</author>
    <author>Neeft, dr. J.P.A. (John)</author>
    <author>sbu</author>
  </authors>
  <commentList>
    <comment ref="H7" authorId="0" shapeId="0" xr:uid="{00000000-0006-0000-1700-000001000000}">
      <text>
        <r>
          <rPr>
            <sz val="8"/>
            <color indexed="81"/>
            <rFont val="Tahoma"/>
            <family val="2"/>
          </rPr>
          <t>This value is not listed in the RED. 
It has been calculated on the basis of the JEC input, as is explained in "About"</t>
        </r>
      </text>
    </comment>
    <comment ref="H8" authorId="0" shapeId="0" xr:uid="{00000000-0006-0000-1700-000002000000}">
      <text>
        <r>
          <rPr>
            <sz val="8"/>
            <color indexed="81"/>
            <rFont val="Tahoma"/>
            <family val="2"/>
          </rPr>
          <t>This value is not listed in the RED. 
It has been calculated on the basis of the JEC input, as is explained in "About"</t>
        </r>
      </text>
    </comment>
    <comment ref="H10" authorId="0" shapeId="0" xr:uid="{00000000-0006-0000-1700-000003000000}">
      <text>
        <r>
          <rPr>
            <sz val="8"/>
            <color indexed="81"/>
            <rFont val="Tahoma"/>
            <family val="2"/>
          </rPr>
          <t>This value is not listed in the RED. 
It has been calculated on the basis of the JEC input, as is explained in "About"</t>
        </r>
      </text>
    </comment>
    <comment ref="H11" authorId="0" shapeId="0" xr:uid="{00000000-0006-0000-1700-000004000000}">
      <text>
        <r>
          <rPr>
            <sz val="8"/>
            <color indexed="81"/>
            <rFont val="Tahoma"/>
            <family val="2"/>
          </rPr>
          <t>This value is not listed in the RED. 
It has been calculated on the basis of the JEC input, as is explained in "About"</t>
        </r>
      </text>
    </comment>
    <comment ref="H13" authorId="0" shapeId="0" xr:uid="{00000000-0006-0000-1700-000005000000}">
      <text>
        <r>
          <rPr>
            <sz val="8"/>
            <color indexed="81"/>
            <rFont val="Tahoma"/>
            <family val="2"/>
          </rPr>
          <t>This value is not listed in the RED. 
It has been calculated on the basis of the JEC input, as is explained in "About"</t>
        </r>
      </text>
    </comment>
    <comment ref="H15" authorId="0" shapeId="0" xr:uid="{00000000-0006-0000-1700-000006000000}">
      <text>
        <r>
          <rPr>
            <sz val="8"/>
            <color indexed="81"/>
            <rFont val="Tahoma"/>
            <family val="2"/>
          </rPr>
          <t>This value is not listed in the RED. 
It has been calculated on the basis of the JEC input, as is explained in "About"</t>
        </r>
      </text>
    </comment>
    <comment ref="H16" authorId="0" shapeId="0" xr:uid="{00000000-0006-0000-1700-000007000000}">
      <text>
        <r>
          <rPr>
            <sz val="8"/>
            <color indexed="81"/>
            <rFont val="Tahoma"/>
            <family val="2"/>
          </rPr>
          <t>This value is not listed in the RED. 
It has been calculated on the basis of the JEC input, as is explained in "About"</t>
        </r>
      </text>
    </comment>
    <comment ref="B54" authorId="1" shapeId="0" xr:uid="{00000000-0006-0000-1700-000008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54" authorId="0" shapeId="0" xr:uid="{00000000-0006-0000-1700-000009000000}">
      <text>
        <r>
          <rPr>
            <b/>
            <sz val="8"/>
            <color indexed="81"/>
            <rFont val="Tahoma"/>
            <family val="2"/>
          </rPr>
          <t>Electricity mix</t>
        </r>
        <r>
          <rPr>
            <sz val="8"/>
            <color indexed="81"/>
            <rFont val="Tahoma"/>
            <family val="2"/>
          </rPr>
          <t xml:space="preserve">
When making an actual calculation, the use of the input "Electricity EU mix LV" is not allowed. Use the electricity mix from the country in which the electricity is taken from the grid, by defining this mix in the list of additional standard values (following the example for “Average electricity mix in Malta”) and replacing “Electricity EU mix LV” in row B of this sheet by the name corresponding to the correct mix (for instance “Average electricity mix in Malta”).
More details can be found in the Calculation rules (chapter 4) and in the User manual (chapter 4).</t>
        </r>
      </text>
    </comment>
    <comment ref="B76" authorId="1" shapeId="0" xr:uid="{00000000-0006-0000-1700-00000A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76" authorId="0" shapeId="0" xr:uid="{00000000-0006-0000-1700-00000B000000}">
      <text>
        <r>
          <rPr>
            <sz val="8"/>
            <color indexed="81"/>
            <rFont val="Tahoma"/>
            <family val="2"/>
          </rPr>
          <t xml:space="preserve">Factor 1,4 is to convert "typical value" into "default value.
</t>
        </r>
        <r>
          <rPr>
            <b/>
            <sz val="8"/>
            <color indexed="81"/>
            <rFont val="Tahoma"/>
            <family val="2"/>
          </rPr>
          <t>Electricity mix</t>
        </r>
        <r>
          <rPr>
            <sz val="8"/>
            <color indexed="81"/>
            <rFont val="Tahoma"/>
            <family val="2"/>
          </rPr>
          <t xml:space="preserve">
When making an actual calculation, the use of the input "Electricity EU mix MV" is not allowed. Use the electricity mix from the country in which the electricity is taken from the grid, by defining this mix in the list of additional standard values (following the example for “Average electricity mix in Malta”) and replacing “Electricity EU mix MV” in row B of this sheet by the name corresponding to the correct mix (for instance “Average electricity mix in Malta”).
More details can be found in the Calculation rules (chapter 4) and in the User manual (chapter 4).</t>
        </r>
      </text>
    </comment>
    <comment ref="C77" authorId="0" shapeId="0" xr:uid="{00000000-0006-0000-1700-00000C000000}">
      <text>
        <r>
          <rPr>
            <sz val="8"/>
            <color indexed="81"/>
            <rFont val="Tahoma"/>
            <family val="2"/>
          </rPr>
          <t>Factor 1,4 is to convert "typical value" into "default value</t>
        </r>
      </text>
    </comment>
    <comment ref="B83" authorId="1" shapeId="0" xr:uid="{00000000-0006-0000-1700-00000D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83" authorId="0" shapeId="0" xr:uid="{00000000-0006-0000-1700-00000E000000}">
      <text>
        <r>
          <rPr>
            <b/>
            <sz val="8"/>
            <color indexed="81"/>
            <rFont val="Tahoma"/>
            <family val="2"/>
          </rPr>
          <t>Electricity mix</t>
        </r>
        <r>
          <rPr>
            <sz val="8"/>
            <color indexed="81"/>
            <rFont val="Tahoma"/>
            <family val="2"/>
          </rPr>
          <t xml:space="preserve">
When making an actual calculation, the use of the input "Electricity EU mix MV" is not allowed. Use the electricity mix from the country in which the electricity is taken from the grid, by defining this mix in the list of additional standard values (following the example for “Average electricity mix in Malta”) and replacing “Electricity EU mix MV” in row B of this sheet by the name corresponding to the correct mix (for instance “Average electricity mix in Malta”).
More details can be found in the Calculation rules (chapter 4) and in the User manual (chapter 4).
</t>
        </r>
      </text>
    </comment>
    <comment ref="C86" authorId="0" shapeId="0" xr:uid="{00000000-0006-0000-1700-00000F000000}">
      <text>
        <r>
          <rPr>
            <sz val="8"/>
            <color indexed="81"/>
            <rFont val="Tahoma"/>
            <family val="2"/>
          </rPr>
          <t>Factor 1,4 is to convert "typical value" into "default value</t>
        </r>
      </text>
    </comment>
    <comment ref="B116" authorId="1" shapeId="0" xr:uid="{00000000-0006-0000-1700-000010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116" authorId="0" shapeId="0" xr:uid="{00000000-0006-0000-1700-000011000000}">
      <text>
        <r>
          <rPr>
            <sz val="8"/>
            <color indexed="81"/>
            <rFont val="Tahoma"/>
            <family val="2"/>
          </rPr>
          <t xml:space="preserve">Factor 1,4 is to convert "typical value" into "default value.
</t>
        </r>
        <r>
          <rPr>
            <b/>
            <sz val="8"/>
            <color indexed="81"/>
            <rFont val="Tahoma"/>
            <family val="2"/>
          </rPr>
          <t>Electricity mix</t>
        </r>
        <r>
          <rPr>
            <sz val="8"/>
            <color indexed="81"/>
            <rFont val="Tahoma"/>
            <family val="2"/>
          </rPr>
          <t xml:space="preserve">
When making an actual calculation, the use of the input "Electricity EU mix MV" is not allowed. Use the electricity mix from the country in which the electricity is taken from the grid, by defining this mix in the list of additional standard values (following the example for “Average electricity mix in Malta”) and replacing “Electricity EU mix MV” in row B of this sheet by the name corresponding to the correct mix (for instance “Average electricity mix in Malta”).
More details can be found in the Calculation rules (chapter 4) and in the User manual (chapter 4).</t>
        </r>
      </text>
    </comment>
    <comment ref="C117" authorId="0" shapeId="0" xr:uid="{00000000-0006-0000-1700-000012000000}">
      <text>
        <r>
          <rPr>
            <sz val="8"/>
            <color indexed="81"/>
            <rFont val="Tahoma"/>
            <family val="2"/>
          </rPr>
          <t>Factor 1,4 is to convert "typical value" into "default value</t>
        </r>
      </text>
    </comment>
    <comment ref="B123" authorId="1" shapeId="0" xr:uid="{00000000-0006-0000-1700-000013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123" authorId="0" shapeId="0" xr:uid="{00000000-0006-0000-1700-000014000000}">
      <text>
        <r>
          <rPr>
            <b/>
            <sz val="8"/>
            <color indexed="81"/>
            <rFont val="Tahoma"/>
            <family val="2"/>
          </rPr>
          <t>Electricity mix</t>
        </r>
        <r>
          <rPr>
            <sz val="8"/>
            <color indexed="81"/>
            <rFont val="Tahoma"/>
            <family val="2"/>
          </rPr>
          <t xml:space="preserve">
When making an actual calculation, the use of the input "Electricity EU mix MV" is not allowed. Use the electricity mix from the country in which the electricity is taken from the grid, by defining this mix in the list of additional standard values (following the example for “Average electricity mix in Malta”) and replacing “Electricity EU mix MV” in row B of this sheet by the name corresponding to the correct mix (for instance “Average electricity mix in Malta”).
More details can be found in the Calculation rules (chapter 4) and in the User manual (chapter 4).
</t>
        </r>
      </text>
    </comment>
    <comment ref="C126" authorId="0" shapeId="0" xr:uid="{00000000-0006-0000-1700-000015000000}">
      <text>
        <r>
          <rPr>
            <sz val="8"/>
            <color indexed="81"/>
            <rFont val="Tahoma"/>
            <family val="2"/>
          </rPr>
          <t>Factor 1,4 is to convert "typical value" into "default value</t>
        </r>
      </text>
    </comment>
    <comment ref="B140" authorId="1" shapeId="0" xr:uid="{00000000-0006-0000-1700-000016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140" authorId="0" shapeId="0" xr:uid="{00000000-0006-0000-1700-000017000000}">
      <text>
        <r>
          <rPr>
            <b/>
            <sz val="8"/>
            <color indexed="81"/>
            <rFont val="Tahoma"/>
            <family val="2"/>
          </rPr>
          <t>Electricity mix</t>
        </r>
        <r>
          <rPr>
            <sz val="8"/>
            <color indexed="81"/>
            <rFont val="Tahoma"/>
            <family val="2"/>
          </rPr>
          <t xml:space="preserve">
When making an actual calculation, the use of the input "Electricity EU mix LV" is not allowed. Use the electricity mix from the country in which the electricity is taken from the grid, by defining this mix in the list of additional standard values (following the example for “Average electricity mix in Malta”) and replacing “Electricity EU mix LV” in row B of this sheet by the name corresponding to the correct mix (for instance “Average electricity mix in Malta”).
More details can be found in the Calculation rules (chapter 4) and in the User manual (chapter 4).</t>
        </r>
      </text>
    </comment>
    <comment ref="B152" authorId="1" shapeId="0" xr:uid="{00000000-0006-0000-1700-000018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152" authorId="0" shapeId="0" xr:uid="{00000000-0006-0000-1700-000019000000}">
      <text>
        <r>
          <rPr>
            <b/>
            <sz val="8"/>
            <color indexed="81"/>
            <rFont val="Tahoma"/>
            <family val="2"/>
          </rPr>
          <t>Electricity mix</t>
        </r>
        <r>
          <rPr>
            <sz val="8"/>
            <color indexed="81"/>
            <rFont val="Tahoma"/>
            <family val="2"/>
          </rPr>
          <t xml:space="preserve">
When making an actual calculation, the use of the input "Electricity EU mix LV" is only allowed when the starting values in this step are kept.
When changing the starting values, use the electricity mix from the country in which the electricity is taken from the grid, by defining this mix in the list of additional standard values (following the example for “Average electricity mix in Malta”) and replacing “Electricity EU mix LV” in row B of this sheet by the name corresponding to the correct mix (for instance “Average electricity mix in Malta”).
More details can be found in the Calculation rules (chapter 4) and in the User manual (chapter 4).</t>
        </r>
      </text>
    </comment>
    <comment ref="B157" authorId="2" shapeId="0" xr:uid="{00000000-0006-0000-1700-00001A000000}">
      <text>
        <r>
          <rPr>
            <sz val="8"/>
            <color indexed="81"/>
            <rFont val="Tahoma"/>
            <family val="2"/>
          </rPr>
          <t>Annualised emissions from carbon stock changes caused by land-use change, e</t>
        </r>
        <r>
          <rPr>
            <sz val="8"/>
            <color indexed="81"/>
            <rFont val="Tahoma"/>
            <family val="2"/>
          </rPr>
          <t>l</t>
        </r>
        <r>
          <rPr>
            <sz val="8"/>
            <color indexed="81"/>
            <rFont val="Tahoma"/>
            <family val="2"/>
          </rPr>
          <t>, shall be calculated by dividing total emissions equally over 20 years. For the calculation of those emissions the following rule shall be applied:
e</t>
        </r>
        <r>
          <rPr>
            <sz val="8"/>
            <color indexed="81"/>
            <rFont val="Tahoma"/>
            <family val="2"/>
          </rPr>
          <t>l</t>
        </r>
        <r>
          <rPr>
            <sz val="8"/>
            <color indexed="81"/>
            <rFont val="Tahoma"/>
            <family val="2"/>
          </rPr>
          <t xml:space="preserve"> = (CS</t>
        </r>
        <r>
          <rPr>
            <sz val="8"/>
            <color indexed="81"/>
            <rFont val="Tahoma"/>
            <family val="2"/>
          </rPr>
          <t>R</t>
        </r>
        <r>
          <rPr>
            <sz val="8"/>
            <color indexed="81"/>
            <rFont val="Tahoma"/>
            <family val="2"/>
          </rPr>
          <t xml:space="preserve"> – CS</t>
        </r>
        <r>
          <rPr>
            <sz val="8"/>
            <color indexed="81"/>
            <rFont val="Tahoma"/>
            <family val="2"/>
          </rPr>
          <t>A</t>
        </r>
        <r>
          <rPr>
            <sz val="8"/>
            <color indexed="81"/>
            <rFont val="Tahoma"/>
            <family val="2"/>
          </rPr>
          <t>) × 3,664 × 1/20 × 1/P – e</t>
        </r>
        <r>
          <rPr>
            <sz val="8"/>
            <color indexed="81"/>
            <rFont val="Tahoma"/>
            <family val="2"/>
          </rPr>
          <t>B</t>
        </r>
        <r>
          <rPr>
            <sz val="8"/>
            <color indexed="81"/>
            <rFont val="Tahoma"/>
            <family val="2"/>
          </rPr>
          <t>(1)</t>
        </r>
        <r>
          <rPr>
            <sz val="8"/>
            <color indexed="81"/>
            <rFont val="Tahoma"/>
            <family val="2"/>
          </rPr>
          <t xml:space="preserve">
where
e</t>
        </r>
        <r>
          <rPr>
            <sz val="8"/>
            <color indexed="81"/>
            <rFont val="Tahoma"/>
            <family val="2"/>
          </rPr>
          <t>l</t>
        </r>
        <r>
          <rPr>
            <sz val="8"/>
            <color indexed="81"/>
            <rFont val="Tahoma"/>
            <family val="2"/>
          </rPr>
          <t xml:space="preserve"> = annualised greenhouse gas emissions from carbon stock change due to land-use change (measured as mass of CO</t>
        </r>
        <r>
          <rPr>
            <sz val="8"/>
            <color indexed="81"/>
            <rFont val="Tahoma"/>
            <family val="2"/>
          </rPr>
          <t>2</t>
        </r>
        <r>
          <rPr>
            <sz val="8"/>
            <color indexed="81"/>
            <rFont val="Tahoma"/>
            <family val="2"/>
          </rPr>
          <t>-equivalent per unit biofuel energy);
CS</t>
        </r>
        <r>
          <rPr>
            <sz val="8"/>
            <color indexed="81"/>
            <rFont val="Tahoma"/>
            <family val="2"/>
          </rPr>
          <t>R</t>
        </r>
        <r>
          <rPr>
            <sz val="8"/>
            <color indexed="81"/>
            <rFont val="Tahoma"/>
            <family val="2"/>
          </rPr>
          <t xml:space="preserve"> = the carbon stock per unit area associated with the reference land use (measured as mass of carbon per unit area, including both soil and vegetation). The reference land use shall be the land use in January 2008 or 20 years before the raw material was obtained, whichever was the later;
CS</t>
        </r>
        <r>
          <rPr>
            <sz val="8"/>
            <color indexed="81"/>
            <rFont val="Tahoma"/>
            <family val="2"/>
          </rPr>
          <t>A</t>
        </r>
        <r>
          <rPr>
            <sz val="8"/>
            <color indexed="81"/>
            <rFont val="Tahoma"/>
            <family val="2"/>
          </rPr>
          <t xml:space="preserve"> =the carbon stock per unit area associated with the actual land use (measured as mass of carbon per unit area, including both soil and vegetation). In cases where the carbon stock accumulates over more than one year, the value attributed to CS</t>
        </r>
        <r>
          <rPr>
            <sz val="8"/>
            <color indexed="81"/>
            <rFont val="Tahoma"/>
            <family val="2"/>
          </rPr>
          <t>A</t>
        </r>
        <r>
          <rPr>
            <sz val="8"/>
            <color indexed="81"/>
            <rFont val="Tahoma"/>
            <family val="2"/>
          </rPr>
          <t xml:space="preserve"> shall be the estimated stock per unit area after 20 years or when the crop reaches maturity, whichever the earlier;
P =the productivity of the crop (measured as biofuel or bioliquid energy per unit area per year); and
e</t>
        </r>
        <r>
          <rPr>
            <sz val="8"/>
            <color indexed="81"/>
            <rFont val="Tahoma"/>
            <family val="2"/>
          </rPr>
          <t>B</t>
        </r>
        <r>
          <rPr>
            <sz val="8"/>
            <color indexed="81"/>
            <rFont val="Tahoma"/>
            <family val="2"/>
          </rPr>
          <t xml:space="preserve"> =bonus of 29 gCO</t>
        </r>
        <r>
          <rPr>
            <sz val="8"/>
            <color indexed="81"/>
            <rFont val="Tahoma"/>
            <family val="2"/>
          </rPr>
          <t>2eq</t>
        </r>
        <r>
          <rPr>
            <sz val="8"/>
            <color indexed="81"/>
            <rFont val="Tahoma"/>
            <family val="2"/>
          </rPr>
          <t>/MJ biofuel or bioliquid if biomass is obtained from restored degraded land under the conditions provided for in point 8.
8.
The bonus of 29 gCO</t>
        </r>
        <r>
          <rPr>
            <sz val="8"/>
            <color indexed="81"/>
            <rFont val="Tahoma"/>
            <family val="2"/>
          </rPr>
          <t>2eq</t>
        </r>
        <r>
          <rPr>
            <sz val="8"/>
            <color indexed="81"/>
            <rFont val="Tahoma"/>
            <family val="2"/>
          </rPr>
          <t>/MJ shall be attributed if evidence is provided that the land:
(a) was not in use for agriculture or any other activity in January 2008; and
(b) falls into one of the following categories:
   (i) severely degraded land, including such land that was formerly in agricultural use;
   (ii) heavily contaminated land.
The bonus of 29 gCO</t>
        </r>
        <r>
          <rPr>
            <sz val="8"/>
            <color indexed="81"/>
            <rFont val="Tahoma"/>
            <family val="2"/>
          </rPr>
          <t>2eq</t>
        </r>
        <r>
          <rPr>
            <sz val="8"/>
            <color indexed="81"/>
            <rFont val="Tahoma"/>
            <family val="2"/>
          </rPr>
          <t>/MJ shall apply for a period of up to 10 years from the date of conversion of the land to agricultural use, provided that a steady increase in carbon stocks as well as a sizable reduction in erosion phenomena for land falling under (i) are ensured and that soil contamination for land falling under (ii) is reduced.
9.
The categories referred to in point 8(b) are defined as follows:
(a) ‘severely degraded land’ means land that, for a significant period of time, has either been significantly salinated or presented significantly low organic matter content and has been severely eroded;
(b) ‘heavily contaminated land’ means land that is unfit for the cultivation of food and feed due to soil contamination.
Such land shall include land that has been the subject of a Commission decision in accordance with the fourth subparagraph of Article 18(4).</t>
        </r>
        <r>
          <rPr>
            <sz val="8"/>
            <color indexed="81"/>
            <rFont val="Tahoma"/>
            <family val="2"/>
          </rPr>
          <t xml:space="preserve">
</t>
        </r>
        <r>
          <rPr>
            <sz val="8"/>
            <color indexed="81"/>
            <rFont val="Tahoma"/>
            <family val="2"/>
          </rPr>
          <t xml:space="preserve">
</t>
        </r>
        <r>
          <rPr>
            <sz val="8"/>
            <color indexed="81"/>
            <rFont val="Tahoma"/>
            <family val="2"/>
          </rPr>
          <t>(1)</t>
        </r>
        <r>
          <rPr>
            <sz val="8"/>
            <color indexed="81"/>
            <rFont val="Tahoma"/>
            <family val="2"/>
          </rPr>
          <t xml:space="preserve"> </t>
        </r>
        <r>
          <rPr>
            <sz val="8"/>
            <color indexed="81"/>
            <rFont val="Tahoma"/>
            <family val="2"/>
          </rPr>
          <t xml:space="preserve"> The quotient obtained by dividing the molecular weight of CO</t>
        </r>
        <r>
          <rPr>
            <sz val="8"/>
            <color indexed="81"/>
            <rFont val="Tahoma"/>
            <family val="2"/>
          </rPr>
          <t>2</t>
        </r>
        <r>
          <rPr>
            <sz val="8"/>
            <color indexed="81"/>
            <rFont val="Tahoma"/>
            <family val="2"/>
          </rPr>
          <t xml:space="preserve"> (44,010 g/mol) by the molecular weight of carbon (12,011 g/mol) is equal to 3,664.</t>
        </r>
      </text>
    </comment>
    <comment ref="C167" authorId="2" shapeId="0" xr:uid="{00000000-0006-0000-1700-00001B000000}">
      <text>
        <r>
          <rPr>
            <sz val="8"/>
            <color indexed="81"/>
            <rFont val="Tahoma"/>
            <family val="2"/>
          </rPr>
          <t xml:space="preserve">
8.
The bonus of 29 gCO2eq/MJ shall be attributed if evidence is provided that the land:
(a) was not in use for agriculture or any other activity in January 2008; and
(b) falls into one of the following categories:
   (i) severely degraded land, including such land that was formerly in agricultural use;
   (ii) heavily contaminated land.
The bonus of 29 gCO2eq/MJ shall apply for a period of up to 10 years from the date of conversion of the land to agricultural use, provided that a steady increase in carbon stocks as well as a sizable reduction in erosion phenomena for land falling under (i) are ensured and that soil contamination for land falling under (ii) is reduced.
9.
The categories referred to in point 8(b) are defined as follows:
(a) ‘severely degraded land’ means land that, for a significant period of time, has either been significantly salinated or presented significantly low organic matter content and has been severely eroded;
(b) ‘heavily contaminated land’ means land that is unfit for the cultivation of food and feed due to soil contamination.
Such land shall include land that has been the subject of a Commission decision in accordance with the fourth subparagraph of Article 18(4).</t>
        </r>
      </text>
    </comment>
    <comment ref="C189" authorId="2" shapeId="0" xr:uid="{00000000-0006-0000-1700-00001C000000}">
      <text>
        <r>
          <rPr>
            <sz val="8"/>
            <color indexed="81"/>
            <rFont val="Tahoma"/>
            <family val="2"/>
          </rPr>
          <t>Emission saving from carbon capture and replacement, e</t>
        </r>
        <r>
          <rPr>
            <sz val="8"/>
            <color indexed="81"/>
            <rFont val="Tahoma"/>
            <family val="2"/>
          </rPr>
          <t>ccr</t>
        </r>
        <r>
          <rPr>
            <sz val="8"/>
            <color indexed="81"/>
            <rFont val="Tahoma"/>
            <family val="2"/>
          </rPr>
          <t>, shall be limited to emissions avoided through the capture of CO</t>
        </r>
        <r>
          <rPr>
            <sz val="8"/>
            <color indexed="81"/>
            <rFont val="Tahoma"/>
            <family val="2"/>
          </rPr>
          <t>2</t>
        </r>
        <r>
          <rPr>
            <sz val="8"/>
            <color indexed="81"/>
            <rFont val="Tahoma"/>
            <family val="2"/>
          </rPr>
          <t xml:space="preserve"> of which the carbon originates from biomass and which is used to replace fossil-derived CO</t>
        </r>
        <r>
          <rPr>
            <sz val="8"/>
            <color indexed="81"/>
            <rFont val="Tahoma"/>
            <family val="2"/>
          </rPr>
          <t>2</t>
        </r>
        <r>
          <rPr>
            <sz val="8"/>
            <color indexed="81"/>
            <rFont val="Tahoma"/>
            <family val="2"/>
          </rPr>
          <t xml:space="preserve"> used in commercial products and services.</t>
        </r>
      </text>
    </comment>
    <comment ref="C195" authorId="2" shapeId="0" xr:uid="{00000000-0006-0000-1700-00001D000000}">
      <text>
        <r>
          <rPr>
            <sz val="8"/>
            <color indexed="81"/>
            <rFont val="Tahoma"/>
            <family val="2"/>
          </rPr>
          <t>Emission saving from carbon capture and geological storage e</t>
        </r>
        <r>
          <rPr>
            <sz val="8"/>
            <color indexed="81"/>
            <rFont val="Tahoma"/>
            <family val="2"/>
          </rPr>
          <t>ccs</t>
        </r>
        <r>
          <rPr>
            <sz val="8"/>
            <color indexed="81"/>
            <rFont val="Tahoma"/>
            <family val="2"/>
          </rPr>
          <t>, that have not already been accounted for in e</t>
        </r>
        <r>
          <rPr>
            <sz val="8"/>
            <color indexed="81"/>
            <rFont val="Tahoma"/>
            <family val="2"/>
          </rPr>
          <t>p</t>
        </r>
        <r>
          <rPr>
            <sz val="8"/>
            <color indexed="81"/>
            <rFont val="Tahoma"/>
            <family val="2"/>
          </rPr>
          <t>, shall be limited to emissions avoided through the capture and sequestration of emitted CO</t>
        </r>
        <r>
          <rPr>
            <sz val="8"/>
            <color indexed="81"/>
            <rFont val="Tahoma"/>
            <family val="2"/>
          </rPr>
          <t>2</t>
        </r>
        <r>
          <rPr>
            <sz val="8"/>
            <color indexed="81"/>
            <rFont val="Tahoma"/>
            <family val="2"/>
          </rPr>
          <t xml:space="preserve"> directly related to the extraction, transport, processing and distribution of fuel.</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neeft</author>
    <author>Neeft, dr. J.P.A. (John)</author>
    <author>sbu</author>
  </authors>
  <commentList>
    <comment ref="H7" authorId="0" shapeId="0" xr:uid="{00000000-0006-0000-1800-000001000000}">
      <text>
        <r>
          <rPr>
            <sz val="8"/>
            <color indexed="81"/>
            <rFont val="Tahoma"/>
            <family val="2"/>
          </rPr>
          <t>This value is not listed in the RED. 
It has been calculated on the basis of the JEC input, as is explained in "About"</t>
        </r>
      </text>
    </comment>
    <comment ref="H8" authorId="0" shapeId="0" xr:uid="{00000000-0006-0000-1800-000002000000}">
      <text>
        <r>
          <rPr>
            <sz val="8"/>
            <color indexed="81"/>
            <rFont val="Tahoma"/>
            <family val="2"/>
          </rPr>
          <t>This value is not listed in the RED. 
It has been calculated on the basis of the JEC input, as is explained in "About"</t>
        </r>
      </text>
    </comment>
    <comment ref="H10" authorId="0" shapeId="0" xr:uid="{00000000-0006-0000-1800-000003000000}">
      <text>
        <r>
          <rPr>
            <sz val="8"/>
            <color indexed="81"/>
            <rFont val="Tahoma"/>
            <family val="2"/>
          </rPr>
          <t>This value is not listed in the RED. 
It has been calculated on the basis of the JEC input, as is explained in "About"</t>
        </r>
      </text>
    </comment>
    <comment ref="H11" authorId="0" shapeId="0" xr:uid="{00000000-0006-0000-1800-000004000000}">
      <text>
        <r>
          <rPr>
            <sz val="8"/>
            <color indexed="81"/>
            <rFont val="Tahoma"/>
            <family val="2"/>
          </rPr>
          <t>This value is not listed in the RED. 
It has been calculated on the basis of the JEC input, as is explained in "About"</t>
        </r>
      </text>
    </comment>
    <comment ref="H13" authorId="0" shapeId="0" xr:uid="{00000000-0006-0000-1800-000005000000}">
      <text>
        <r>
          <rPr>
            <sz val="8"/>
            <color indexed="81"/>
            <rFont val="Tahoma"/>
            <family val="2"/>
          </rPr>
          <t>This value is not listed in the RED. 
It has been calculated on the basis of the JEC input, as is explained in "About"</t>
        </r>
      </text>
    </comment>
    <comment ref="H15" authorId="0" shapeId="0" xr:uid="{00000000-0006-0000-1800-000006000000}">
      <text>
        <r>
          <rPr>
            <sz val="8"/>
            <color indexed="81"/>
            <rFont val="Tahoma"/>
            <family val="2"/>
          </rPr>
          <t>This value is not listed in the RED. 
It has been calculated on the basis of the JEC input, as is explained in "About"</t>
        </r>
      </text>
    </comment>
    <comment ref="H16" authorId="0" shapeId="0" xr:uid="{00000000-0006-0000-1800-000007000000}">
      <text>
        <r>
          <rPr>
            <sz val="8"/>
            <color indexed="81"/>
            <rFont val="Tahoma"/>
            <family val="2"/>
          </rPr>
          <t>This value is not listed in the RED. 
It has been calculated on the basis of the JEC input, as is explained in "About"</t>
        </r>
      </text>
    </comment>
    <comment ref="B54" authorId="1" shapeId="0" xr:uid="{00000000-0006-0000-1800-000008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54" authorId="0" shapeId="0" xr:uid="{00000000-0006-0000-1800-000009000000}">
      <text>
        <r>
          <rPr>
            <b/>
            <sz val="8"/>
            <color indexed="81"/>
            <rFont val="Tahoma"/>
            <family val="2"/>
          </rPr>
          <t>Electricity mix</t>
        </r>
        <r>
          <rPr>
            <sz val="8"/>
            <color indexed="81"/>
            <rFont val="Tahoma"/>
            <family val="2"/>
          </rPr>
          <t xml:space="preserve">
When making an actual calculation, the use of the input "Electricity EU mix LV" is not allowed. Use the electricity mix from the country in which the electricity is taken from the grid, by defining this mix in the list of additional standard values (following the example for “Average electricity mix in Malta”) and replacing “Electricity EU mix LV” in row B of this sheet by the name corresponding to the correct mix (for instance “Average electricity mix in Malta”).
More details can be found in the Calculation rules (chapter 4) and in the User manual (chapter 4).</t>
        </r>
      </text>
    </comment>
    <comment ref="B76" authorId="1" shapeId="0" xr:uid="{00000000-0006-0000-1800-00000A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76" authorId="0" shapeId="0" xr:uid="{00000000-0006-0000-1800-00000B000000}">
      <text>
        <r>
          <rPr>
            <sz val="8"/>
            <color indexed="81"/>
            <rFont val="Tahoma"/>
            <family val="2"/>
          </rPr>
          <t xml:space="preserve">Factor 1,4 is to convert "typical value" into "default value.
</t>
        </r>
        <r>
          <rPr>
            <b/>
            <sz val="8"/>
            <color indexed="81"/>
            <rFont val="Tahoma"/>
            <family val="2"/>
          </rPr>
          <t>Electricity mix</t>
        </r>
        <r>
          <rPr>
            <sz val="8"/>
            <color indexed="81"/>
            <rFont val="Tahoma"/>
            <family val="2"/>
          </rPr>
          <t xml:space="preserve">
When making an actual calculation, the use of the input "Electricity EU mix MV" is not allowed. Use the electricity mix from the country in which the electricity is taken from the grid, by defining this mix in the list of additional standard values (following the example for “Average electricity mix in Malta”) and replacing “Electricity EU mix MV” in row B of this sheet by the name corresponding to the correct mix (for instance “Average electricity mix in Malta”).
More details can be found in the Calculation rules (chapter 4) and in the User manual (chapter 4).</t>
        </r>
      </text>
    </comment>
    <comment ref="C77" authorId="0" shapeId="0" xr:uid="{00000000-0006-0000-1800-00000C000000}">
      <text>
        <r>
          <rPr>
            <sz val="8"/>
            <color indexed="81"/>
            <rFont val="Tahoma"/>
            <family val="2"/>
          </rPr>
          <t>Factor 1,4 is to convert "typical value" into "default value</t>
        </r>
      </text>
    </comment>
    <comment ref="B83" authorId="1" shapeId="0" xr:uid="{00000000-0006-0000-1800-00000D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83" authorId="0" shapeId="0" xr:uid="{00000000-0006-0000-1800-00000E000000}">
      <text>
        <r>
          <rPr>
            <b/>
            <sz val="8"/>
            <color indexed="81"/>
            <rFont val="Tahoma"/>
            <family val="2"/>
          </rPr>
          <t>Electricity mix</t>
        </r>
        <r>
          <rPr>
            <sz val="8"/>
            <color indexed="81"/>
            <rFont val="Tahoma"/>
            <family val="2"/>
          </rPr>
          <t xml:space="preserve">
When making an actual calculation, the use of the input "Electricity EU mix MV" is not allowed. Use the electricity mix from the country in which the electricity is taken from the grid, by defining this mix in the list of additional standard values (following the example for “Average electricity mix in Malta”) and replacing “Electricity EU mix MV” in row B of this sheet by the name corresponding to the correct mix (for instance “Average electricity mix in Malta”).
More details can be found in the Calculation rules (chapter 4) and in the User manual (chapter 4).
</t>
        </r>
      </text>
    </comment>
    <comment ref="C86" authorId="0" shapeId="0" xr:uid="{00000000-0006-0000-1800-00000F000000}">
      <text>
        <r>
          <rPr>
            <sz val="8"/>
            <color indexed="81"/>
            <rFont val="Tahoma"/>
            <family val="2"/>
          </rPr>
          <t>Factor 1,4 is to convert "typical value" into "default value</t>
        </r>
      </text>
    </comment>
    <comment ref="B116" authorId="1" shapeId="0" xr:uid="{00000000-0006-0000-1800-000010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116" authorId="0" shapeId="0" xr:uid="{00000000-0006-0000-1800-000011000000}">
      <text>
        <r>
          <rPr>
            <sz val="8"/>
            <color indexed="81"/>
            <rFont val="Tahoma"/>
            <family val="2"/>
          </rPr>
          <t xml:space="preserve">Factor 1,4 is to convert "typical value" into "default value.
</t>
        </r>
        <r>
          <rPr>
            <b/>
            <sz val="8"/>
            <color indexed="81"/>
            <rFont val="Tahoma"/>
            <family val="2"/>
          </rPr>
          <t>Electricity mix</t>
        </r>
        <r>
          <rPr>
            <sz val="8"/>
            <color indexed="81"/>
            <rFont val="Tahoma"/>
            <family val="2"/>
          </rPr>
          <t xml:space="preserve">
When making an actual calculation, the use of the input "Electricity EU mix MV" is not allowed. Use the electricity mix from the country in which the electricity is taken from the grid, by defining this mix in the list of additional standard values (following the example for “Average electricity mix in Malta”) and replacing “Electricity EU mix MV” in row B of this sheet by the name corresponding to the correct mix (for instance “Average electricity mix in Malta”).
More details can be found in the Calculation rules (chapter 4) and in the User manual (chapter 4).</t>
        </r>
      </text>
    </comment>
    <comment ref="C117" authorId="0" shapeId="0" xr:uid="{00000000-0006-0000-1800-000012000000}">
      <text>
        <r>
          <rPr>
            <sz val="8"/>
            <color indexed="81"/>
            <rFont val="Tahoma"/>
            <family val="2"/>
          </rPr>
          <t>Factor 1,4 is to convert "typical value" into "default value</t>
        </r>
      </text>
    </comment>
    <comment ref="B123" authorId="1" shapeId="0" xr:uid="{00000000-0006-0000-1800-000013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123" authorId="0" shapeId="0" xr:uid="{00000000-0006-0000-1800-000014000000}">
      <text>
        <r>
          <rPr>
            <b/>
            <sz val="8"/>
            <color indexed="81"/>
            <rFont val="Tahoma"/>
            <family val="2"/>
          </rPr>
          <t>Electricity mix</t>
        </r>
        <r>
          <rPr>
            <sz val="8"/>
            <color indexed="81"/>
            <rFont val="Tahoma"/>
            <family val="2"/>
          </rPr>
          <t xml:space="preserve">
When making an actual calculation, the use of the input "Electricity EU mix MV" is not allowed. Use the electricity mix from the country in which the electricity is taken from the grid, by defining this mix in the list of additional standard values (following the example for “Average electricity mix in Malta”) and replacing “Electricity EU mix MV” in row B of this sheet by the name corresponding to the correct mix (for instance “Average electricity mix in Malta”).
More details can be found in the Calculation rules (chapter 4) and in the User manual (chapter 4).
</t>
        </r>
      </text>
    </comment>
    <comment ref="C126" authorId="0" shapeId="0" xr:uid="{00000000-0006-0000-1800-000015000000}">
      <text>
        <r>
          <rPr>
            <sz val="8"/>
            <color indexed="81"/>
            <rFont val="Tahoma"/>
            <family val="2"/>
          </rPr>
          <t>Factor 1,4 is to convert "typical value" into "default value</t>
        </r>
      </text>
    </comment>
    <comment ref="B140" authorId="1" shapeId="0" xr:uid="{00000000-0006-0000-1800-000016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140" authorId="0" shapeId="0" xr:uid="{00000000-0006-0000-1800-000017000000}">
      <text>
        <r>
          <rPr>
            <b/>
            <sz val="8"/>
            <color indexed="81"/>
            <rFont val="Tahoma"/>
            <family val="2"/>
          </rPr>
          <t>Electricity mix</t>
        </r>
        <r>
          <rPr>
            <sz val="8"/>
            <color indexed="81"/>
            <rFont val="Tahoma"/>
            <family val="2"/>
          </rPr>
          <t xml:space="preserve">
When making an actual calculation, the use of the input "Electricity EU mix LV" is not allowed. Use the electricity mix from the country in which the electricity is taken from the grid, by defining this mix in the list of additional standard values (following the example for “Average electricity mix in Malta”) and replacing “Electricity EU mix LV” in row B of this sheet by the name corresponding to the correct mix (for instance “Average electricity mix in Malta”).
More details can be found in the Calculation rules (chapter 4) and in the User manual (chapter 4).</t>
        </r>
      </text>
    </comment>
    <comment ref="B152" authorId="1" shapeId="0" xr:uid="{00000000-0006-0000-1800-000018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152" authorId="0" shapeId="0" xr:uid="{00000000-0006-0000-1800-000019000000}">
      <text>
        <r>
          <rPr>
            <b/>
            <sz val="8"/>
            <color indexed="81"/>
            <rFont val="Tahoma"/>
            <family val="2"/>
          </rPr>
          <t>Electricity mix</t>
        </r>
        <r>
          <rPr>
            <sz val="8"/>
            <color indexed="81"/>
            <rFont val="Tahoma"/>
            <family val="2"/>
          </rPr>
          <t xml:space="preserve">
When making an actual calculation, the use of the input "Electricity EU mix LV" is only allowed when the starting values in this step are kept.
When changing the starting values, use the electricity mix from the country in which the electricity is taken from the grid, by defining this mix in the list of additional standard values (following the example for “Average electricity mix in Malta”) and replacing “Electricity EU mix LV” in row B of this sheet by the name corresponding to the correct mix (for instance “Average electricity mix in Malta”).
More details can be found in the Calculation rules (chapter 4) and in the User manual (chapter 4).</t>
        </r>
      </text>
    </comment>
    <comment ref="B157" authorId="2" shapeId="0" xr:uid="{00000000-0006-0000-1800-00001A000000}">
      <text>
        <r>
          <rPr>
            <sz val="8"/>
            <color indexed="81"/>
            <rFont val="Tahoma"/>
            <family val="2"/>
          </rPr>
          <t>Annualised emissions from carbon stock changes caused by land-use change, e</t>
        </r>
        <r>
          <rPr>
            <sz val="8"/>
            <color indexed="81"/>
            <rFont val="Tahoma"/>
            <family val="2"/>
          </rPr>
          <t>l</t>
        </r>
        <r>
          <rPr>
            <sz val="8"/>
            <color indexed="81"/>
            <rFont val="Tahoma"/>
            <family val="2"/>
          </rPr>
          <t>, shall be calculated by dividing total emissions equally over 20 years. For the calculation of those emissions the following rule shall be applied:
e</t>
        </r>
        <r>
          <rPr>
            <sz val="8"/>
            <color indexed="81"/>
            <rFont val="Tahoma"/>
            <family val="2"/>
          </rPr>
          <t>l</t>
        </r>
        <r>
          <rPr>
            <sz val="8"/>
            <color indexed="81"/>
            <rFont val="Tahoma"/>
            <family val="2"/>
          </rPr>
          <t xml:space="preserve"> = (CS</t>
        </r>
        <r>
          <rPr>
            <sz val="8"/>
            <color indexed="81"/>
            <rFont val="Tahoma"/>
            <family val="2"/>
          </rPr>
          <t>R</t>
        </r>
        <r>
          <rPr>
            <sz val="8"/>
            <color indexed="81"/>
            <rFont val="Tahoma"/>
            <family val="2"/>
          </rPr>
          <t xml:space="preserve"> – CS</t>
        </r>
        <r>
          <rPr>
            <sz val="8"/>
            <color indexed="81"/>
            <rFont val="Tahoma"/>
            <family val="2"/>
          </rPr>
          <t>A</t>
        </r>
        <r>
          <rPr>
            <sz val="8"/>
            <color indexed="81"/>
            <rFont val="Tahoma"/>
            <family val="2"/>
          </rPr>
          <t>) × 3,664 × 1/20 × 1/P – e</t>
        </r>
        <r>
          <rPr>
            <sz val="8"/>
            <color indexed="81"/>
            <rFont val="Tahoma"/>
            <family val="2"/>
          </rPr>
          <t>B</t>
        </r>
        <r>
          <rPr>
            <sz val="8"/>
            <color indexed="81"/>
            <rFont val="Tahoma"/>
            <family val="2"/>
          </rPr>
          <t>(1)</t>
        </r>
        <r>
          <rPr>
            <sz val="8"/>
            <color indexed="81"/>
            <rFont val="Tahoma"/>
            <family val="2"/>
          </rPr>
          <t xml:space="preserve">
where
e</t>
        </r>
        <r>
          <rPr>
            <sz val="8"/>
            <color indexed="81"/>
            <rFont val="Tahoma"/>
            <family val="2"/>
          </rPr>
          <t>l</t>
        </r>
        <r>
          <rPr>
            <sz val="8"/>
            <color indexed="81"/>
            <rFont val="Tahoma"/>
            <family val="2"/>
          </rPr>
          <t xml:space="preserve"> = annualised greenhouse gas emissions from carbon stock change due to land-use change (measured as mass of CO</t>
        </r>
        <r>
          <rPr>
            <sz val="8"/>
            <color indexed="81"/>
            <rFont val="Tahoma"/>
            <family val="2"/>
          </rPr>
          <t>2</t>
        </r>
        <r>
          <rPr>
            <sz val="8"/>
            <color indexed="81"/>
            <rFont val="Tahoma"/>
            <family val="2"/>
          </rPr>
          <t>-equivalent per unit biofuel energy);
CS</t>
        </r>
        <r>
          <rPr>
            <sz val="8"/>
            <color indexed="81"/>
            <rFont val="Tahoma"/>
            <family val="2"/>
          </rPr>
          <t>R</t>
        </r>
        <r>
          <rPr>
            <sz val="8"/>
            <color indexed="81"/>
            <rFont val="Tahoma"/>
            <family val="2"/>
          </rPr>
          <t xml:space="preserve"> = the carbon stock per unit area associated with the reference land use (measured as mass of carbon per unit area, including both soil and vegetation). The reference land use shall be the land use in January 2008 or 20 years before the raw material was obtained, whichever was the later;
CS</t>
        </r>
        <r>
          <rPr>
            <sz val="8"/>
            <color indexed="81"/>
            <rFont val="Tahoma"/>
            <family val="2"/>
          </rPr>
          <t>A</t>
        </r>
        <r>
          <rPr>
            <sz val="8"/>
            <color indexed="81"/>
            <rFont val="Tahoma"/>
            <family val="2"/>
          </rPr>
          <t xml:space="preserve"> =the carbon stock per unit area associated with the actual land use (measured as mass of carbon per unit area, including both soil and vegetation). In cases where the carbon stock accumulates over more than one year, the value attributed to CS</t>
        </r>
        <r>
          <rPr>
            <sz val="8"/>
            <color indexed="81"/>
            <rFont val="Tahoma"/>
            <family val="2"/>
          </rPr>
          <t>A</t>
        </r>
        <r>
          <rPr>
            <sz val="8"/>
            <color indexed="81"/>
            <rFont val="Tahoma"/>
            <family val="2"/>
          </rPr>
          <t xml:space="preserve"> shall be the estimated stock per unit area after 20 years or when the crop reaches maturity, whichever the earlier;
P =the productivity of the crop (measured as biofuel or bioliquid energy per unit area per year); and
e</t>
        </r>
        <r>
          <rPr>
            <sz val="8"/>
            <color indexed="81"/>
            <rFont val="Tahoma"/>
            <family val="2"/>
          </rPr>
          <t>B</t>
        </r>
        <r>
          <rPr>
            <sz val="8"/>
            <color indexed="81"/>
            <rFont val="Tahoma"/>
            <family val="2"/>
          </rPr>
          <t xml:space="preserve"> =bonus of 29 gCO</t>
        </r>
        <r>
          <rPr>
            <sz val="8"/>
            <color indexed="81"/>
            <rFont val="Tahoma"/>
            <family val="2"/>
          </rPr>
          <t>2eq</t>
        </r>
        <r>
          <rPr>
            <sz val="8"/>
            <color indexed="81"/>
            <rFont val="Tahoma"/>
            <family val="2"/>
          </rPr>
          <t>/MJ biofuel or bioliquid if biomass is obtained from restored degraded land under the conditions provided for in point 8.
8.
The bonus of 29 gCO</t>
        </r>
        <r>
          <rPr>
            <sz val="8"/>
            <color indexed="81"/>
            <rFont val="Tahoma"/>
            <family val="2"/>
          </rPr>
          <t>2eq</t>
        </r>
        <r>
          <rPr>
            <sz val="8"/>
            <color indexed="81"/>
            <rFont val="Tahoma"/>
            <family val="2"/>
          </rPr>
          <t>/MJ shall be attributed if evidence is provided that the land:
(a) was not in use for agriculture or any other activity in January 2008; and
(b) falls into one of the following categories:
   (i) severely degraded land, including such land that was formerly in agricultural use;
   (ii) heavily contaminated land.
The bonus of 29 gCO</t>
        </r>
        <r>
          <rPr>
            <sz val="8"/>
            <color indexed="81"/>
            <rFont val="Tahoma"/>
            <family val="2"/>
          </rPr>
          <t>2eq</t>
        </r>
        <r>
          <rPr>
            <sz val="8"/>
            <color indexed="81"/>
            <rFont val="Tahoma"/>
            <family val="2"/>
          </rPr>
          <t>/MJ shall apply for a period of up to 10 years from the date of conversion of the land to agricultural use, provided that a steady increase in carbon stocks as well as a sizable reduction in erosion phenomena for land falling under (i) are ensured and that soil contamination for land falling under (ii) is reduced.
9.
The categories referred to in point 8(b) are defined as follows:
(a) ‘severely degraded land’ means land that, for a significant period of time, has either been significantly salinated or presented significantly low organic matter content and has been severely eroded;
(b) ‘heavily contaminated land’ means land that is unfit for the cultivation of food and feed due to soil contamination.
Such land shall include land that has been the subject of a Commission decision in accordance with the fourth subparagraph of Article 18(4).</t>
        </r>
        <r>
          <rPr>
            <sz val="8"/>
            <color indexed="81"/>
            <rFont val="Tahoma"/>
            <family val="2"/>
          </rPr>
          <t xml:space="preserve">
</t>
        </r>
        <r>
          <rPr>
            <sz val="8"/>
            <color indexed="81"/>
            <rFont val="Tahoma"/>
            <family val="2"/>
          </rPr>
          <t xml:space="preserve">
</t>
        </r>
        <r>
          <rPr>
            <sz val="8"/>
            <color indexed="81"/>
            <rFont val="Tahoma"/>
            <family val="2"/>
          </rPr>
          <t>(1)</t>
        </r>
        <r>
          <rPr>
            <sz val="8"/>
            <color indexed="81"/>
            <rFont val="Tahoma"/>
            <family val="2"/>
          </rPr>
          <t xml:space="preserve"> </t>
        </r>
        <r>
          <rPr>
            <sz val="8"/>
            <color indexed="81"/>
            <rFont val="Tahoma"/>
            <family val="2"/>
          </rPr>
          <t xml:space="preserve"> The quotient obtained by dividing the molecular weight of CO</t>
        </r>
        <r>
          <rPr>
            <sz val="8"/>
            <color indexed="81"/>
            <rFont val="Tahoma"/>
            <family val="2"/>
          </rPr>
          <t>2</t>
        </r>
        <r>
          <rPr>
            <sz val="8"/>
            <color indexed="81"/>
            <rFont val="Tahoma"/>
            <family val="2"/>
          </rPr>
          <t xml:space="preserve"> (44,010 g/mol) by the molecular weight of carbon (12,011 g/mol) is equal to 3,664.</t>
        </r>
      </text>
    </comment>
    <comment ref="C167" authorId="2" shapeId="0" xr:uid="{00000000-0006-0000-1800-00001B000000}">
      <text>
        <r>
          <rPr>
            <sz val="8"/>
            <color indexed="81"/>
            <rFont val="Tahoma"/>
            <family val="2"/>
          </rPr>
          <t xml:space="preserve">
8.
The bonus of 29 gCO2eq/MJ shall be attributed if evidence is provided that the land:
(a) was not in use for agriculture or any other activity in January 2008; and
(b) falls into one of the following categories:
   (i) severely degraded land, including such land that was formerly in agricultural use;
   (ii) heavily contaminated land.
The bonus of 29 gCO2eq/MJ shall apply for a period of up to 10 years from the date of conversion of the land to agricultural use, provided that a steady increase in carbon stocks as well as a sizable reduction in erosion phenomena for land falling under (i) are ensured and that soil contamination for land falling under (ii) is reduced.
9.
The categories referred to in point 8(b) are defined as follows:
(a) ‘severely degraded land’ means land that, for a significant period of time, has either been significantly salinated or presented significantly low organic matter content and has been severely eroded;
(b) ‘heavily contaminated land’ means land that is unfit for the cultivation of food and feed due to soil contamination.
Such land shall include land that has been the subject of a Commission decision in accordance with the fourth subparagraph of Article 18(4).</t>
        </r>
      </text>
    </comment>
    <comment ref="C189" authorId="2" shapeId="0" xr:uid="{00000000-0006-0000-1800-00001C000000}">
      <text>
        <r>
          <rPr>
            <sz val="8"/>
            <color indexed="81"/>
            <rFont val="Tahoma"/>
            <family val="2"/>
          </rPr>
          <t>Emission saving from carbon capture and replacement, e</t>
        </r>
        <r>
          <rPr>
            <sz val="8"/>
            <color indexed="81"/>
            <rFont val="Tahoma"/>
            <family val="2"/>
          </rPr>
          <t>ccr</t>
        </r>
        <r>
          <rPr>
            <sz val="8"/>
            <color indexed="81"/>
            <rFont val="Tahoma"/>
            <family val="2"/>
          </rPr>
          <t>, shall be limited to emissions avoided through the capture of CO</t>
        </r>
        <r>
          <rPr>
            <sz val="8"/>
            <color indexed="81"/>
            <rFont val="Tahoma"/>
            <family val="2"/>
          </rPr>
          <t>2</t>
        </r>
        <r>
          <rPr>
            <sz val="8"/>
            <color indexed="81"/>
            <rFont val="Tahoma"/>
            <family val="2"/>
          </rPr>
          <t xml:space="preserve"> of which the carbon originates from biomass and which is used to replace fossil-derived CO</t>
        </r>
        <r>
          <rPr>
            <sz val="8"/>
            <color indexed="81"/>
            <rFont val="Tahoma"/>
            <family val="2"/>
          </rPr>
          <t>2</t>
        </r>
        <r>
          <rPr>
            <sz val="8"/>
            <color indexed="81"/>
            <rFont val="Tahoma"/>
            <family val="2"/>
          </rPr>
          <t xml:space="preserve"> used in commercial products and services.</t>
        </r>
      </text>
    </comment>
    <comment ref="C195" authorId="2" shapeId="0" xr:uid="{00000000-0006-0000-1800-00001D000000}">
      <text>
        <r>
          <rPr>
            <sz val="8"/>
            <color indexed="81"/>
            <rFont val="Tahoma"/>
            <family val="2"/>
          </rPr>
          <t>Emission saving from carbon capture and geological storage e</t>
        </r>
        <r>
          <rPr>
            <sz val="8"/>
            <color indexed="81"/>
            <rFont val="Tahoma"/>
            <family val="2"/>
          </rPr>
          <t>ccs</t>
        </r>
        <r>
          <rPr>
            <sz val="8"/>
            <color indexed="81"/>
            <rFont val="Tahoma"/>
            <family val="2"/>
          </rPr>
          <t>, that have not already been accounted for in e</t>
        </r>
        <r>
          <rPr>
            <sz val="8"/>
            <color indexed="81"/>
            <rFont val="Tahoma"/>
            <family val="2"/>
          </rPr>
          <t>p</t>
        </r>
        <r>
          <rPr>
            <sz val="8"/>
            <color indexed="81"/>
            <rFont val="Tahoma"/>
            <family val="2"/>
          </rPr>
          <t>, shall be limited to emissions avoided through the capture and sequestration of emitted CO</t>
        </r>
        <r>
          <rPr>
            <sz val="8"/>
            <color indexed="81"/>
            <rFont val="Tahoma"/>
            <family val="2"/>
          </rPr>
          <t>2</t>
        </r>
        <r>
          <rPr>
            <sz val="8"/>
            <color indexed="81"/>
            <rFont val="Tahoma"/>
            <family val="2"/>
          </rPr>
          <t xml:space="preserve"> directly related to the extraction, transport, processing and distribution of fuel.</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neeft</author>
    <author>ahennecke</author>
    <author>Neeft, dr. J.P.A. (John)</author>
    <author>ludwiczekn</author>
    <author>sbu</author>
  </authors>
  <commentList>
    <comment ref="H7" authorId="0" shapeId="0" xr:uid="{00000000-0006-0000-1900-000001000000}">
      <text>
        <r>
          <rPr>
            <sz val="8"/>
            <color indexed="81"/>
            <rFont val="Tahoma"/>
            <family val="2"/>
          </rPr>
          <t>This value is not listed in the RED. 
It has been calculated on the basis of the JEC input, as is explained in "About"</t>
        </r>
      </text>
    </comment>
    <comment ref="H8" authorId="0" shapeId="0" xr:uid="{00000000-0006-0000-1900-000002000000}">
      <text>
        <r>
          <rPr>
            <sz val="8"/>
            <color indexed="81"/>
            <rFont val="Tahoma"/>
            <family val="2"/>
          </rPr>
          <t>This value is not listed in the RED. 
It has been calculated on the basis of the JEC input, as is explained in "About"</t>
        </r>
      </text>
    </comment>
    <comment ref="H10" authorId="0" shapeId="0" xr:uid="{00000000-0006-0000-1900-000003000000}">
      <text>
        <r>
          <rPr>
            <sz val="8"/>
            <color indexed="81"/>
            <rFont val="Tahoma"/>
            <family val="2"/>
          </rPr>
          <t>This value is not listed in the RED. 
It has been calculated on the basis of the JEC input, as is explained in "About"</t>
        </r>
      </text>
    </comment>
    <comment ref="H11" authorId="0" shapeId="0" xr:uid="{00000000-0006-0000-1900-000004000000}">
      <text>
        <r>
          <rPr>
            <sz val="8"/>
            <color indexed="81"/>
            <rFont val="Tahoma"/>
            <family val="2"/>
          </rPr>
          <t>This value is not listed in the RED. 
It has been calculated on the basis of the JEC input, as is explained in "About"</t>
        </r>
      </text>
    </comment>
    <comment ref="H13" authorId="0" shapeId="0" xr:uid="{00000000-0006-0000-1900-000005000000}">
      <text>
        <r>
          <rPr>
            <sz val="8"/>
            <color indexed="81"/>
            <rFont val="Tahoma"/>
            <family val="2"/>
          </rPr>
          <t>This value is not listed in the RED. 
It has been calculated on the basis of the JEC input, as is explained in "About"</t>
        </r>
      </text>
    </comment>
    <comment ref="H14" authorId="1" shapeId="0" xr:uid="{00000000-0006-0000-1900-000006000000}">
      <text>
        <r>
          <rPr>
            <sz val="8"/>
            <color indexed="81"/>
            <rFont val="Tahoma"/>
            <family val="2"/>
          </rPr>
          <t>This value is not listed in the RED. 
It has been calculated on the basis of the JEC input, as is explained in "About"</t>
        </r>
      </text>
    </comment>
    <comment ref="H15" authorId="0" shapeId="0" xr:uid="{00000000-0006-0000-1900-000007000000}">
      <text>
        <r>
          <rPr>
            <sz val="8"/>
            <color indexed="81"/>
            <rFont val="Tahoma"/>
            <family val="2"/>
          </rPr>
          <t>This value is not listed in the RED. 
It has been calculated on the basis of the JEC input, as is explained in "About"</t>
        </r>
      </text>
    </comment>
    <comment ref="H16" authorId="0" shapeId="0" xr:uid="{00000000-0006-0000-1900-000008000000}">
      <text>
        <r>
          <rPr>
            <sz val="8"/>
            <color indexed="81"/>
            <rFont val="Tahoma"/>
            <family val="2"/>
          </rPr>
          <t>This value is not listed in the RED. 
It has been calculated on the basis of the JEC input, as is explained in "About"</t>
        </r>
      </text>
    </comment>
    <comment ref="B61" authorId="2" shapeId="0" xr:uid="{00000000-0006-0000-1900-000009000000}">
      <text>
        <r>
          <rPr>
            <b/>
            <sz val="8"/>
            <color indexed="81"/>
            <rFont val="Tahoma"/>
            <family val="2"/>
          </rPr>
          <t>Electricity mix</t>
        </r>
        <r>
          <rPr>
            <sz val="8"/>
            <color indexed="81"/>
            <rFont val="Tahoma"/>
            <family val="2"/>
          </rPr>
          <t xml:space="preserve">
When making an actual calculation,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72" authorId="0" shapeId="0" xr:uid="{00000000-0006-0000-1900-00000A000000}">
      <text>
        <r>
          <rPr>
            <sz val="8"/>
            <color indexed="81"/>
            <rFont val="Tahoma"/>
            <family val="2"/>
          </rPr>
          <t xml:space="preserve">Factor 1,4 is to convert "typical value" into "default value.
</t>
        </r>
        <r>
          <rPr>
            <b/>
            <sz val="8"/>
            <color indexed="81"/>
            <rFont val="Tahoma"/>
            <family val="2"/>
          </rPr>
          <t>This number may be set to 1,0 in case an actual calculation in this process step is made.</t>
        </r>
      </text>
    </comment>
    <comment ref="B85" authorId="3" shapeId="0" xr:uid="{00000000-0006-0000-1900-00000B000000}">
      <text>
        <r>
          <rPr>
            <sz val="8"/>
            <color indexed="81"/>
            <rFont val="Tahoma"/>
            <family val="2"/>
          </rPr>
          <t>To be further specified - give GHG emission coefficients for fuel used (e.g. fibres) in "user defined standard values"</t>
        </r>
      </text>
    </comment>
    <comment ref="C89" authorId="0" shapeId="0" xr:uid="{00000000-0006-0000-1900-00000C000000}">
      <text>
        <r>
          <rPr>
            <sz val="8"/>
            <color indexed="81"/>
            <rFont val="Tahoma"/>
            <family val="2"/>
          </rPr>
          <t>Positive number indicates net consumption, negative number indicares net production</t>
        </r>
      </text>
    </comment>
    <comment ref="B90" authorId="3" shapeId="0" xr:uid="{00000000-0006-0000-1900-00000D000000}">
      <text>
        <r>
          <rPr>
            <sz val="8"/>
            <color indexed="81"/>
            <rFont val="Tahoma"/>
            <family val="2"/>
          </rPr>
          <t>To be further specified - give GHG emission coefficients for fuel used (e.g. fibres) in "user defined standard values"</t>
        </r>
      </text>
    </comment>
    <comment ref="B120" authorId="2" shapeId="0" xr:uid="{00000000-0006-0000-1900-00000E000000}">
      <text>
        <r>
          <rPr>
            <b/>
            <sz val="8"/>
            <color indexed="81"/>
            <rFont val="Tahoma"/>
            <family val="2"/>
          </rPr>
          <t>Electricity mix</t>
        </r>
        <r>
          <rPr>
            <sz val="8"/>
            <color indexed="81"/>
            <rFont val="Tahoma"/>
            <family val="2"/>
          </rPr>
          <t xml:space="preserve">
When making an actual calculation,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B122" authorId="2" shapeId="0" xr:uid="{00000000-0006-0000-1900-00000F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122" authorId="0" shapeId="0" xr:uid="{00000000-0006-0000-1900-000010000000}">
      <text>
        <r>
          <rPr>
            <b/>
            <sz val="8"/>
            <color indexed="81"/>
            <rFont val="Tahoma"/>
            <family val="2"/>
          </rPr>
          <t>Electricity mix</t>
        </r>
        <r>
          <rPr>
            <sz val="8"/>
            <color indexed="81"/>
            <rFont val="Tahoma"/>
            <family val="2"/>
          </rPr>
          <t xml:space="preserve">
When making an actual calculation, the use of the input "Electricity EU mix LV" is not allowed. Use the electricity mix from the country in which the electricity is taken from the grid, by defining this mix in the list of additional standard values (following the example for “Average electricity mix in Malta”) and replacing “Electricity EU mix LV” in row B of this sheet by the name corresponding to the correct mix (for instance “Average electricity mix in Malta”).
More details can be found in the Calculation rules (chapter 4) and in the User manual (chapter 4).</t>
        </r>
      </text>
    </comment>
    <comment ref="B134" authorId="2" shapeId="0" xr:uid="{00000000-0006-0000-1900-000011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134" authorId="0" shapeId="0" xr:uid="{00000000-0006-0000-1900-000012000000}">
      <text>
        <r>
          <rPr>
            <sz val="8"/>
            <color indexed="81"/>
            <rFont val="Tahoma"/>
            <family val="2"/>
          </rPr>
          <t xml:space="preserve">Factor 1,4 is to convert "typical value" into "default value.
</t>
        </r>
        <r>
          <rPr>
            <b/>
            <sz val="8"/>
            <color indexed="81"/>
            <rFont val="Tahoma"/>
            <family val="2"/>
          </rPr>
          <t>Electricity mix</t>
        </r>
        <r>
          <rPr>
            <sz val="8"/>
            <color indexed="81"/>
            <rFont val="Tahoma"/>
            <family val="2"/>
          </rPr>
          <t xml:space="preserve">
When making an actual calculation, the use of the input "Electricity EU mix MV" is not allowed. Use the electricity mix from the country in which the electricity is taken from the grid, by defining this mix in the list of additional standard values (following the example for “Average electricity mix in Malta”) and replacing “Electricity EU mix MV” in row B of this sheet by the name corresponding to the correct mix (for instance “Average electricity mix in Malta”).
More details can be found in the Calculation rules (chapter 4) and in the User manual (chapter 4).</t>
        </r>
      </text>
    </comment>
    <comment ref="C135" authorId="0" shapeId="0" xr:uid="{00000000-0006-0000-1900-000013000000}">
      <text>
        <r>
          <rPr>
            <sz val="8"/>
            <color indexed="81"/>
            <rFont val="Tahoma"/>
            <family val="2"/>
          </rPr>
          <t>Factor 1,4 is to convert "typical value" into "default value</t>
        </r>
      </text>
    </comment>
    <comment ref="B141" authorId="2" shapeId="0" xr:uid="{00000000-0006-0000-1900-000014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141" authorId="0" shapeId="0" xr:uid="{00000000-0006-0000-1900-000015000000}">
      <text>
        <r>
          <rPr>
            <b/>
            <sz val="8"/>
            <color indexed="81"/>
            <rFont val="Tahoma"/>
            <family val="2"/>
          </rPr>
          <t>Electricity mix</t>
        </r>
        <r>
          <rPr>
            <sz val="8"/>
            <color indexed="81"/>
            <rFont val="Tahoma"/>
            <family val="2"/>
          </rPr>
          <t xml:space="preserve">
When making an actual calculation, the use of the input "Electricity EU mix MV" is not allowed. Use the electricity mix from the country in which the electricity is taken from the grid, by defining this mix in the list of additional standard values (following the example for “Average electricity mix in Malta”) and replacing “Electricity EU mix MV” in row B of this sheet by the name corresponding to the correct mix (for instance “Average electricity mix in Malta”).
More details can be found in the Calculation rules (chapter 4) and in the User manual (chapter 4).
</t>
        </r>
      </text>
    </comment>
    <comment ref="C144" authorId="0" shapeId="0" xr:uid="{00000000-0006-0000-1900-000016000000}">
      <text>
        <r>
          <rPr>
            <sz val="8"/>
            <color indexed="81"/>
            <rFont val="Tahoma"/>
            <family val="2"/>
          </rPr>
          <t>Factor 1,4 is to convert "typical value" into "default value</t>
        </r>
      </text>
    </comment>
    <comment ref="B158" authorId="2" shapeId="0" xr:uid="{00000000-0006-0000-1900-000017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158" authorId="0" shapeId="0" xr:uid="{00000000-0006-0000-1900-000018000000}">
      <text>
        <r>
          <rPr>
            <b/>
            <sz val="8"/>
            <color indexed="81"/>
            <rFont val="Tahoma"/>
            <family val="2"/>
          </rPr>
          <t>Electricity mix</t>
        </r>
        <r>
          <rPr>
            <sz val="8"/>
            <color indexed="81"/>
            <rFont val="Tahoma"/>
            <family val="2"/>
          </rPr>
          <t xml:space="preserve">
When making an actual calculation, the use of the input "Electricity EU mix LV" is not allowed. Use the electricity mix from the country in which the electricity is taken from the grid, by defining this mix in the list of additional standard values (following the example for “Average electricity mix in Malta”) and replacing “Electricity EU mix LV” in row B of this sheet by the name corresponding to the correct mix (for instance “Average electricity mix in Malta”).
More details can be found in the Calculation rules (chapter 4) and in the User manual (chapter 4).</t>
        </r>
      </text>
    </comment>
    <comment ref="B170" authorId="2" shapeId="0" xr:uid="{00000000-0006-0000-1900-000019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170" authorId="0" shapeId="0" xr:uid="{00000000-0006-0000-1900-00001A000000}">
      <text>
        <r>
          <rPr>
            <b/>
            <sz val="8"/>
            <color indexed="81"/>
            <rFont val="Tahoma"/>
            <family val="2"/>
          </rPr>
          <t>Electricity mix</t>
        </r>
        <r>
          <rPr>
            <sz val="8"/>
            <color indexed="81"/>
            <rFont val="Tahoma"/>
            <family val="2"/>
          </rPr>
          <t xml:space="preserve">
When making an actual calculation, the use of the input "Electricity EU mix LV" is only allowed when the starting values in this step are kept.
When changing the starting values, use the electricity mix from the country in which the electricity is taken from the grid, by defining this mix in the list of additional standard values (following the example for “Average electricity mix in Malta”) and replacing “Electricity EU mix LV” in row B of this sheet by the name corresponding to the correct mix (for instance “Average electricity mix in Malta”).
More details can be found in the Calculation rules (chapter 4) and in the User manual (chapter 4).</t>
        </r>
      </text>
    </comment>
    <comment ref="B175" authorId="4" shapeId="0" xr:uid="{00000000-0006-0000-1900-00001B000000}">
      <text>
        <r>
          <rPr>
            <sz val="8"/>
            <color indexed="81"/>
            <rFont val="Tahoma"/>
            <family val="2"/>
          </rPr>
          <t>Annualised emissions from carbon stock changes caused by land-use change, e</t>
        </r>
        <r>
          <rPr>
            <sz val="8"/>
            <color indexed="81"/>
            <rFont val="Tahoma"/>
            <family val="2"/>
          </rPr>
          <t>l</t>
        </r>
        <r>
          <rPr>
            <sz val="8"/>
            <color indexed="81"/>
            <rFont val="Tahoma"/>
            <family val="2"/>
          </rPr>
          <t>, shall be calculated by dividing total emissions equally over 20 years. For the calculation of those emissions the following rule shall be applied:
e</t>
        </r>
        <r>
          <rPr>
            <sz val="8"/>
            <color indexed="81"/>
            <rFont val="Tahoma"/>
            <family val="2"/>
          </rPr>
          <t>l</t>
        </r>
        <r>
          <rPr>
            <sz val="8"/>
            <color indexed="81"/>
            <rFont val="Tahoma"/>
            <family val="2"/>
          </rPr>
          <t xml:space="preserve"> = (CS</t>
        </r>
        <r>
          <rPr>
            <sz val="8"/>
            <color indexed="81"/>
            <rFont val="Tahoma"/>
            <family val="2"/>
          </rPr>
          <t>R</t>
        </r>
        <r>
          <rPr>
            <sz val="8"/>
            <color indexed="81"/>
            <rFont val="Tahoma"/>
            <family val="2"/>
          </rPr>
          <t xml:space="preserve"> – CS</t>
        </r>
        <r>
          <rPr>
            <sz val="8"/>
            <color indexed="81"/>
            <rFont val="Tahoma"/>
            <family val="2"/>
          </rPr>
          <t>A</t>
        </r>
        <r>
          <rPr>
            <sz val="8"/>
            <color indexed="81"/>
            <rFont val="Tahoma"/>
            <family val="2"/>
          </rPr>
          <t>) × 3,664 × 1/20 × 1/P – e</t>
        </r>
        <r>
          <rPr>
            <sz val="8"/>
            <color indexed="81"/>
            <rFont val="Tahoma"/>
            <family val="2"/>
          </rPr>
          <t>B</t>
        </r>
        <r>
          <rPr>
            <sz val="8"/>
            <color indexed="81"/>
            <rFont val="Tahoma"/>
            <family val="2"/>
          </rPr>
          <t>(1)</t>
        </r>
        <r>
          <rPr>
            <sz val="8"/>
            <color indexed="81"/>
            <rFont val="Tahoma"/>
            <family val="2"/>
          </rPr>
          <t xml:space="preserve">
where
e</t>
        </r>
        <r>
          <rPr>
            <sz val="8"/>
            <color indexed="81"/>
            <rFont val="Tahoma"/>
            <family val="2"/>
          </rPr>
          <t>l</t>
        </r>
        <r>
          <rPr>
            <sz val="8"/>
            <color indexed="81"/>
            <rFont val="Tahoma"/>
            <family val="2"/>
          </rPr>
          <t xml:space="preserve"> = annualised greenhouse gas emissions from carbon stock change due to land-use change (measured as mass of CO</t>
        </r>
        <r>
          <rPr>
            <sz val="8"/>
            <color indexed="81"/>
            <rFont val="Tahoma"/>
            <family val="2"/>
          </rPr>
          <t>2</t>
        </r>
        <r>
          <rPr>
            <sz val="8"/>
            <color indexed="81"/>
            <rFont val="Tahoma"/>
            <family val="2"/>
          </rPr>
          <t>-equivalent per unit biofuel energy);
CS</t>
        </r>
        <r>
          <rPr>
            <sz val="8"/>
            <color indexed="81"/>
            <rFont val="Tahoma"/>
            <family val="2"/>
          </rPr>
          <t>R</t>
        </r>
        <r>
          <rPr>
            <sz val="8"/>
            <color indexed="81"/>
            <rFont val="Tahoma"/>
            <family val="2"/>
          </rPr>
          <t xml:space="preserve"> = the carbon stock per unit area associated with the reference land use (measured as mass of carbon per unit area, including both soil and vegetation). The reference land use shall be the land use in January 2008 or 20 years before the raw material was obtained, whichever was the later;
CS</t>
        </r>
        <r>
          <rPr>
            <sz val="8"/>
            <color indexed="81"/>
            <rFont val="Tahoma"/>
            <family val="2"/>
          </rPr>
          <t>A</t>
        </r>
        <r>
          <rPr>
            <sz val="8"/>
            <color indexed="81"/>
            <rFont val="Tahoma"/>
            <family val="2"/>
          </rPr>
          <t xml:space="preserve"> =the carbon stock per unit area associated with the actual land use (measured as mass of carbon per unit area, including both soil and vegetation). In cases where the carbon stock accumulates over more than one year, the value attributed to CS</t>
        </r>
        <r>
          <rPr>
            <sz val="8"/>
            <color indexed="81"/>
            <rFont val="Tahoma"/>
            <family val="2"/>
          </rPr>
          <t>A</t>
        </r>
        <r>
          <rPr>
            <sz val="8"/>
            <color indexed="81"/>
            <rFont val="Tahoma"/>
            <family val="2"/>
          </rPr>
          <t xml:space="preserve"> shall be the estimated stock per unit area after 20 years or when the crop reaches maturity, whichever the earlier;
P =the productivity of the crop (measured as biofuel or bioliquid energy per unit area per year); and
e</t>
        </r>
        <r>
          <rPr>
            <sz val="8"/>
            <color indexed="81"/>
            <rFont val="Tahoma"/>
            <family val="2"/>
          </rPr>
          <t>B</t>
        </r>
        <r>
          <rPr>
            <sz val="8"/>
            <color indexed="81"/>
            <rFont val="Tahoma"/>
            <family val="2"/>
          </rPr>
          <t xml:space="preserve"> =bonus of 29 gCO</t>
        </r>
        <r>
          <rPr>
            <sz val="8"/>
            <color indexed="81"/>
            <rFont val="Tahoma"/>
            <family val="2"/>
          </rPr>
          <t>2eq</t>
        </r>
        <r>
          <rPr>
            <sz val="8"/>
            <color indexed="81"/>
            <rFont val="Tahoma"/>
            <family val="2"/>
          </rPr>
          <t>/MJ biofuel or bioliquid if biomass is obtained from restored degraded land under the conditions provided for in point 8.
8.
The bonus of 29 gCO</t>
        </r>
        <r>
          <rPr>
            <sz val="8"/>
            <color indexed="81"/>
            <rFont val="Tahoma"/>
            <family val="2"/>
          </rPr>
          <t>2eq</t>
        </r>
        <r>
          <rPr>
            <sz val="8"/>
            <color indexed="81"/>
            <rFont val="Tahoma"/>
            <family val="2"/>
          </rPr>
          <t>/MJ shall be attributed if evidence is provided that the land:
(a) was not in use for agriculture or any other activity in January 2008; and
(b) falls into one of the following categories:
   (i) severely degraded land, including such land that was formerly in agricultural use;
   (ii) heavily contaminated land.
The bonus of 29 gCO</t>
        </r>
        <r>
          <rPr>
            <sz val="8"/>
            <color indexed="81"/>
            <rFont val="Tahoma"/>
            <family val="2"/>
          </rPr>
          <t>2eq</t>
        </r>
        <r>
          <rPr>
            <sz val="8"/>
            <color indexed="81"/>
            <rFont val="Tahoma"/>
            <family val="2"/>
          </rPr>
          <t>/MJ shall apply for a period of up to 10 years from the date of conversion of the land to agricultural use, provided that a steady increase in carbon stocks as well as a sizable reduction in erosion phenomena for land falling under (i) are ensured and that soil contamination for land falling under (ii) is reduced.
9.
The categories referred to in point 8(b) are defined as follows:
(a) ‘severely degraded land’ means land that, for a significant period of time, has either been significantly salinated or presented significantly low organic matter content and has been severely eroded;
(b) ‘heavily contaminated land’ means land that is unfit for the cultivation of food and feed due to soil contamination.
Such land shall include land that has been the subject of a Commission decision in accordance with the fourth subparagraph of Article 18(4).</t>
        </r>
        <r>
          <rPr>
            <sz val="8"/>
            <color indexed="81"/>
            <rFont val="Tahoma"/>
            <family val="2"/>
          </rPr>
          <t xml:space="preserve">
</t>
        </r>
        <r>
          <rPr>
            <sz val="8"/>
            <color indexed="81"/>
            <rFont val="Tahoma"/>
            <family val="2"/>
          </rPr>
          <t xml:space="preserve">
</t>
        </r>
        <r>
          <rPr>
            <sz val="8"/>
            <color indexed="81"/>
            <rFont val="Tahoma"/>
            <family val="2"/>
          </rPr>
          <t>(1)</t>
        </r>
        <r>
          <rPr>
            <sz val="8"/>
            <color indexed="81"/>
            <rFont val="Tahoma"/>
            <family val="2"/>
          </rPr>
          <t xml:space="preserve"> </t>
        </r>
        <r>
          <rPr>
            <sz val="8"/>
            <color indexed="81"/>
            <rFont val="Tahoma"/>
            <family val="2"/>
          </rPr>
          <t xml:space="preserve"> The quotient obtained by dividing the molecular weight of CO</t>
        </r>
        <r>
          <rPr>
            <sz val="8"/>
            <color indexed="81"/>
            <rFont val="Tahoma"/>
            <family val="2"/>
          </rPr>
          <t>2</t>
        </r>
        <r>
          <rPr>
            <sz val="8"/>
            <color indexed="81"/>
            <rFont val="Tahoma"/>
            <family val="2"/>
          </rPr>
          <t xml:space="preserve"> (44,010 g/mol) by the molecular weight of carbon (12,011 g/mol) is equal to 3,664.</t>
        </r>
      </text>
    </comment>
    <comment ref="C185" authorId="4" shapeId="0" xr:uid="{00000000-0006-0000-1900-00001C000000}">
      <text>
        <r>
          <rPr>
            <sz val="8"/>
            <color indexed="81"/>
            <rFont val="Tahoma"/>
            <family val="2"/>
          </rPr>
          <t xml:space="preserve">
8.
The bonus of 29 gCO2eq/MJ shall be attributed if evidence is provided that the land:
(a) was not in use for agriculture or any other activity in January 2008; and
(b) falls into one of the following categories:
   (i) severely degraded land, including such land that was formerly in agricultural use;
   (ii) heavily contaminated land.
The bonus of 29 gCO2eq/MJ shall apply for a period of up to 10 years from the date of conversion of the land to agricultural use, provided that a steady increase in carbon stocks as well as a sizable reduction in erosion phenomena for land falling under (i) are ensured and that soil contamination for land falling under (ii) is reduced.
9.
The categories referred to in point 8(b) are defined as follows:
(a) ‘severely degraded land’ means land that, for a significant period of time, has either been significantly salinated or presented significantly low organic matter content and has been severely eroded;
(b) ‘heavily contaminated land’ means land that is unfit for the cultivation of food and feed due to soil contamination.
Such land shall include land that has been the subject of a Commission decision in accordance with the fourth subparagraph of Article 18(4).</t>
        </r>
      </text>
    </comment>
    <comment ref="C207" authorId="4" shapeId="0" xr:uid="{00000000-0006-0000-1900-00001D000000}">
      <text>
        <r>
          <rPr>
            <sz val="8"/>
            <color indexed="81"/>
            <rFont val="Tahoma"/>
            <family val="2"/>
          </rPr>
          <t>Emission saving from carbon capture and replacement, e</t>
        </r>
        <r>
          <rPr>
            <sz val="8"/>
            <color indexed="81"/>
            <rFont val="Tahoma"/>
            <family val="2"/>
          </rPr>
          <t>ccr</t>
        </r>
        <r>
          <rPr>
            <sz val="8"/>
            <color indexed="81"/>
            <rFont val="Tahoma"/>
            <family val="2"/>
          </rPr>
          <t>, shall be limited to emissions avoided through the capture of CO</t>
        </r>
        <r>
          <rPr>
            <sz val="8"/>
            <color indexed="81"/>
            <rFont val="Tahoma"/>
            <family val="2"/>
          </rPr>
          <t>2</t>
        </r>
        <r>
          <rPr>
            <sz val="8"/>
            <color indexed="81"/>
            <rFont val="Tahoma"/>
            <family val="2"/>
          </rPr>
          <t xml:space="preserve"> of which the carbon originates from biomass and which is used to replace fossil-derived CO</t>
        </r>
        <r>
          <rPr>
            <sz val="8"/>
            <color indexed="81"/>
            <rFont val="Tahoma"/>
            <family val="2"/>
          </rPr>
          <t>2</t>
        </r>
        <r>
          <rPr>
            <sz val="8"/>
            <color indexed="81"/>
            <rFont val="Tahoma"/>
            <family val="2"/>
          </rPr>
          <t xml:space="preserve"> used in commercial products and services.</t>
        </r>
      </text>
    </comment>
    <comment ref="C213" authorId="4" shapeId="0" xr:uid="{00000000-0006-0000-1900-00001E000000}">
      <text>
        <r>
          <rPr>
            <sz val="8"/>
            <color indexed="81"/>
            <rFont val="Tahoma"/>
            <family val="2"/>
          </rPr>
          <t>Emission saving from carbon capture and geological storage e</t>
        </r>
        <r>
          <rPr>
            <sz val="8"/>
            <color indexed="81"/>
            <rFont val="Tahoma"/>
            <family val="2"/>
          </rPr>
          <t>ccs</t>
        </r>
        <r>
          <rPr>
            <sz val="8"/>
            <color indexed="81"/>
            <rFont val="Tahoma"/>
            <family val="2"/>
          </rPr>
          <t>, that have not already been accounted for in e</t>
        </r>
        <r>
          <rPr>
            <sz val="8"/>
            <color indexed="81"/>
            <rFont val="Tahoma"/>
            <family val="2"/>
          </rPr>
          <t>p</t>
        </r>
        <r>
          <rPr>
            <sz val="8"/>
            <color indexed="81"/>
            <rFont val="Tahoma"/>
            <family val="2"/>
          </rPr>
          <t>, shall be limited to emissions avoided through the capture and sequestration of emitted CO</t>
        </r>
        <r>
          <rPr>
            <sz val="8"/>
            <color indexed="81"/>
            <rFont val="Tahoma"/>
            <family val="2"/>
          </rPr>
          <t>2</t>
        </r>
        <r>
          <rPr>
            <sz val="8"/>
            <color indexed="81"/>
            <rFont val="Tahoma"/>
            <family val="2"/>
          </rPr>
          <t xml:space="preserve"> directly related to the extraction, transport, processing and distribution of fuel.</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neeft</author>
    <author>ahennecke</author>
    <author>Neeft, dr. J.P.A. (John)</author>
    <author>ludwiczekn</author>
    <author>sbu</author>
  </authors>
  <commentList>
    <comment ref="H7" authorId="0" shapeId="0" xr:uid="{00000000-0006-0000-1A00-000001000000}">
      <text>
        <r>
          <rPr>
            <sz val="8"/>
            <color indexed="81"/>
            <rFont val="Tahoma"/>
            <family val="2"/>
          </rPr>
          <t>This value is not listed in the RED. 
It has been calculated on the basis of the JEC input, as is explained in "About"</t>
        </r>
      </text>
    </comment>
    <comment ref="H8" authorId="0" shapeId="0" xr:uid="{00000000-0006-0000-1A00-000002000000}">
      <text>
        <r>
          <rPr>
            <sz val="8"/>
            <color indexed="81"/>
            <rFont val="Tahoma"/>
            <family val="2"/>
          </rPr>
          <t>This value is not listed in the RED. 
It has been calculated on the basis of the JEC input, as is explained in "About"</t>
        </r>
      </text>
    </comment>
    <comment ref="H10" authorId="0" shapeId="0" xr:uid="{00000000-0006-0000-1A00-000003000000}">
      <text>
        <r>
          <rPr>
            <sz val="8"/>
            <color indexed="81"/>
            <rFont val="Tahoma"/>
            <family val="2"/>
          </rPr>
          <t>This value is not listed in the RED. 
It has been calculated on the basis of the JEC input, as is explained in "About"</t>
        </r>
      </text>
    </comment>
    <comment ref="H11" authorId="0" shapeId="0" xr:uid="{00000000-0006-0000-1A00-000004000000}">
      <text>
        <r>
          <rPr>
            <sz val="8"/>
            <color indexed="81"/>
            <rFont val="Tahoma"/>
            <family val="2"/>
          </rPr>
          <t>This value is not listed in the RED. 
It has been calculated on the basis of the JEC input, as is explained in "About"</t>
        </r>
      </text>
    </comment>
    <comment ref="H13" authorId="0" shapeId="0" xr:uid="{00000000-0006-0000-1A00-000005000000}">
      <text>
        <r>
          <rPr>
            <sz val="8"/>
            <color indexed="81"/>
            <rFont val="Tahoma"/>
            <family val="2"/>
          </rPr>
          <t>This value is not listed in the RED. 
It has been calculated on the basis of the JEC input, as is explained in "About"</t>
        </r>
      </text>
    </comment>
    <comment ref="H14" authorId="1" shapeId="0" xr:uid="{00000000-0006-0000-1A00-000006000000}">
      <text>
        <r>
          <rPr>
            <sz val="8"/>
            <color indexed="81"/>
            <rFont val="Tahoma"/>
            <family val="2"/>
          </rPr>
          <t>This value is not listed in the RED. 
It has been calculated on the basis of the JEC input, as is explained in "About"</t>
        </r>
      </text>
    </comment>
    <comment ref="H15" authorId="0" shapeId="0" xr:uid="{00000000-0006-0000-1A00-000007000000}">
      <text>
        <r>
          <rPr>
            <sz val="8"/>
            <color indexed="81"/>
            <rFont val="Tahoma"/>
            <family val="2"/>
          </rPr>
          <t>This value is not listed in the RED. 
It has been calculated on the basis of the JEC input, as is explained in "About"</t>
        </r>
      </text>
    </comment>
    <comment ref="H16" authorId="0" shapeId="0" xr:uid="{00000000-0006-0000-1A00-000008000000}">
      <text>
        <r>
          <rPr>
            <sz val="8"/>
            <color indexed="81"/>
            <rFont val="Tahoma"/>
            <family val="2"/>
          </rPr>
          <t>This value is not listed in the RED. 
It has been calculated on the basis of the JEC input, as is explained in "About"</t>
        </r>
      </text>
    </comment>
    <comment ref="B61" authorId="2" shapeId="0" xr:uid="{00000000-0006-0000-1A00-000009000000}">
      <text>
        <r>
          <rPr>
            <b/>
            <sz val="8"/>
            <color indexed="81"/>
            <rFont val="Tahoma"/>
            <family val="2"/>
          </rPr>
          <t>Electricity mix</t>
        </r>
        <r>
          <rPr>
            <sz val="8"/>
            <color indexed="81"/>
            <rFont val="Tahoma"/>
            <family val="2"/>
          </rPr>
          <t xml:space="preserve">
When making an actual calculation,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B83" authorId="3" shapeId="0" xr:uid="{00000000-0006-0000-1A00-00000A000000}">
      <text>
        <r>
          <rPr>
            <sz val="8"/>
            <color indexed="81"/>
            <rFont val="Tahoma"/>
            <family val="2"/>
          </rPr>
          <t>To be further specified - give GHG emission coefficients for fuel used (e.g. fibres) in "user defined standard values"</t>
        </r>
      </text>
    </comment>
    <comment ref="C87" authorId="0" shapeId="0" xr:uid="{00000000-0006-0000-1A00-00000B000000}">
      <text>
        <r>
          <rPr>
            <sz val="8"/>
            <color indexed="81"/>
            <rFont val="Tahoma"/>
            <family val="2"/>
          </rPr>
          <t>Positive number indicates net consumption, negative number indicares net production</t>
        </r>
      </text>
    </comment>
    <comment ref="B88" authorId="3" shapeId="0" xr:uid="{00000000-0006-0000-1A00-00000C000000}">
      <text>
        <r>
          <rPr>
            <sz val="8"/>
            <color indexed="81"/>
            <rFont val="Tahoma"/>
            <family val="2"/>
          </rPr>
          <t>To be further specified - give GHG emission coefficients for fuel used (e.g. fibres) in "user defined standard values"</t>
        </r>
      </text>
    </comment>
    <comment ref="B118" authorId="2" shapeId="0" xr:uid="{00000000-0006-0000-1A00-00000D000000}">
      <text>
        <r>
          <rPr>
            <b/>
            <sz val="8"/>
            <color indexed="81"/>
            <rFont val="Tahoma"/>
            <family val="2"/>
          </rPr>
          <t>Electricity mix</t>
        </r>
        <r>
          <rPr>
            <sz val="8"/>
            <color indexed="81"/>
            <rFont val="Tahoma"/>
            <family val="2"/>
          </rPr>
          <t xml:space="preserve">
When making an actual calculation,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B120" authorId="2" shapeId="0" xr:uid="{00000000-0006-0000-1A00-00000E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120" authorId="0" shapeId="0" xr:uid="{00000000-0006-0000-1A00-00000F000000}">
      <text>
        <r>
          <rPr>
            <b/>
            <sz val="8"/>
            <color indexed="81"/>
            <rFont val="Tahoma"/>
            <family val="2"/>
          </rPr>
          <t>Electricity mix</t>
        </r>
        <r>
          <rPr>
            <sz val="8"/>
            <color indexed="81"/>
            <rFont val="Tahoma"/>
            <family val="2"/>
          </rPr>
          <t xml:space="preserve">
When making an actual calculation, the use of the input "Electricity EU mix LV" is not allowed. Use the electricity mix from the country in which the electricity is taken from the grid, by defining this mix in the list of additional standard values (following the example for “Average electricity mix in Malta”) and replacing “Electricity EU mix LV” in row B of this sheet by the name corresponding to the correct mix (for instance “Average electricity mix in Malta”).
More details can be found in the Calculation rules (chapter 4) and in the User manual (chapter 4).</t>
        </r>
      </text>
    </comment>
    <comment ref="B132" authorId="2" shapeId="0" xr:uid="{00000000-0006-0000-1A00-000010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132" authorId="0" shapeId="0" xr:uid="{00000000-0006-0000-1A00-000011000000}">
      <text>
        <r>
          <rPr>
            <sz val="8"/>
            <color indexed="81"/>
            <rFont val="Tahoma"/>
            <family val="2"/>
          </rPr>
          <t xml:space="preserve">Factor 1,4 is to convert "typical value" into "default value.
</t>
        </r>
        <r>
          <rPr>
            <b/>
            <sz val="8"/>
            <color indexed="81"/>
            <rFont val="Tahoma"/>
            <family val="2"/>
          </rPr>
          <t>Electricity mix</t>
        </r>
        <r>
          <rPr>
            <sz val="8"/>
            <color indexed="81"/>
            <rFont val="Tahoma"/>
            <family val="2"/>
          </rPr>
          <t xml:space="preserve">
When making an actual calculation, the use of the input "Electricity EU mix MV" is not allowed. Use the electricity mix from the country in which the electricity is taken from the grid, by defining this mix in the list of additional standard values (following the example for “Average electricity mix in Malta”) and replacing “Electricity EU mix MV” in row B of this sheet by the name corresponding to the correct mix (for instance “Average electricity mix in Malta”).
More details can be found in the Calculation rules (chapter 4) and in the User manual (chapter 4).</t>
        </r>
      </text>
    </comment>
    <comment ref="C133" authorId="0" shapeId="0" xr:uid="{00000000-0006-0000-1A00-000012000000}">
      <text>
        <r>
          <rPr>
            <sz val="8"/>
            <color indexed="81"/>
            <rFont val="Tahoma"/>
            <family val="2"/>
          </rPr>
          <t>Factor 1,4 is to convert "typical value" into "default value</t>
        </r>
      </text>
    </comment>
    <comment ref="B139" authorId="2" shapeId="0" xr:uid="{00000000-0006-0000-1A00-000013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139" authorId="0" shapeId="0" xr:uid="{00000000-0006-0000-1A00-000014000000}">
      <text>
        <r>
          <rPr>
            <b/>
            <sz val="8"/>
            <color indexed="81"/>
            <rFont val="Tahoma"/>
            <family val="2"/>
          </rPr>
          <t>Electricity mix</t>
        </r>
        <r>
          <rPr>
            <sz val="8"/>
            <color indexed="81"/>
            <rFont val="Tahoma"/>
            <family val="2"/>
          </rPr>
          <t xml:space="preserve">
When making an actual calculation, the use of the input "Electricity EU mix MV" is not allowed. Use the electricity mix from the country in which the electricity is taken from the grid, by defining this mix in the list of additional standard values (following the example for “Average electricity mix in Malta”) and replacing “Electricity EU mix MV” in row B of this sheet by the name corresponding to the correct mix (for instance “Average electricity mix in Malta”).
More details can be found in the Calculation rules (chapter 4) and in the User manual (chapter 4).
</t>
        </r>
      </text>
    </comment>
    <comment ref="C142" authorId="0" shapeId="0" xr:uid="{00000000-0006-0000-1A00-000015000000}">
      <text>
        <r>
          <rPr>
            <sz val="8"/>
            <color indexed="81"/>
            <rFont val="Tahoma"/>
            <family val="2"/>
          </rPr>
          <t>Factor 1,4 is to convert "typical value" into "default value</t>
        </r>
      </text>
    </comment>
    <comment ref="B156" authorId="2" shapeId="0" xr:uid="{00000000-0006-0000-1A00-000016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156" authorId="0" shapeId="0" xr:uid="{00000000-0006-0000-1A00-000017000000}">
      <text>
        <r>
          <rPr>
            <b/>
            <sz val="8"/>
            <color indexed="81"/>
            <rFont val="Tahoma"/>
            <family val="2"/>
          </rPr>
          <t>Electricity mix</t>
        </r>
        <r>
          <rPr>
            <sz val="8"/>
            <color indexed="81"/>
            <rFont val="Tahoma"/>
            <family val="2"/>
          </rPr>
          <t xml:space="preserve">
When making an actual calculation, the use of the input "Electricity EU mix LV" is not allowed. Use the electricity mix from the country in which the electricity is taken from the grid, by defining this mix in the list of additional standard values (following the example for “Average electricity mix in Malta”) and replacing “Electricity EU mix LV” in row B of this sheet by the name corresponding to the correct mix (for instance “Average electricity mix in Malta”).
More details can be found in the Calculation rules (chapter 4) and in the User manual (chapter 4).</t>
        </r>
      </text>
    </comment>
    <comment ref="B168" authorId="2" shapeId="0" xr:uid="{00000000-0006-0000-1A00-000018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168" authorId="0" shapeId="0" xr:uid="{00000000-0006-0000-1A00-000019000000}">
      <text>
        <r>
          <rPr>
            <b/>
            <sz val="8"/>
            <color indexed="81"/>
            <rFont val="Tahoma"/>
            <family val="2"/>
          </rPr>
          <t>Electricity mix</t>
        </r>
        <r>
          <rPr>
            <sz val="8"/>
            <color indexed="81"/>
            <rFont val="Tahoma"/>
            <family val="2"/>
          </rPr>
          <t xml:space="preserve">
When making an actual calculation, the use of the input "Electricity EU mix LV" is only allowed when the starting values in this step are kept.
When changing the starting values, use the electricity mix from the country in which the electricity is taken from the grid, by defining this mix in the list of additional standard values (following the example for “Average electricity mix in Malta”) and replacing “Electricity EU mix LV” in row B of this sheet by the name corresponding to the correct mix (for instance “Average electricity mix in Malta”).
More details can be found in the Calculation rules (chapter 4) and in the User manual (chapter 4).</t>
        </r>
      </text>
    </comment>
    <comment ref="B173" authorId="4" shapeId="0" xr:uid="{00000000-0006-0000-1A00-00001A000000}">
      <text>
        <r>
          <rPr>
            <sz val="8"/>
            <color indexed="81"/>
            <rFont val="Tahoma"/>
            <family val="2"/>
          </rPr>
          <t>Annualised emissions from carbon stock changes caused by land-use change, e</t>
        </r>
        <r>
          <rPr>
            <sz val="8"/>
            <color indexed="81"/>
            <rFont val="Tahoma"/>
            <family val="2"/>
          </rPr>
          <t>l</t>
        </r>
        <r>
          <rPr>
            <sz val="8"/>
            <color indexed="81"/>
            <rFont val="Tahoma"/>
            <family val="2"/>
          </rPr>
          <t>, shall be calculated by dividing total emissions equally over 20 years. For the calculation of those emissions the following rule shall be applied:
e</t>
        </r>
        <r>
          <rPr>
            <sz val="8"/>
            <color indexed="81"/>
            <rFont val="Tahoma"/>
            <family val="2"/>
          </rPr>
          <t>l</t>
        </r>
        <r>
          <rPr>
            <sz val="8"/>
            <color indexed="81"/>
            <rFont val="Tahoma"/>
            <family val="2"/>
          </rPr>
          <t xml:space="preserve"> = (CS</t>
        </r>
        <r>
          <rPr>
            <sz val="8"/>
            <color indexed="81"/>
            <rFont val="Tahoma"/>
            <family val="2"/>
          </rPr>
          <t>R</t>
        </r>
        <r>
          <rPr>
            <sz val="8"/>
            <color indexed="81"/>
            <rFont val="Tahoma"/>
            <family val="2"/>
          </rPr>
          <t xml:space="preserve"> – CS</t>
        </r>
        <r>
          <rPr>
            <sz val="8"/>
            <color indexed="81"/>
            <rFont val="Tahoma"/>
            <family val="2"/>
          </rPr>
          <t>A</t>
        </r>
        <r>
          <rPr>
            <sz val="8"/>
            <color indexed="81"/>
            <rFont val="Tahoma"/>
            <family val="2"/>
          </rPr>
          <t>) × 3,664 × 1/20 × 1/P – e</t>
        </r>
        <r>
          <rPr>
            <sz val="8"/>
            <color indexed="81"/>
            <rFont val="Tahoma"/>
            <family val="2"/>
          </rPr>
          <t>B</t>
        </r>
        <r>
          <rPr>
            <sz val="8"/>
            <color indexed="81"/>
            <rFont val="Tahoma"/>
            <family val="2"/>
          </rPr>
          <t>(1)</t>
        </r>
        <r>
          <rPr>
            <sz val="8"/>
            <color indexed="81"/>
            <rFont val="Tahoma"/>
            <family val="2"/>
          </rPr>
          <t xml:space="preserve">
where
e</t>
        </r>
        <r>
          <rPr>
            <sz val="8"/>
            <color indexed="81"/>
            <rFont val="Tahoma"/>
            <family val="2"/>
          </rPr>
          <t>l</t>
        </r>
        <r>
          <rPr>
            <sz val="8"/>
            <color indexed="81"/>
            <rFont val="Tahoma"/>
            <family val="2"/>
          </rPr>
          <t xml:space="preserve"> = annualised greenhouse gas emissions from carbon stock change due to land-use change (measured as mass of CO</t>
        </r>
        <r>
          <rPr>
            <sz val="8"/>
            <color indexed="81"/>
            <rFont val="Tahoma"/>
            <family val="2"/>
          </rPr>
          <t>2</t>
        </r>
        <r>
          <rPr>
            <sz val="8"/>
            <color indexed="81"/>
            <rFont val="Tahoma"/>
            <family val="2"/>
          </rPr>
          <t>-equivalent per unit biofuel energy);
CS</t>
        </r>
        <r>
          <rPr>
            <sz val="8"/>
            <color indexed="81"/>
            <rFont val="Tahoma"/>
            <family val="2"/>
          </rPr>
          <t>R</t>
        </r>
        <r>
          <rPr>
            <sz val="8"/>
            <color indexed="81"/>
            <rFont val="Tahoma"/>
            <family val="2"/>
          </rPr>
          <t xml:space="preserve"> = the carbon stock per unit area associated with the reference land use (measured as mass of carbon per unit area, including both soil and vegetation). The reference land use shall be the land use in January 2008 or 20 years before the raw material was obtained, whichever was the later;
CS</t>
        </r>
        <r>
          <rPr>
            <sz val="8"/>
            <color indexed="81"/>
            <rFont val="Tahoma"/>
            <family val="2"/>
          </rPr>
          <t>A</t>
        </r>
        <r>
          <rPr>
            <sz val="8"/>
            <color indexed="81"/>
            <rFont val="Tahoma"/>
            <family val="2"/>
          </rPr>
          <t xml:space="preserve"> =the carbon stock per unit area associated with the actual land use (measured as mass of carbon per unit area, including both soil and vegetation). In cases where the carbon stock accumulates over more than one year, the value attributed to CS</t>
        </r>
        <r>
          <rPr>
            <sz val="8"/>
            <color indexed="81"/>
            <rFont val="Tahoma"/>
            <family val="2"/>
          </rPr>
          <t>A</t>
        </r>
        <r>
          <rPr>
            <sz val="8"/>
            <color indexed="81"/>
            <rFont val="Tahoma"/>
            <family val="2"/>
          </rPr>
          <t xml:space="preserve"> shall be the estimated stock per unit area after 20 years or when the crop reaches maturity, whichever the earlier;
P =the productivity of the crop (measured as biofuel or bioliquid energy per unit area per year); and
e</t>
        </r>
        <r>
          <rPr>
            <sz val="8"/>
            <color indexed="81"/>
            <rFont val="Tahoma"/>
            <family val="2"/>
          </rPr>
          <t>B</t>
        </r>
        <r>
          <rPr>
            <sz val="8"/>
            <color indexed="81"/>
            <rFont val="Tahoma"/>
            <family val="2"/>
          </rPr>
          <t xml:space="preserve"> =bonus of 29 gCO</t>
        </r>
        <r>
          <rPr>
            <sz val="8"/>
            <color indexed="81"/>
            <rFont val="Tahoma"/>
            <family val="2"/>
          </rPr>
          <t>2eq</t>
        </r>
        <r>
          <rPr>
            <sz val="8"/>
            <color indexed="81"/>
            <rFont val="Tahoma"/>
            <family val="2"/>
          </rPr>
          <t>/MJ biofuel or bioliquid if biomass is obtained from restored degraded land under the conditions provided for in point 8.
8.
The bonus of 29 gCO</t>
        </r>
        <r>
          <rPr>
            <sz val="8"/>
            <color indexed="81"/>
            <rFont val="Tahoma"/>
            <family val="2"/>
          </rPr>
          <t>2eq</t>
        </r>
        <r>
          <rPr>
            <sz val="8"/>
            <color indexed="81"/>
            <rFont val="Tahoma"/>
            <family val="2"/>
          </rPr>
          <t>/MJ shall be attributed if evidence is provided that the land:
(a) was not in use for agriculture or any other activity in January 2008; and
(b) falls into one of the following categories:
   (i) severely degraded land, including such land that was formerly in agricultural use;
   (ii) heavily contaminated land.
The bonus of 29 gCO</t>
        </r>
        <r>
          <rPr>
            <sz val="8"/>
            <color indexed="81"/>
            <rFont val="Tahoma"/>
            <family val="2"/>
          </rPr>
          <t>2eq</t>
        </r>
        <r>
          <rPr>
            <sz val="8"/>
            <color indexed="81"/>
            <rFont val="Tahoma"/>
            <family val="2"/>
          </rPr>
          <t>/MJ shall apply for a period of up to 10 years from the date of conversion of the land to agricultural use, provided that a steady increase in carbon stocks as well as a sizable reduction in erosion phenomena for land falling under (i) are ensured and that soil contamination for land falling under (ii) is reduced.
9.
The categories referred to in point 8(b) are defined as follows:
(a) ‘severely degraded land’ means land that, for a significant period of time, has either been significantly salinated or presented significantly low organic matter content and has been severely eroded;
(b) ‘heavily contaminated land’ means land that is unfit for the cultivation of food and feed due to soil contamination.
Such land shall include land that has been the subject of a Commission decision in accordance with the fourth subparagraph of Article 18(4).</t>
        </r>
        <r>
          <rPr>
            <sz val="8"/>
            <color indexed="81"/>
            <rFont val="Tahoma"/>
            <family val="2"/>
          </rPr>
          <t xml:space="preserve">
</t>
        </r>
        <r>
          <rPr>
            <sz val="8"/>
            <color indexed="81"/>
            <rFont val="Tahoma"/>
            <family val="2"/>
          </rPr>
          <t xml:space="preserve">
</t>
        </r>
        <r>
          <rPr>
            <sz val="8"/>
            <color indexed="81"/>
            <rFont val="Tahoma"/>
            <family val="2"/>
          </rPr>
          <t>(1)</t>
        </r>
        <r>
          <rPr>
            <sz val="8"/>
            <color indexed="81"/>
            <rFont val="Tahoma"/>
            <family val="2"/>
          </rPr>
          <t xml:space="preserve"> </t>
        </r>
        <r>
          <rPr>
            <sz val="8"/>
            <color indexed="81"/>
            <rFont val="Tahoma"/>
            <family val="2"/>
          </rPr>
          <t xml:space="preserve"> The quotient obtained by dividing the molecular weight of CO</t>
        </r>
        <r>
          <rPr>
            <sz val="8"/>
            <color indexed="81"/>
            <rFont val="Tahoma"/>
            <family val="2"/>
          </rPr>
          <t>2</t>
        </r>
        <r>
          <rPr>
            <sz val="8"/>
            <color indexed="81"/>
            <rFont val="Tahoma"/>
            <family val="2"/>
          </rPr>
          <t xml:space="preserve"> (44,010 g/mol) by the molecular weight of carbon (12,011 g/mol) is equal to 3,664.</t>
        </r>
      </text>
    </comment>
    <comment ref="C183" authorId="4" shapeId="0" xr:uid="{00000000-0006-0000-1A00-00001B000000}">
      <text>
        <r>
          <rPr>
            <sz val="8"/>
            <color indexed="81"/>
            <rFont val="Tahoma"/>
            <family val="2"/>
          </rPr>
          <t xml:space="preserve">
8.
The bonus of 29 gCO2eq/MJ shall be attributed if evidence is provided that the land:
(a) was not in use for agriculture or any other activity in January 2008; and
(b) falls into one of the following categories:
   (i) severely degraded land, including such land that was formerly in agricultural use;
   (ii) heavily contaminated land.
The bonus of 29 gCO2eq/MJ shall apply for a period of up to 10 years from the date of conversion of the land to agricultural use, provided that a steady increase in carbon stocks as well as a sizable reduction in erosion phenomena for land falling under (i) are ensured and that soil contamination for land falling under (ii) is reduced.
9.
The categories referred to in point 8(b) are defined as follows:
(a) ‘severely degraded land’ means land that, for a significant period of time, has either been significantly salinated or presented significantly low organic matter content and has been severely eroded;
(b) ‘heavily contaminated land’ means land that is unfit for the cultivation of food and feed due to soil contamination.
Such land shall include land that has been the subject of a Commission decision in accordance with the fourth subparagraph of Article 18(4).</t>
        </r>
      </text>
    </comment>
    <comment ref="C205" authorId="4" shapeId="0" xr:uid="{00000000-0006-0000-1A00-00001C000000}">
      <text>
        <r>
          <rPr>
            <sz val="8"/>
            <color indexed="81"/>
            <rFont val="Tahoma"/>
            <family val="2"/>
          </rPr>
          <t>Emission saving from carbon capture and replacement, e</t>
        </r>
        <r>
          <rPr>
            <sz val="8"/>
            <color indexed="81"/>
            <rFont val="Tahoma"/>
            <family val="2"/>
          </rPr>
          <t>ccr</t>
        </r>
        <r>
          <rPr>
            <sz val="8"/>
            <color indexed="81"/>
            <rFont val="Tahoma"/>
            <family val="2"/>
          </rPr>
          <t>, shall be limited to emissions avoided through the capture of CO</t>
        </r>
        <r>
          <rPr>
            <sz val="8"/>
            <color indexed="81"/>
            <rFont val="Tahoma"/>
            <family val="2"/>
          </rPr>
          <t>2</t>
        </r>
        <r>
          <rPr>
            <sz val="8"/>
            <color indexed="81"/>
            <rFont val="Tahoma"/>
            <family val="2"/>
          </rPr>
          <t xml:space="preserve"> of which the carbon originates from biomass and which is used to replace fossil-derived CO</t>
        </r>
        <r>
          <rPr>
            <sz val="8"/>
            <color indexed="81"/>
            <rFont val="Tahoma"/>
            <family val="2"/>
          </rPr>
          <t>2</t>
        </r>
        <r>
          <rPr>
            <sz val="8"/>
            <color indexed="81"/>
            <rFont val="Tahoma"/>
            <family val="2"/>
          </rPr>
          <t xml:space="preserve"> used in commercial products and services.</t>
        </r>
      </text>
    </comment>
    <comment ref="C211" authorId="4" shapeId="0" xr:uid="{00000000-0006-0000-1A00-00001D000000}">
      <text>
        <r>
          <rPr>
            <sz val="8"/>
            <color indexed="81"/>
            <rFont val="Tahoma"/>
            <family val="2"/>
          </rPr>
          <t>Emission saving from carbon capture and geological storage e</t>
        </r>
        <r>
          <rPr>
            <sz val="8"/>
            <color indexed="81"/>
            <rFont val="Tahoma"/>
            <family val="2"/>
          </rPr>
          <t>ccs</t>
        </r>
        <r>
          <rPr>
            <sz val="8"/>
            <color indexed="81"/>
            <rFont val="Tahoma"/>
            <family val="2"/>
          </rPr>
          <t>, that have not already been accounted for in e</t>
        </r>
        <r>
          <rPr>
            <sz val="8"/>
            <color indexed="81"/>
            <rFont val="Tahoma"/>
            <family val="2"/>
          </rPr>
          <t>p</t>
        </r>
        <r>
          <rPr>
            <sz val="8"/>
            <color indexed="81"/>
            <rFont val="Tahoma"/>
            <family val="2"/>
          </rPr>
          <t>, shall be limited to emissions avoided through the capture and sequestration of emitted CO</t>
        </r>
        <r>
          <rPr>
            <sz val="8"/>
            <color indexed="81"/>
            <rFont val="Tahoma"/>
            <family val="2"/>
          </rPr>
          <t>2</t>
        </r>
        <r>
          <rPr>
            <sz val="8"/>
            <color indexed="81"/>
            <rFont val="Tahoma"/>
            <family val="2"/>
          </rPr>
          <t xml:space="preserve"> directly related to the extraction, transport, processing and distribution of fuel.</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neeft</author>
    <author>Neeft, dr. J.P.A. (John)</author>
    <author>sbu</author>
  </authors>
  <commentList>
    <comment ref="H7" authorId="0" shapeId="0" xr:uid="{00000000-0006-0000-1B00-000001000000}">
      <text>
        <r>
          <rPr>
            <sz val="8"/>
            <color indexed="81"/>
            <rFont val="Tahoma"/>
            <family val="2"/>
          </rPr>
          <t>This value is not listed in the RED. 
It has been calculated on the basis of the JEC input, as is explained in "About"</t>
        </r>
      </text>
    </comment>
    <comment ref="H8" authorId="0" shapeId="0" xr:uid="{00000000-0006-0000-1B00-000002000000}">
      <text>
        <r>
          <rPr>
            <sz val="8"/>
            <color indexed="81"/>
            <rFont val="Tahoma"/>
            <family val="2"/>
          </rPr>
          <t>This value is not listed in the RED. 
It has been calculated on the basis of the JEC input, as is explained in "About"</t>
        </r>
      </text>
    </comment>
    <comment ref="H10" authorId="0" shapeId="0" xr:uid="{00000000-0006-0000-1B00-000003000000}">
      <text>
        <r>
          <rPr>
            <sz val="8"/>
            <color indexed="81"/>
            <rFont val="Tahoma"/>
            <family val="2"/>
          </rPr>
          <t>This value is not listed in the RED. 
It has been calculated on the basis of the JEC input, as is explained in "About"</t>
        </r>
      </text>
    </comment>
    <comment ref="H11" authorId="0" shapeId="0" xr:uid="{00000000-0006-0000-1B00-000004000000}">
      <text>
        <r>
          <rPr>
            <sz val="8"/>
            <color indexed="81"/>
            <rFont val="Tahoma"/>
            <family val="2"/>
          </rPr>
          <t>This value is not listed in the RED. 
It has been calculated on the basis of the JEC input, as is explained in "About"</t>
        </r>
      </text>
    </comment>
    <comment ref="H13" authorId="0" shapeId="0" xr:uid="{00000000-0006-0000-1B00-000005000000}">
      <text>
        <r>
          <rPr>
            <sz val="8"/>
            <color indexed="81"/>
            <rFont val="Tahoma"/>
            <family val="2"/>
          </rPr>
          <t>This value is not listed in the RED. 
It has been calculated on the basis of the JEC input, as is explained in "About"</t>
        </r>
      </text>
    </comment>
    <comment ref="H15" authorId="0" shapeId="0" xr:uid="{00000000-0006-0000-1B00-000006000000}">
      <text>
        <r>
          <rPr>
            <sz val="8"/>
            <color indexed="81"/>
            <rFont val="Tahoma"/>
            <family val="2"/>
          </rPr>
          <t>This value is not listed in the RED. 
It has been calculated on the basis of the JEC input, as is explained in "About"</t>
        </r>
      </text>
    </comment>
    <comment ref="B53" authorId="1" shapeId="0" xr:uid="{00000000-0006-0000-1B00-000007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53" authorId="0" shapeId="0" xr:uid="{00000000-0006-0000-1B00-000008000000}">
      <text>
        <r>
          <rPr>
            <b/>
            <sz val="8"/>
            <color indexed="81"/>
            <rFont val="Tahoma"/>
            <family val="2"/>
          </rPr>
          <t>Electricity mix</t>
        </r>
        <r>
          <rPr>
            <sz val="8"/>
            <color indexed="81"/>
            <rFont val="Tahoma"/>
            <family val="2"/>
          </rPr>
          <t xml:space="preserve">
When making an actual calculation, the use of the input "Electricity EU mix LV" is not allowed. Use the electricity mix from the country in which the electricity is taken from the grid, by defining this mix in the list of additional standard values (following the example for “Average electricity mix in Malta”) and replacing “Electricity EU mix LV” in row B of this sheet by the name corresponding to the correct mix (for instance “Average electricity mix in Malta”).
More details can be found in the Calculation rules (chapter 4) and in the User manual (chapter 4).</t>
        </r>
      </text>
    </comment>
    <comment ref="B75" authorId="1" shapeId="0" xr:uid="{00000000-0006-0000-1B00-000009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75" authorId="0" shapeId="0" xr:uid="{00000000-0006-0000-1B00-00000A000000}">
      <text>
        <r>
          <rPr>
            <sz val="8"/>
            <color indexed="81"/>
            <rFont val="Tahoma"/>
            <family val="2"/>
          </rPr>
          <t xml:space="preserve">Factor 1,4 is to convert "typical value" into "default value.
</t>
        </r>
        <r>
          <rPr>
            <b/>
            <sz val="8"/>
            <color indexed="81"/>
            <rFont val="Tahoma"/>
            <family val="2"/>
          </rPr>
          <t>Electricity mix</t>
        </r>
        <r>
          <rPr>
            <sz val="8"/>
            <color indexed="81"/>
            <rFont val="Tahoma"/>
            <family val="2"/>
          </rPr>
          <t xml:space="preserve">
When making an actual calculation, the use of the input "Electricity EU mix MV" is not allowed. Use the electricity mix from the country in which the electricity is taken from the grid, by defining this mix in the list of additional standard values (following the example for “Average electricity mix in Malta”) and replacing “Electricity EU mix MV” in row B of this sheet by the name corresponding to the correct mix (for instance “Average electricity mix in Malta”).
More details can be found in the Calculation rules (chapter 4) and in the User manual (chapter 4).</t>
        </r>
      </text>
    </comment>
    <comment ref="C76" authorId="0" shapeId="0" xr:uid="{00000000-0006-0000-1B00-00000B000000}">
      <text>
        <r>
          <rPr>
            <sz val="8"/>
            <color indexed="81"/>
            <rFont val="Tahoma"/>
            <family val="2"/>
          </rPr>
          <t>Factor 1,4 is to convert "typical value" into "default value</t>
        </r>
      </text>
    </comment>
    <comment ref="B82" authorId="1" shapeId="0" xr:uid="{00000000-0006-0000-1B00-00000C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82" authorId="0" shapeId="0" xr:uid="{00000000-0006-0000-1B00-00000D000000}">
      <text>
        <r>
          <rPr>
            <b/>
            <sz val="8"/>
            <color indexed="81"/>
            <rFont val="Tahoma"/>
            <family val="2"/>
          </rPr>
          <t>Electricity mix</t>
        </r>
        <r>
          <rPr>
            <sz val="8"/>
            <color indexed="81"/>
            <rFont val="Tahoma"/>
            <family val="2"/>
          </rPr>
          <t xml:space="preserve">
When making an actual calculation, the use of the input "Electricity EU mix MV" is not allowed. Use the electricity mix from the country in which the electricity is taken from the grid, by defining this mix in the list of additional standard values (following the example for “Average electricity mix in Malta”) and replacing “Electricity EU mix MV” in row B of this sheet by the name corresponding to the correct mix (for instance “Average electricity mix in Malta”).
More details can be found in the Calculation rules (chapter 4) and in the User manual (chapter 4).
</t>
        </r>
      </text>
    </comment>
    <comment ref="C85" authorId="0" shapeId="0" xr:uid="{00000000-0006-0000-1B00-00000E000000}">
      <text>
        <r>
          <rPr>
            <sz val="8"/>
            <color indexed="81"/>
            <rFont val="Tahoma"/>
            <family val="2"/>
          </rPr>
          <t>Factor 1,4 is to convert "typical value" into "default value</t>
        </r>
      </text>
    </comment>
    <comment ref="B115" authorId="1" shapeId="0" xr:uid="{00000000-0006-0000-1B00-00000F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115" authorId="0" shapeId="0" xr:uid="{00000000-0006-0000-1B00-000010000000}">
      <text>
        <r>
          <rPr>
            <sz val="8"/>
            <color indexed="81"/>
            <rFont val="Tahoma"/>
            <family val="2"/>
          </rPr>
          <t xml:space="preserve">Factor 1,4 is to convert "typical value" into "default value.
</t>
        </r>
        <r>
          <rPr>
            <b/>
            <sz val="8"/>
            <color indexed="81"/>
            <rFont val="Tahoma"/>
            <family val="2"/>
          </rPr>
          <t>Electricity mix</t>
        </r>
        <r>
          <rPr>
            <sz val="8"/>
            <color indexed="81"/>
            <rFont val="Tahoma"/>
            <family val="2"/>
          </rPr>
          <t xml:space="preserve">
When making an actual calculation, the use of the input "Electricity EU mix MV" is not allowed. Use the electricity mix from the country in which the electricity is taken from the grid, by defining this mix in the list of additional standard values (following the example for “Average electricity mix in Malta”) and replacing “Electricity EU mix MV” in row B of this sheet by the name corresponding to the correct mix (for instance “Average electricity mix in Malta”).
More details can be found in the Calculation rules (chapter 4) and in the User manual (chapter 4).</t>
        </r>
      </text>
    </comment>
    <comment ref="C116" authorId="0" shapeId="0" xr:uid="{00000000-0006-0000-1B00-000011000000}">
      <text>
        <r>
          <rPr>
            <sz val="8"/>
            <color indexed="81"/>
            <rFont val="Tahoma"/>
            <family val="2"/>
          </rPr>
          <t>Factor 1,4 is to convert "typical value" into "default value</t>
        </r>
      </text>
    </comment>
    <comment ref="B122" authorId="1" shapeId="0" xr:uid="{00000000-0006-0000-1B00-000012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122" authorId="0" shapeId="0" xr:uid="{00000000-0006-0000-1B00-000013000000}">
      <text>
        <r>
          <rPr>
            <b/>
            <sz val="8"/>
            <color indexed="81"/>
            <rFont val="Tahoma"/>
            <family val="2"/>
          </rPr>
          <t>Electricity mix</t>
        </r>
        <r>
          <rPr>
            <sz val="8"/>
            <color indexed="81"/>
            <rFont val="Tahoma"/>
            <family val="2"/>
          </rPr>
          <t xml:space="preserve">
When making an actual calculation, the use of the input "Electricity EU mix MV" is not allowed. Use the electricity mix from the country in which the electricity is taken from the grid, by defining this mix in the list of additional standard values (following the example for “Average electricity mix in Malta”) and replacing “Electricity EU mix MV” in row B of this sheet by the name corresponding to the correct mix (for instance “Average electricity mix in Malta”).
More details can be found in the Calculation rules (chapter 4) and in the User manual (chapter 4).
</t>
        </r>
      </text>
    </comment>
    <comment ref="C125" authorId="0" shapeId="0" xr:uid="{00000000-0006-0000-1B00-000014000000}">
      <text>
        <r>
          <rPr>
            <sz val="8"/>
            <color indexed="81"/>
            <rFont val="Tahoma"/>
            <family val="2"/>
          </rPr>
          <t>Factor 1,4 is to convert "typical value" into "default value</t>
        </r>
      </text>
    </comment>
    <comment ref="B147" authorId="1" shapeId="0" xr:uid="{00000000-0006-0000-1B00-000015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147" authorId="0" shapeId="0" xr:uid="{00000000-0006-0000-1B00-000016000000}">
      <text>
        <r>
          <rPr>
            <b/>
            <sz val="8"/>
            <color indexed="81"/>
            <rFont val="Tahoma"/>
            <family val="2"/>
          </rPr>
          <t>Electricity mix</t>
        </r>
        <r>
          <rPr>
            <sz val="8"/>
            <color indexed="81"/>
            <rFont val="Tahoma"/>
            <family val="2"/>
          </rPr>
          <t xml:space="preserve">
When making an actual calculation, the use of the input "Electricity EU mix LV" is only allowed when the starting values in this step are kept.
When changing the starting values, use the electricity mix from the country in which the electricity is taken from the grid, by defining this mix in the list of additional standard values (following the example for “Average electricity mix in Malta”) and replacing “Electricity EU mix LV” in row B of this sheet by the name corresponding to the correct mix (for instance “Average electricity mix in Malta”).
More details can be found in the Calculation rules (chapter 4) and in the User manual (chapter 4).</t>
        </r>
      </text>
    </comment>
    <comment ref="B152" authorId="2" shapeId="0" xr:uid="{00000000-0006-0000-1B00-000017000000}">
      <text>
        <r>
          <rPr>
            <sz val="8"/>
            <color indexed="81"/>
            <rFont val="Tahoma"/>
            <family val="2"/>
          </rPr>
          <t>Annualised emissions from carbon stock changes caused by land-use change, e</t>
        </r>
        <r>
          <rPr>
            <sz val="8"/>
            <color indexed="81"/>
            <rFont val="Tahoma"/>
            <family val="2"/>
          </rPr>
          <t>l</t>
        </r>
        <r>
          <rPr>
            <sz val="8"/>
            <color indexed="81"/>
            <rFont val="Tahoma"/>
            <family val="2"/>
          </rPr>
          <t>, shall be calculated by dividing total emissions equally over 20 years. For the calculation of those emissions the following rule shall be applied:
e</t>
        </r>
        <r>
          <rPr>
            <sz val="8"/>
            <color indexed="81"/>
            <rFont val="Tahoma"/>
            <family val="2"/>
          </rPr>
          <t>l</t>
        </r>
        <r>
          <rPr>
            <sz val="8"/>
            <color indexed="81"/>
            <rFont val="Tahoma"/>
            <family val="2"/>
          </rPr>
          <t xml:space="preserve"> = (CS</t>
        </r>
        <r>
          <rPr>
            <sz val="8"/>
            <color indexed="81"/>
            <rFont val="Tahoma"/>
            <family val="2"/>
          </rPr>
          <t>R</t>
        </r>
        <r>
          <rPr>
            <sz val="8"/>
            <color indexed="81"/>
            <rFont val="Tahoma"/>
            <family val="2"/>
          </rPr>
          <t xml:space="preserve"> – CS</t>
        </r>
        <r>
          <rPr>
            <sz val="8"/>
            <color indexed="81"/>
            <rFont val="Tahoma"/>
            <family val="2"/>
          </rPr>
          <t>A</t>
        </r>
        <r>
          <rPr>
            <sz val="8"/>
            <color indexed="81"/>
            <rFont val="Tahoma"/>
            <family val="2"/>
          </rPr>
          <t>) × 3,664 × 1/20 × 1/P – e</t>
        </r>
        <r>
          <rPr>
            <sz val="8"/>
            <color indexed="81"/>
            <rFont val="Tahoma"/>
            <family val="2"/>
          </rPr>
          <t>B</t>
        </r>
        <r>
          <rPr>
            <sz val="8"/>
            <color indexed="81"/>
            <rFont val="Tahoma"/>
            <family val="2"/>
          </rPr>
          <t>(1)</t>
        </r>
        <r>
          <rPr>
            <sz val="8"/>
            <color indexed="81"/>
            <rFont val="Tahoma"/>
            <family val="2"/>
          </rPr>
          <t xml:space="preserve">
where
e</t>
        </r>
        <r>
          <rPr>
            <sz val="8"/>
            <color indexed="81"/>
            <rFont val="Tahoma"/>
            <family val="2"/>
          </rPr>
          <t>l</t>
        </r>
        <r>
          <rPr>
            <sz val="8"/>
            <color indexed="81"/>
            <rFont val="Tahoma"/>
            <family val="2"/>
          </rPr>
          <t xml:space="preserve"> = annualised greenhouse gas emissions from carbon stock change due to land-use change (measured as mass of CO</t>
        </r>
        <r>
          <rPr>
            <sz val="8"/>
            <color indexed="81"/>
            <rFont val="Tahoma"/>
            <family val="2"/>
          </rPr>
          <t>2</t>
        </r>
        <r>
          <rPr>
            <sz val="8"/>
            <color indexed="81"/>
            <rFont val="Tahoma"/>
            <family val="2"/>
          </rPr>
          <t>-equivalent per unit biofuel energy);
CS</t>
        </r>
        <r>
          <rPr>
            <sz val="8"/>
            <color indexed="81"/>
            <rFont val="Tahoma"/>
            <family val="2"/>
          </rPr>
          <t>R</t>
        </r>
        <r>
          <rPr>
            <sz val="8"/>
            <color indexed="81"/>
            <rFont val="Tahoma"/>
            <family val="2"/>
          </rPr>
          <t xml:space="preserve"> = the carbon stock per unit area associated with the reference land use (measured as mass of carbon per unit area, including both soil and vegetation). The reference land use shall be the land use in January 2008 or 20 years before the raw material was obtained, whichever was the later;
CS</t>
        </r>
        <r>
          <rPr>
            <sz val="8"/>
            <color indexed="81"/>
            <rFont val="Tahoma"/>
            <family val="2"/>
          </rPr>
          <t>A</t>
        </r>
        <r>
          <rPr>
            <sz val="8"/>
            <color indexed="81"/>
            <rFont val="Tahoma"/>
            <family val="2"/>
          </rPr>
          <t xml:space="preserve"> =the carbon stock per unit area associated with the actual land use (measured as mass of carbon per unit area, including both soil and vegetation). In cases where the carbon stock accumulates over more than one year, the value attributed to CS</t>
        </r>
        <r>
          <rPr>
            <sz val="8"/>
            <color indexed="81"/>
            <rFont val="Tahoma"/>
            <family val="2"/>
          </rPr>
          <t>A</t>
        </r>
        <r>
          <rPr>
            <sz val="8"/>
            <color indexed="81"/>
            <rFont val="Tahoma"/>
            <family val="2"/>
          </rPr>
          <t xml:space="preserve"> shall be the estimated stock per unit area after 20 years or when the crop reaches maturity, whichever the earlier;
P =the productivity of the crop (measured as biofuel or bioliquid energy per unit area per year); and
e</t>
        </r>
        <r>
          <rPr>
            <sz val="8"/>
            <color indexed="81"/>
            <rFont val="Tahoma"/>
            <family val="2"/>
          </rPr>
          <t>B</t>
        </r>
        <r>
          <rPr>
            <sz val="8"/>
            <color indexed="81"/>
            <rFont val="Tahoma"/>
            <family val="2"/>
          </rPr>
          <t xml:space="preserve"> =bonus of 29 gCO</t>
        </r>
        <r>
          <rPr>
            <sz val="8"/>
            <color indexed="81"/>
            <rFont val="Tahoma"/>
            <family val="2"/>
          </rPr>
          <t>2eq</t>
        </r>
        <r>
          <rPr>
            <sz val="8"/>
            <color indexed="81"/>
            <rFont val="Tahoma"/>
            <family val="2"/>
          </rPr>
          <t>/MJ biofuel or bioliquid if biomass is obtained from restored degraded land under the conditions provided for in point 8.
8.
The bonus of 29 gCO</t>
        </r>
        <r>
          <rPr>
            <sz val="8"/>
            <color indexed="81"/>
            <rFont val="Tahoma"/>
            <family val="2"/>
          </rPr>
          <t>2eq</t>
        </r>
        <r>
          <rPr>
            <sz val="8"/>
            <color indexed="81"/>
            <rFont val="Tahoma"/>
            <family val="2"/>
          </rPr>
          <t>/MJ shall be attributed if evidence is provided that the land:
(a) was not in use for agriculture or any other activity in January 2008; and
(b) falls into one of the following categories:
   (i) severely degraded land, including such land that was formerly in agricultural use;
   (ii) heavily contaminated land.
The bonus of 29 gCO</t>
        </r>
        <r>
          <rPr>
            <sz val="8"/>
            <color indexed="81"/>
            <rFont val="Tahoma"/>
            <family val="2"/>
          </rPr>
          <t>2eq</t>
        </r>
        <r>
          <rPr>
            <sz val="8"/>
            <color indexed="81"/>
            <rFont val="Tahoma"/>
            <family val="2"/>
          </rPr>
          <t>/MJ shall apply for a period of up to 10 years from the date of conversion of the land to agricultural use, provided that a steady increase in carbon stocks as well as a sizable reduction in erosion phenomena for land falling under (i) are ensured and that soil contamination for land falling under (ii) is reduced.
9.
The categories referred to in point 8(b) are defined as follows:
(a) ‘severely degraded land’ means land that, for a significant period of time, has either been significantly salinated or presented significantly low organic matter content and has been severely eroded;
(b) ‘heavily contaminated land’ means land that is unfit for the cultivation of food and feed due to soil contamination.
Such land shall include land that has been the subject of a Commission decision in accordance with the fourth subparagraph of Article 18(4).</t>
        </r>
        <r>
          <rPr>
            <sz val="8"/>
            <color indexed="81"/>
            <rFont val="Tahoma"/>
            <family val="2"/>
          </rPr>
          <t xml:space="preserve">
</t>
        </r>
        <r>
          <rPr>
            <sz val="8"/>
            <color indexed="81"/>
            <rFont val="Tahoma"/>
            <family val="2"/>
          </rPr>
          <t xml:space="preserve">
</t>
        </r>
        <r>
          <rPr>
            <sz val="8"/>
            <color indexed="81"/>
            <rFont val="Tahoma"/>
            <family val="2"/>
          </rPr>
          <t>(1)</t>
        </r>
        <r>
          <rPr>
            <sz val="8"/>
            <color indexed="81"/>
            <rFont val="Tahoma"/>
            <family val="2"/>
          </rPr>
          <t xml:space="preserve"> </t>
        </r>
        <r>
          <rPr>
            <sz val="8"/>
            <color indexed="81"/>
            <rFont val="Tahoma"/>
            <family val="2"/>
          </rPr>
          <t xml:space="preserve"> The quotient obtained by dividing the molecular weight of CO</t>
        </r>
        <r>
          <rPr>
            <sz val="8"/>
            <color indexed="81"/>
            <rFont val="Tahoma"/>
            <family val="2"/>
          </rPr>
          <t>2</t>
        </r>
        <r>
          <rPr>
            <sz val="8"/>
            <color indexed="81"/>
            <rFont val="Tahoma"/>
            <family val="2"/>
          </rPr>
          <t xml:space="preserve"> (44,010 g/mol) by the molecular weight of carbon (12,011 g/mol) is equal to 3,664.</t>
        </r>
      </text>
    </comment>
    <comment ref="C162" authorId="2" shapeId="0" xr:uid="{00000000-0006-0000-1B00-000018000000}">
      <text>
        <r>
          <rPr>
            <sz val="8"/>
            <color indexed="81"/>
            <rFont val="Tahoma"/>
            <family val="2"/>
          </rPr>
          <t xml:space="preserve">
8.
The bonus of 29 gCO2eq/MJ shall be attributed if evidence is provided that the land:
(a) was not in use for agriculture or any other activity in January 2008; and
(b) falls into one of the following categories:
   (i) severely degraded land, including such land that was formerly in agricultural use;
   (ii) heavily contaminated land.
The bonus of 29 gCO2eq/MJ shall apply for a period of up to 10 years from the date of conversion of the land to agricultural use, provided that a steady increase in carbon stocks as well as a sizable reduction in erosion phenomena for land falling under (i) are ensured and that soil contamination for land falling under (ii) is reduced.
9.
The categories referred to in point 8(b) are defined as follows:
(a) ‘severely degraded land’ means land that, for a significant period of time, has either been significantly salinated or presented significantly low organic matter content and has been severely eroded;
(b) ‘heavily contaminated land’ means land that is unfit for the cultivation of food and feed due to soil contamination.
Such land shall include land that has been the subject of a Commission decision in accordance with the fourth subparagraph of Article 18(4).</t>
        </r>
      </text>
    </comment>
    <comment ref="C184" authorId="2" shapeId="0" xr:uid="{00000000-0006-0000-1B00-000019000000}">
      <text>
        <r>
          <rPr>
            <sz val="8"/>
            <color indexed="81"/>
            <rFont val="Tahoma"/>
            <family val="2"/>
          </rPr>
          <t>Emission saving from carbon capture and replacement, e</t>
        </r>
        <r>
          <rPr>
            <sz val="8"/>
            <color indexed="81"/>
            <rFont val="Tahoma"/>
            <family val="2"/>
          </rPr>
          <t>ccr</t>
        </r>
        <r>
          <rPr>
            <sz val="8"/>
            <color indexed="81"/>
            <rFont val="Tahoma"/>
            <family val="2"/>
          </rPr>
          <t>, shall be limited to emissions avoided through the capture of CO</t>
        </r>
        <r>
          <rPr>
            <sz val="8"/>
            <color indexed="81"/>
            <rFont val="Tahoma"/>
            <family val="2"/>
          </rPr>
          <t>2</t>
        </r>
        <r>
          <rPr>
            <sz val="8"/>
            <color indexed="81"/>
            <rFont val="Tahoma"/>
            <family val="2"/>
          </rPr>
          <t xml:space="preserve"> of which the carbon originates from biomass and which is used to replace fossil-derived CO</t>
        </r>
        <r>
          <rPr>
            <sz val="8"/>
            <color indexed="81"/>
            <rFont val="Tahoma"/>
            <family val="2"/>
          </rPr>
          <t>2</t>
        </r>
        <r>
          <rPr>
            <sz val="8"/>
            <color indexed="81"/>
            <rFont val="Tahoma"/>
            <family val="2"/>
          </rPr>
          <t xml:space="preserve"> used in commercial products and services.</t>
        </r>
      </text>
    </comment>
    <comment ref="C190" authorId="2" shapeId="0" xr:uid="{00000000-0006-0000-1B00-00001A000000}">
      <text>
        <r>
          <rPr>
            <sz val="8"/>
            <color indexed="81"/>
            <rFont val="Tahoma"/>
            <family val="2"/>
          </rPr>
          <t>Emission saving from carbon capture and geological storage e</t>
        </r>
        <r>
          <rPr>
            <sz val="8"/>
            <color indexed="81"/>
            <rFont val="Tahoma"/>
            <family val="2"/>
          </rPr>
          <t>ccs</t>
        </r>
        <r>
          <rPr>
            <sz val="8"/>
            <color indexed="81"/>
            <rFont val="Tahoma"/>
            <family val="2"/>
          </rPr>
          <t>, that have not already been accounted for in e</t>
        </r>
        <r>
          <rPr>
            <sz val="8"/>
            <color indexed="81"/>
            <rFont val="Tahoma"/>
            <family val="2"/>
          </rPr>
          <t>p</t>
        </r>
        <r>
          <rPr>
            <sz val="8"/>
            <color indexed="81"/>
            <rFont val="Tahoma"/>
            <family val="2"/>
          </rPr>
          <t>, shall be limited to emissions avoided through the capture and sequestration of emitted CO</t>
        </r>
        <r>
          <rPr>
            <sz val="8"/>
            <color indexed="81"/>
            <rFont val="Tahoma"/>
            <family val="2"/>
          </rPr>
          <t>2</t>
        </r>
        <r>
          <rPr>
            <sz val="8"/>
            <color indexed="81"/>
            <rFont val="Tahoma"/>
            <family val="2"/>
          </rPr>
          <t xml:space="preserve"> directly related to the extraction, transport, processing and distribution of fuel.</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neeft</author>
    <author>Neeft, dr. J.P.A. (John)</author>
    <author>sbu</author>
  </authors>
  <commentList>
    <comment ref="H7" authorId="0" shapeId="0" xr:uid="{00000000-0006-0000-1C00-000001000000}">
      <text>
        <r>
          <rPr>
            <sz val="8"/>
            <color indexed="81"/>
            <rFont val="Tahoma"/>
            <family val="2"/>
          </rPr>
          <t>This value is not listed in the RED. 
It has been calculated on the basis of the JEC input, as is explained in "About"</t>
        </r>
      </text>
    </comment>
    <comment ref="H9" authorId="0" shapeId="0" xr:uid="{00000000-0006-0000-1C00-000002000000}">
      <text>
        <r>
          <rPr>
            <sz val="8"/>
            <color indexed="81"/>
            <rFont val="Tahoma"/>
            <family val="2"/>
          </rPr>
          <t>This value is not listed in the RED. 
It has been calculated on the basis of the JEC input, as is explained in "About"</t>
        </r>
      </text>
    </comment>
    <comment ref="H12" authorId="0" shapeId="0" xr:uid="{00000000-0006-0000-1C00-000003000000}">
      <text>
        <r>
          <rPr>
            <sz val="8"/>
            <color indexed="81"/>
            <rFont val="Tahoma"/>
            <family val="2"/>
          </rPr>
          <t>This value is not listed in the RED. 
It has been calculated on the basis of the JEC input, as is explained in "About"</t>
        </r>
      </text>
    </comment>
    <comment ref="H13" authorId="0" shapeId="0" xr:uid="{00000000-0006-0000-1C00-000004000000}">
      <text>
        <r>
          <rPr>
            <sz val="8"/>
            <color indexed="81"/>
            <rFont val="Tahoma"/>
            <family val="2"/>
          </rPr>
          <t>This value is not listed in the RED. 
It has been calculated on the basis of the JEC input, as is explained in "About"</t>
        </r>
      </text>
    </comment>
    <comment ref="C32" authorId="0" shapeId="0" xr:uid="{00000000-0006-0000-1C00-000005000000}">
      <text>
        <r>
          <rPr>
            <sz val="8"/>
            <color indexed="81"/>
            <rFont val="Tahoma"/>
            <family val="2"/>
          </rPr>
          <t>Part of the total biogas output  is consumed in the CHP (in the fermentation step). In addition, part of the biogas output is lost as leakage. The public input-sheet on the JRC website only gives the total biogas output (0.7 MJ biogas/MJ manure), this needs to be corrected for biogas losses to CHP and leakage. This is done here.</t>
        </r>
      </text>
    </comment>
    <comment ref="C34" authorId="0" shapeId="0" xr:uid="{00000000-0006-0000-1C00-000006000000}">
      <text>
        <r>
          <rPr>
            <sz val="8"/>
            <color indexed="81"/>
            <rFont val="Tahoma"/>
            <family val="2"/>
          </rPr>
          <t xml:space="preserve">Factor 1,4 is to convert "typical value" into "default value.
</t>
        </r>
        <r>
          <rPr>
            <b/>
            <sz val="8"/>
            <color indexed="81"/>
            <rFont val="Tahoma"/>
            <family val="2"/>
          </rPr>
          <t>This number may be set to 1,0 in case an actual calculation in this process step is made.</t>
        </r>
        <r>
          <rPr>
            <sz val="8"/>
            <color indexed="81"/>
            <rFont val="Tahoma"/>
            <family val="2"/>
          </rPr>
          <t xml:space="preserve">
In this calculation for biogas generation, the factor 1,4 cannot be inserted into the individual input numbers as the fermenter and CHP are coupled and their sizes depend on the heat input into the fermenter from the CHP. Therefore, the factor 1,4 has been used in the same way as the European Commission has done: by multiplying the results by 1,4.</t>
        </r>
      </text>
    </comment>
    <comment ref="B39" authorId="0" shapeId="0" xr:uid="{00000000-0006-0000-1C00-000007000000}">
      <text>
        <r>
          <rPr>
            <sz val="8"/>
            <color indexed="81"/>
            <rFont val="Tahoma"/>
            <family val="2"/>
          </rPr>
          <t>In the steam production, electricity is produced in a larger amount than the electricity demand in the biogas plant. Therefore, the electricity demand in the biogas plant is in fact not a demand but a reduced electricity output. The output of electricity from the steam production is credited by the electricity from a natural gas fired combined cycle gas turbine (NG CCGT). As a consequence, also the electricity demand in the biogas plant is considered to be electricity from a NG CCGT to acknowledge for the fact that in practice this is not a demand, but a reduced electricity output. If the steam would have been produced in a boiler (without cogeneration of electricity), then the electricity input in the biogas plant should have been calculated as “Electricity EU mix MV”. If the input of electricity would have been larger than the co-generated electricity from the steam production, than part of electricity input into the biogas plant would have been calculated as “Electricity (NG CCGT)”, and part as “Electricity EU mix MV”.</t>
        </r>
      </text>
    </comment>
    <comment ref="C53" authorId="0" shapeId="0" xr:uid="{00000000-0006-0000-1C00-000008000000}">
      <text>
        <r>
          <rPr>
            <sz val="8"/>
            <color indexed="81"/>
            <rFont val="Tahoma"/>
            <family val="2"/>
          </rPr>
          <t>Positive number indicates net consumption, negative number indicares net production</t>
        </r>
      </text>
    </comment>
    <comment ref="B54" authorId="1" shapeId="0" xr:uid="{00000000-0006-0000-1C00-000009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54" authorId="0" shapeId="0" xr:uid="{00000000-0006-0000-1C00-00000A000000}">
      <text>
        <r>
          <rPr>
            <b/>
            <sz val="8"/>
            <color indexed="81"/>
            <rFont val="Tahoma"/>
            <family val="2"/>
          </rPr>
          <t>Electricity mix</t>
        </r>
        <r>
          <rPr>
            <sz val="8"/>
            <color indexed="81"/>
            <rFont val="Tahoma"/>
            <family val="2"/>
          </rPr>
          <t xml:space="preserve">
When making an actual calculation, the use of the input "Electricity EU mix LV" is not allowed. Use the electricity mix from the country in which the electricity is taken from the grid, by defining this mix in the list of additional standard values (following the example for “Average electricity mix in Malta”) and replacing “Electricity EU mix LV” in row B of this sheet by the name corresponding to the correct mix (for instance “Average electricity mix in Malta”).
More details can be found in the Calculation rules (chapter 4) and in the User manual (chapter 4).
</t>
        </r>
      </text>
    </comment>
    <comment ref="C69" authorId="0" shapeId="0" xr:uid="{00000000-0006-0000-1C00-00000B000000}">
      <text>
        <r>
          <rPr>
            <sz val="8"/>
            <color indexed="81"/>
            <rFont val="Tahoma"/>
            <family val="2"/>
          </rPr>
          <t xml:space="preserve">Factor 1,4 is to convert "typical value" into "default value.
</t>
        </r>
        <r>
          <rPr>
            <b/>
            <sz val="8"/>
            <color indexed="81"/>
            <rFont val="Tahoma"/>
            <family val="2"/>
          </rPr>
          <t>This number may be set to 1,0 in case an actual calculation in this process step is made.</t>
        </r>
      </text>
    </comment>
    <comment ref="B72" authorId="1" shapeId="0" xr:uid="{00000000-0006-0000-1C00-00000C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72" authorId="0" shapeId="0" xr:uid="{00000000-0006-0000-1C00-00000D000000}">
      <text>
        <r>
          <rPr>
            <b/>
            <sz val="8"/>
            <color indexed="81"/>
            <rFont val="Tahoma"/>
            <family val="2"/>
          </rPr>
          <t>Electricity mix</t>
        </r>
        <r>
          <rPr>
            <sz val="8"/>
            <color indexed="81"/>
            <rFont val="Tahoma"/>
            <family val="2"/>
          </rPr>
          <t xml:space="preserve">
When making an actual calculation, the use of the input "Electricity EU mix MV" is not allowed. Use the electricity mix from the country in which the electricity is taken from the grid, by defining this mix in the list of additional standard values (following the example for “Average electricity mix in Malta”) and replacing “Electricity EU mix MV” in row B of this sheet by the name corresponding to the correct mix (for instance “Average electricity mix in Malta”).
More details can be found in the Calculation rules (chapter 4) and in the User manual (chapter 4).</t>
        </r>
      </text>
    </comment>
    <comment ref="B93" authorId="1" shapeId="0" xr:uid="{00000000-0006-0000-1C00-00000E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93" authorId="0" shapeId="0" xr:uid="{00000000-0006-0000-1C00-00000F000000}">
      <text>
        <r>
          <rPr>
            <b/>
            <sz val="8"/>
            <color indexed="81"/>
            <rFont val="Tahoma"/>
            <family val="2"/>
          </rPr>
          <t>Electricity mix</t>
        </r>
        <r>
          <rPr>
            <sz val="8"/>
            <color indexed="81"/>
            <rFont val="Tahoma"/>
            <family val="2"/>
          </rPr>
          <t xml:space="preserve">
When making an actual calculation, the use of the input "Electricity EU mix LV" is only allowed when the starting values in this step are kept.
When changing the starting values, use the electricity mix from the country in which the electricity is taken from the grid, by defining this mix in the list of additional standard values (following the example for “Average electricity mix in Malta”) and replacing “Electricity EU mix LV” in row B of this sheet by the name corresponding to the correct mix (for instance “Average electricity mix in Malta”).
More details can be found in the Calculation rules (chapter 4) and in the User manual (chapter 4).</t>
        </r>
      </text>
    </comment>
    <comment ref="C111" authorId="2" shapeId="0" xr:uid="{00000000-0006-0000-1C00-000010000000}">
      <text>
        <r>
          <rPr>
            <sz val="8"/>
            <color indexed="81"/>
            <rFont val="Tahoma"/>
            <family val="2"/>
          </rPr>
          <t>Emission saving from carbon capture and replacement, e</t>
        </r>
        <r>
          <rPr>
            <sz val="8"/>
            <color indexed="81"/>
            <rFont val="Tahoma"/>
            <family val="2"/>
          </rPr>
          <t>ccr</t>
        </r>
        <r>
          <rPr>
            <sz val="8"/>
            <color indexed="81"/>
            <rFont val="Tahoma"/>
            <family val="2"/>
          </rPr>
          <t>, shall be limited to emissions avoided through the capture of CO</t>
        </r>
        <r>
          <rPr>
            <sz val="8"/>
            <color indexed="81"/>
            <rFont val="Tahoma"/>
            <family val="2"/>
          </rPr>
          <t>2</t>
        </r>
        <r>
          <rPr>
            <sz val="8"/>
            <color indexed="81"/>
            <rFont val="Tahoma"/>
            <family val="2"/>
          </rPr>
          <t xml:space="preserve"> of which the carbon originates from biomass and which is used to replace fossil-derived CO</t>
        </r>
        <r>
          <rPr>
            <sz val="8"/>
            <color indexed="81"/>
            <rFont val="Tahoma"/>
            <family val="2"/>
          </rPr>
          <t>2</t>
        </r>
        <r>
          <rPr>
            <sz val="8"/>
            <color indexed="81"/>
            <rFont val="Tahoma"/>
            <family val="2"/>
          </rPr>
          <t xml:space="preserve"> used in commercial products and services.</t>
        </r>
      </text>
    </comment>
    <comment ref="C117" authorId="2" shapeId="0" xr:uid="{00000000-0006-0000-1C00-000011000000}">
      <text>
        <r>
          <rPr>
            <sz val="8"/>
            <color indexed="81"/>
            <rFont val="Tahoma"/>
            <family val="2"/>
          </rPr>
          <t>Emission saving from carbon capture and geological storage e</t>
        </r>
        <r>
          <rPr>
            <sz val="8"/>
            <color indexed="81"/>
            <rFont val="Tahoma"/>
            <family val="2"/>
          </rPr>
          <t>ccs</t>
        </r>
        <r>
          <rPr>
            <sz val="8"/>
            <color indexed="81"/>
            <rFont val="Tahoma"/>
            <family val="2"/>
          </rPr>
          <t>, that have not already been accounted for in e</t>
        </r>
        <r>
          <rPr>
            <sz val="8"/>
            <color indexed="81"/>
            <rFont val="Tahoma"/>
            <family val="2"/>
          </rPr>
          <t>p</t>
        </r>
        <r>
          <rPr>
            <sz val="8"/>
            <color indexed="81"/>
            <rFont val="Tahoma"/>
            <family val="2"/>
          </rPr>
          <t>, shall be limited to emissions avoided through the capture and sequestration of emitted CO</t>
        </r>
        <r>
          <rPr>
            <sz val="8"/>
            <color indexed="81"/>
            <rFont val="Tahoma"/>
            <family val="2"/>
          </rPr>
          <t>2</t>
        </r>
        <r>
          <rPr>
            <sz val="8"/>
            <color indexed="81"/>
            <rFont val="Tahoma"/>
            <family val="2"/>
          </rPr>
          <t xml:space="preserve"> directly related to the extraction, transport, processing and distribution of fuel.</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neeft</author>
    <author>ahennecke</author>
    <author>Neeft, dr. J.P.A. (John)</author>
    <author>sbu</author>
  </authors>
  <commentList>
    <comment ref="H7" authorId="0" shapeId="0" xr:uid="{00000000-0006-0000-1D00-000001000000}">
      <text>
        <r>
          <rPr>
            <sz val="8"/>
            <color indexed="81"/>
            <rFont val="Tahoma"/>
            <family val="2"/>
          </rPr>
          <t>This value is not listed in the RED. 
It has been calculated on the basis of the JEC input, as is explained in "About"</t>
        </r>
      </text>
    </comment>
    <comment ref="H9" authorId="0" shapeId="0" xr:uid="{00000000-0006-0000-1D00-000002000000}">
      <text>
        <r>
          <rPr>
            <sz val="8"/>
            <color indexed="81"/>
            <rFont val="Tahoma"/>
            <family val="2"/>
          </rPr>
          <t>This value is not listed in the RED. 
It has been calculated on the basis of the JEC input, as is explained in "About"</t>
        </r>
      </text>
    </comment>
    <comment ref="H12" authorId="1" shapeId="0" xr:uid="{00000000-0006-0000-1D00-000003000000}">
      <text>
        <r>
          <rPr>
            <sz val="8"/>
            <color indexed="81"/>
            <rFont val="Tahoma"/>
            <family val="2"/>
          </rPr>
          <t>This value is not listed 
It has been calculated on the basis of the JEC input, as is explained in "About"</t>
        </r>
      </text>
    </comment>
    <comment ref="H13" authorId="0" shapeId="0" xr:uid="{00000000-0006-0000-1D00-000004000000}">
      <text>
        <r>
          <rPr>
            <sz val="8"/>
            <color indexed="81"/>
            <rFont val="Tahoma"/>
            <family val="2"/>
          </rPr>
          <t>This value is not listed in the RED. 
It has been calculated on the basis of the JEC input, as is explained in "About"</t>
        </r>
      </text>
    </comment>
    <comment ref="H14" authorId="0" shapeId="0" xr:uid="{00000000-0006-0000-1D00-000005000000}">
      <text>
        <r>
          <rPr>
            <sz val="8"/>
            <color indexed="81"/>
            <rFont val="Tahoma"/>
            <family val="2"/>
          </rPr>
          <t>This value is not listed in the RED. 
It has been calculated on the basis of the JEC input, as is explained in "About"</t>
        </r>
      </text>
    </comment>
    <comment ref="C42" authorId="0" shapeId="0" xr:uid="{00000000-0006-0000-1D00-000006000000}">
      <text>
        <r>
          <rPr>
            <sz val="8"/>
            <color indexed="81"/>
            <rFont val="Tahoma"/>
            <family val="2"/>
          </rPr>
          <t>Part of the total biogas output  is consumed in the CHP (in the fermentation step). In addition, part of the biogas output is lost as leakage. The public input-sheet on the JRC website only gives the total biogas output (0.7 MJ biogas/MJ manure), this needs to be corrected for biogas losses to CHP and leakage. This is done here.</t>
        </r>
      </text>
    </comment>
    <comment ref="C44" authorId="0" shapeId="0" xr:uid="{00000000-0006-0000-1D00-000007000000}">
      <text>
        <r>
          <rPr>
            <sz val="8"/>
            <color indexed="81"/>
            <rFont val="Tahoma"/>
            <family val="2"/>
          </rPr>
          <t xml:space="preserve">Factor 1,4 is to convert "typical value" into "default value.
</t>
        </r>
        <r>
          <rPr>
            <b/>
            <sz val="8"/>
            <color indexed="81"/>
            <rFont val="Tahoma"/>
            <family val="2"/>
          </rPr>
          <t>This number may be set to 1,0 in case an actual calculation in this process step is made.</t>
        </r>
        <r>
          <rPr>
            <sz val="8"/>
            <color indexed="81"/>
            <rFont val="Tahoma"/>
            <family val="2"/>
          </rPr>
          <t xml:space="preserve">
In this calculation for biogas generation, the factor 1,4 cannot be inserted into the individual input numbers as the fermenter and CHP are coupled and their sizes depend on the heat input into the fermenter from the CHP. Therefore, the factor 1,4 has been used in the same way as the European Commission has done: by multiplying the results by 1,4.</t>
        </r>
      </text>
    </comment>
    <comment ref="B49" authorId="0" shapeId="0" xr:uid="{00000000-0006-0000-1D00-000008000000}">
      <text>
        <r>
          <rPr>
            <sz val="8"/>
            <color indexed="81"/>
            <rFont val="Tahoma"/>
            <family val="2"/>
          </rPr>
          <t xml:space="preserve">In the steam production, electricity is produced in a larger amount than the electricity demand in the biogas plant. Therefore, the electricity demand in the biogas plant is in fact not a demand but a reduced electricity output. The output of electricity from the steam production is credited by the electricity from a natural gas fired combined cycle gas turbine (NG CCGT). As a consequence, also the electricity demand in the biogas plant is considered to be electricity from a NG CCGT to acknowledge for the fact that in practice this is not a demand, but a reduced electricity output. If the steam would have been produced in a boiler (without cogeneration of electricity), then the electricity input in the biogas plant should have been calculated as “Electricity EU mix MV”. If the input of electricity would have been larger than the co-generated electricity from the steam production, than part of electricity input into the biogas plant would have been calculated as “Electricity (NG CCGT)”, and part as “Electricity EU mix MV”.
</t>
        </r>
      </text>
    </comment>
    <comment ref="C63" authorId="0" shapeId="0" xr:uid="{00000000-0006-0000-1D00-000009000000}">
      <text>
        <r>
          <rPr>
            <sz val="8"/>
            <color indexed="81"/>
            <rFont val="Tahoma"/>
            <family val="2"/>
          </rPr>
          <t>Positive number indicates net consumption, negative number indicares net production</t>
        </r>
      </text>
    </comment>
    <comment ref="B64" authorId="2" shapeId="0" xr:uid="{00000000-0006-0000-1D00-00000A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64" authorId="0" shapeId="0" xr:uid="{00000000-0006-0000-1D00-00000B000000}">
      <text>
        <r>
          <rPr>
            <b/>
            <sz val="8"/>
            <color indexed="81"/>
            <rFont val="Tahoma"/>
            <family val="2"/>
          </rPr>
          <t>Electricity mix</t>
        </r>
        <r>
          <rPr>
            <sz val="8"/>
            <color indexed="81"/>
            <rFont val="Tahoma"/>
            <family val="2"/>
          </rPr>
          <t xml:space="preserve">
When making an actual calculation, the use of the input "Electricity EU mix LV" is not allowed. Use the electricity mix from the country in which the electricity is taken from the grid, by defining this mix in the list of additional standard values (following the example for “Average electricity mix in Malta”) and replacing “Electricity EU mix LV” in row B of this sheet by the name corresponding to the correct mix (for instance “Average electricity mix in Malta”).
More details can be found in the Calculation rules (chapter 4) and in the User manual (chapter 4).
</t>
        </r>
      </text>
    </comment>
    <comment ref="C78" authorId="0" shapeId="0" xr:uid="{00000000-0006-0000-1D00-00000C000000}">
      <text>
        <r>
          <rPr>
            <sz val="8"/>
            <color indexed="81"/>
            <rFont val="Tahoma"/>
            <family val="2"/>
          </rPr>
          <t xml:space="preserve">Factor 1,4 is to convert "typical value" into "default value.
</t>
        </r>
        <r>
          <rPr>
            <b/>
            <sz val="8"/>
            <color indexed="81"/>
            <rFont val="Tahoma"/>
            <family val="2"/>
          </rPr>
          <t>This number may be set to 1,0 in case an actual calculation in this process step is made.</t>
        </r>
      </text>
    </comment>
    <comment ref="B81" authorId="2" shapeId="0" xr:uid="{00000000-0006-0000-1D00-00000D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81" authorId="0" shapeId="0" xr:uid="{00000000-0006-0000-1D00-00000E000000}">
      <text>
        <r>
          <rPr>
            <b/>
            <sz val="8"/>
            <color indexed="81"/>
            <rFont val="Tahoma"/>
            <family val="2"/>
          </rPr>
          <t>Electricity mix</t>
        </r>
        <r>
          <rPr>
            <sz val="8"/>
            <color indexed="81"/>
            <rFont val="Tahoma"/>
            <family val="2"/>
          </rPr>
          <t xml:space="preserve">
When making an actual calculation, the use of the input "Electricity EU mix MV" is not allowed. Use the electricity mix from the country in which the electricity is taken from the grid, by defining this mix in the list of additional standard values (following the example for “Average electricity mix in Malta”) and replacing “Electricity EU mix MV” in row B of this sheet by the name corresponding to the correct mix (for instance “Average electricity mix in Malta”).
More details can be found in the Calculation rules (chapter 4) and in the User manual (chapter 4).</t>
        </r>
      </text>
    </comment>
    <comment ref="B102" authorId="2" shapeId="0" xr:uid="{00000000-0006-0000-1D00-00000F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102" authorId="0" shapeId="0" xr:uid="{00000000-0006-0000-1D00-000010000000}">
      <text>
        <r>
          <rPr>
            <b/>
            <sz val="8"/>
            <color indexed="81"/>
            <rFont val="Tahoma"/>
            <family val="2"/>
          </rPr>
          <t>Electricity mix</t>
        </r>
        <r>
          <rPr>
            <sz val="8"/>
            <color indexed="81"/>
            <rFont val="Tahoma"/>
            <family val="2"/>
          </rPr>
          <t xml:space="preserve">
When making an actual calculation, the use of the input "Electricity EU mix LV" is only allowed when the starting values in this step are kept.
When changing the starting values, use the electricity mix from the country in which the electricity is taken from the grid, by defining this mix in the list of additional standard values (following the example for “Average electricity mix in Malta”) and replacing “Electricity EU mix LV” in row B of this sheet by the name corresponding to the correct mix (for instance “Average electricity mix in Malta”).
More details can be found in the Calculation rules (chapter 4) and in the User manual (chapter 4).</t>
        </r>
      </text>
    </comment>
    <comment ref="C120" authorId="3" shapeId="0" xr:uid="{00000000-0006-0000-1D00-000011000000}">
      <text>
        <r>
          <rPr>
            <sz val="8"/>
            <color indexed="81"/>
            <rFont val="Tahoma"/>
            <family val="2"/>
          </rPr>
          <t>Emission saving from carbon capture and replacement, e</t>
        </r>
        <r>
          <rPr>
            <sz val="8"/>
            <color indexed="81"/>
            <rFont val="Tahoma"/>
            <family val="2"/>
          </rPr>
          <t>ccr</t>
        </r>
        <r>
          <rPr>
            <sz val="8"/>
            <color indexed="81"/>
            <rFont val="Tahoma"/>
            <family val="2"/>
          </rPr>
          <t>, shall be limited to emissions avoided through the capture of CO</t>
        </r>
        <r>
          <rPr>
            <sz val="8"/>
            <color indexed="81"/>
            <rFont val="Tahoma"/>
            <family val="2"/>
          </rPr>
          <t>2</t>
        </r>
        <r>
          <rPr>
            <sz val="8"/>
            <color indexed="81"/>
            <rFont val="Tahoma"/>
            <family val="2"/>
          </rPr>
          <t xml:space="preserve"> of which the carbon originates from biomass and which is used to replace fossil-derived CO</t>
        </r>
        <r>
          <rPr>
            <sz val="8"/>
            <color indexed="81"/>
            <rFont val="Tahoma"/>
            <family val="2"/>
          </rPr>
          <t>2</t>
        </r>
        <r>
          <rPr>
            <sz val="8"/>
            <color indexed="81"/>
            <rFont val="Tahoma"/>
            <family val="2"/>
          </rPr>
          <t xml:space="preserve"> used in commercial products and services.</t>
        </r>
      </text>
    </comment>
    <comment ref="C126" authorId="3" shapeId="0" xr:uid="{00000000-0006-0000-1D00-000012000000}">
      <text>
        <r>
          <rPr>
            <sz val="8"/>
            <color indexed="81"/>
            <rFont val="Tahoma"/>
            <family val="2"/>
          </rPr>
          <t>Emission saving from carbon capture and geological storage e</t>
        </r>
        <r>
          <rPr>
            <sz val="8"/>
            <color indexed="81"/>
            <rFont val="Tahoma"/>
            <family val="2"/>
          </rPr>
          <t>ccs</t>
        </r>
        <r>
          <rPr>
            <sz val="8"/>
            <color indexed="81"/>
            <rFont val="Tahoma"/>
            <family val="2"/>
          </rPr>
          <t>, that have not already been accounted for in e</t>
        </r>
        <r>
          <rPr>
            <sz val="8"/>
            <color indexed="81"/>
            <rFont val="Tahoma"/>
            <family val="2"/>
          </rPr>
          <t>p</t>
        </r>
        <r>
          <rPr>
            <sz val="8"/>
            <color indexed="81"/>
            <rFont val="Tahoma"/>
            <family val="2"/>
          </rPr>
          <t>, shall be limited to emissions avoided through the capture and sequestration of emitted CO</t>
        </r>
        <r>
          <rPr>
            <sz val="8"/>
            <color indexed="81"/>
            <rFont val="Tahoma"/>
            <family val="2"/>
          </rPr>
          <t>2</t>
        </r>
        <r>
          <rPr>
            <sz val="8"/>
            <color indexed="81"/>
            <rFont val="Tahoma"/>
            <family val="2"/>
          </rPr>
          <t xml:space="preserve"> directly related to the extraction, transport, processing and distribution of fuel.</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neeft</author>
    <author>ahennecke</author>
    <author>Neeft, dr. J.P.A. (John)</author>
    <author>sbu</author>
  </authors>
  <commentList>
    <comment ref="H7" authorId="0" shapeId="0" xr:uid="{00000000-0006-0000-1E00-000001000000}">
      <text>
        <r>
          <rPr>
            <sz val="8"/>
            <color indexed="81"/>
            <rFont val="Tahoma"/>
            <family val="2"/>
          </rPr>
          <t>This value is not listed in the RED. 
It has been calculated on the basis of the JEC input, as is explained in "About"</t>
        </r>
      </text>
    </comment>
    <comment ref="H9" authorId="0" shapeId="0" xr:uid="{00000000-0006-0000-1E00-000002000000}">
      <text>
        <r>
          <rPr>
            <sz val="8"/>
            <color indexed="81"/>
            <rFont val="Tahoma"/>
            <family val="2"/>
          </rPr>
          <t>This value is not listed in the RED. 
It has been calculated on the basis of the JEC input, as is explained in "About"</t>
        </r>
      </text>
    </comment>
    <comment ref="H12" authorId="1" shapeId="0" xr:uid="{00000000-0006-0000-1E00-000003000000}">
      <text>
        <r>
          <rPr>
            <sz val="8"/>
            <color indexed="81"/>
            <rFont val="Tahoma"/>
            <family val="2"/>
          </rPr>
          <t>This value is not listed 
It has been calculated on the basis of the JEC input, as is explained in "About"</t>
        </r>
      </text>
    </comment>
    <comment ref="H13" authorId="0" shapeId="0" xr:uid="{00000000-0006-0000-1E00-000004000000}">
      <text>
        <r>
          <rPr>
            <sz val="8"/>
            <color indexed="81"/>
            <rFont val="Tahoma"/>
            <family val="2"/>
          </rPr>
          <t>This value is not listed in the RED. 
It has been calculated on the basis of the JEC input, as is explained in "About"</t>
        </r>
      </text>
    </comment>
    <comment ref="H14" authorId="0" shapeId="0" xr:uid="{00000000-0006-0000-1E00-000005000000}">
      <text>
        <r>
          <rPr>
            <sz val="8"/>
            <color indexed="81"/>
            <rFont val="Tahoma"/>
            <family val="2"/>
          </rPr>
          <t>This value is not listed in the RED. 
It has been calculated on the basis of the JEC input, as is explained in "About"</t>
        </r>
      </text>
    </comment>
    <comment ref="C42" authorId="0" shapeId="0" xr:uid="{00000000-0006-0000-1E00-000006000000}">
      <text>
        <r>
          <rPr>
            <sz val="8"/>
            <color indexed="81"/>
            <rFont val="Tahoma"/>
            <family val="2"/>
          </rPr>
          <t>Part of the total biogas output  is consumed in the CHP (in the fermentation step). In addition, part of the biogas output is lost as leakage. The public input-sheet on the JRC website only gives the total biogas output (0.7 MJ biogas/MJ manure), this needs to be corrected for biogas losses to CHP and leakage. This is done here.</t>
        </r>
      </text>
    </comment>
    <comment ref="C44" authorId="0" shapeId="0" xr:uid="{00000000-0006-0000-1E00-000007000000}">
      <text>
        <r>
          <rPr>
            <sz val="8"/>
            <color indexed="81"/>
            <rFont val="Tahoma"/>
            <family val="2"/>
          </rPr>
          <t xml:space="preserve">Factor 1,4 is to convert "typical value" into "default value.
</t>
        </r>
        <r>
          <rPr>
            <b/>
            <sz val="8"/>
            <color indexed="81"/>
            <rFont val="Tahoma"/>
            <family val="2"/>
          </rPr>
          <t>This number may be set to 1,0 in case an actual calculation in this process step is made.</t>
        </r>
        <r>
          <rPr>
            <sz val="8"/>
            <color indexed="81"/>
            <rFont val="Tahoma"/>
            <family val="2"/>
          </rPr>
          <t xml:space="preserve">
In this calculation for biogas generation, the factor 1,4 cannot be inserted into the individual input numbers as the fermenter and CHP are coupled and their sizes depend on the heat input into the fermenter from the CHP. Therefore, the factor 1,4 has been used in the same way as the European Commission has done: by multiplying the results by 1,4.</t>
        </r>
      </text>
    </comment>
    <comment ref="B49" authorId="0" shapeId="0" xr:uid="{00000000-0006-0000-1E00-000008000000}">
      <text>
        <r>
          <rPr>
            <sz val="8"/>
            <color indexed="81"/>
            <rFont val="Tahoma"/>
            <family val="2"/>
          </rPr>
          <t xml:space="preserve">In the steam production, electricity is produced in a larger amount than the electricity demand in the biogas plant. Therefore, the electricity demand in the biogas plant is in fact not a demand but a reduced electricity output. The output of electricity from the steam production is credited by the electricity from a natural gas fired combined cycle gas turbine (NG CCGT). As a consequence, also the electricity demand in the biogas plant is considered to be electricity from a NG CCGT to acknowledge for the fact that in practice this is not a demand, but a reduced electricity output. If the steam would have been produced in a boiler (without cogeneration of electricity), then the electricity input in the biogas plant should have been calculated as “Electricity EU mix MV”. If the input of electricity would have been larger than the co-generated electricity from the steam production, than part of electricity input into the biogas plant would have been calculated as “Electricity (NG CCGT)”, and part as “Electricity EU mix MV”.
</t>
        </r>
      </text>
    </comment>
    <comment ref="C63" authorId="0" shapeId="0" xr:uid="{00000000-0006-0000-1E00-000009000000}">
      <text>
        <r>
          <rPr>
            <sz val="8"/>
            <color indexed="81"/>
            <rFont val="Tahoma"/>
            <family val="2"/>
          </rPr>
          <t>Positive number indicates net consumption, negative number indicares net production</t>
        </r>
      </text>
    </comment>
    <comment ref="B64" authorId="2" shapeId="0" xr:uid="{00000000-0006-0000-1E00-00000A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64" authorId="0" shapeId="0" xr:uid="{00000000-0006-0000-1E00-00000B000000}">
      <text>
        <r>
          <rPr>
            <b/>
            <sz val="8"/>
            <color indexed="81"/>
            <rFont val="Tahoma"/>
            <family val="2"/>
          </rPr>
          <t>Electricity mix</t>
        </r>
        <r>
          <rPr>
            <sz val="8"/>
            <color indexed="81"/>
            <rFont val="Tahoma"/>
            <family val="2"/>
          </rPr>
          <t xml:space="preserve">
When making an actual calculation, the use of the input "Electricity EU mix LV" is not allowed. Use the electricity mix from the country in which the electricity is taken from the grid, by defining this mix in the list of additional standard values (following the example for “Average electricity mix in Malta”) and replacing “Electricity EU mix LV” in row B of this sheet by the name corresponding to the correct mix (for instance “Average electricity mix in Malta”).
More details can be found in the Calculation rules (chapter 4) and in the User manual (chapter 4).
</t>
        </r>
      </text>
    </comment>
    <comment ref="C78" authorId="0" shapeId="0" xr:uid="{00000000-0006-0000-1E00-00000C000000}">
      <text>
        <r>
          <rPr>
            <sz val="8"/>
            <color indexed="81"/>
            <rFont val="Tahoma"/>
            <family val="2"/>
          </rPr>
          <t xml:space="preserve">Factor 1,4 is to convert "typical value" into "default value.
</t>
        </r>
        <r>
          <rPr>
            <b/>
            <sz val="8"/>
            <color indexed="81"/>
            <rFont val="Tahoma"/>
            <family val="2"/>
          </rPr>
          <t>This number may be set to 1,0 in case an actual calculation in this process step is made.</t>
        </r>
      </text>
    </comment>
    <comment ref="B81" authorId="2" shapeId="0" xr:uid="{00000000-0006-0000-1E00-00000D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81" authorId="0" shapeId="0" xr:uid="{00000000-0006-0000-1E00-00000E000000}">
      <text>
        <r>
          <rPr>
            <b/>
            <sz val="8"/>
            <color indexed="81"/>
            <rFont val="Tahoma"/>
            <family val="2"/>
          </rPr>
          <t>Electricity mix</t>
        </r>
        <r>
          <rPr>
            <sz val="8"/>
            <color indexed="81"/>
            <rFont val="Tahoma"/>
            <family val="2"/>
          </rPr>
          <t xml:space="preserve">
When making an actual calculation, the use of the input "Electricity EU mix MV" is not allowed. Use the electricity mix from the country in which the electricity is taken from the grid, by defining this mix in the list of additional standard values (following the example for “Average electricity mix in Malta”) and replacing “Electricity EU mix MV” in row B of this sheet by the name corresponding to the correct mix (for instance “Average electricity mix in Malta”).
More details can be found in the Calculation rules (chapter 4) and in the User manual (chapter 4).</t>
        </r>
      </text>
    </comment>
    <comment ref="B102" authorId="2" shapeId="0" xr:uid="{00000000-0006-0000-1E00-00000F000000}">
      <text>
        <r>
          <rPr>
            <b/>
            <sz val="8"/>
            <color indexed="81"/>
            <rFont val="Tahoma"/>
            <family val="2"/>
          </rPr>
          <t>Electricity mix</t>
        </r>
        <r>
          <rPr>
            <sz val="8"/>
            <color indexed="81"/>
            <rFont val="Tahoma"/>
            <family val="2"/>
          </rPr>
          <t xml:space="preserve">
When making an actual calculation, the use of the input "Electricity EU mix ..." is not allowed. Use the electricity mix from the country in which the electricity is taken from the grid, by defining this mix in the list of additional standard values (following the example for “Average electricity mix in Malta”) and replacing “Electricity EU mix ...” in row B of this sheet by the name corresponding to the correct mix (for instance “Average electricity mix in Malta”).
More details can be found in chapter 4 of the Calculation rules and in the User manual.
</t>
        </r>
      </text>
    </comment>
    <comment ref="C102" authorId="0" shapeId="0" xr:uid="{00000000-0006-0000-1E00-000010000000}">
      <text>
        <r>
          <rPr>
            <b/>
            <sz val="8"/>
            <color indexed="81"/>
            <rFont val="Tahoma"/>
            <family val="2"/>
          </rPr>
          <t>Electricity mix</t>
        </r>
        <r>
          <rPr>
            <sz val="8"/>
            <color indexed="81"/>
            <rFont val="Tahoma"/>
            <family val="2"/>
          </rPr>
          <t xml:space="preserve">
When making an actual calculation, the use of the input "Electricity EU mix LV" is only allowed when the starting values in this step are kept.
When changing the starting values, use the electricity mix from the country in which the electricity is taken from the grid, by defining this mix in the list of additional standard values (following the example for “Average electricity mix in Malta”) and replacing “Electricity EU mix LV” in row B of this sheet by the name corresponding to the correct mix (for instance “Average electricity mix in Malta”).
More details can be found in the Calculation rules (chapter 4) and in the User manual (chapter 4).</t>
        </r>
      </text>
    </comment>
    <comment ref="C120" authorId="3" shapeId="0" xr:uid="{00000000-0006-0000-1E00-000011000000}">
      <text>
        <r>
          <rPr>
            <sz val="8"/>
            <color indexed="81"/>
            <rFont val="Tahoma"/>
            <family val="2"/>
          </rPr>
          <t>Emission saving from carbon capture and replacement, e</t>
        </r>
        <r>
          <rPr>
            <sz val="8"/>
            <color indexed="81"/>
            <rFont val="Tahoma"/>
            <family val="2"/>
          </rPr>
          <t>ccr</t>
        </r>
        <r>
          <rPr>
            <sz val="8"/>
            <color indexed="81"/>
            <rFont val="Tahoma"/>
            <family val="2"/>
          </rPr>
          <t>, shall be limited to emissions avoided through the capture of CO</t>
        </r>
        <r>
          <rPr>
            <sz val="8"/>
            <color indexed="81"/>
            <rFont val="Tahoma"/>
            <family val="2"/>
          </rPr>
          <t>2</t>
        </r>
        <r>
          <rPr>
            <sz val="8"/>
            <color indexed="81"/>
            <rFont val="Tahoma"/>
            <family val="2"/>
          </rPr>
          <t xml:space="preserve"> of which the carbon originates from biomass and which is used to replace fossil-derived CO</t>
        </r>
        <r>
          <rPr>
            <sz val="8"/>
            <color indexed="81"/>
            <rFont val="Tahoma"/>
            <family val="2"/>
          </rPr>
          <t>2</t>
        </r>
        <r>
          <rPr>
            <sz val="8"/>
            <color indexed="81"/>
            <rFont val="Tahoma"/>
            <family val="2"/>
          </rPr>
          <t xml:space="preserve"> used in commercial products and services.</t>
        </r>
      </text>
    </comment>
    <comment ref="C126" authorId="3" shapeId="0" xr:uid="{00000000-0006-0000-1E00-000012000000}">
      <text>
        <r>
          <rPr>
            <sz val="8"/>
            <color indexed="81"/>
            <rFont val="Tahoma"/>
            <family val="2"/>
          </rPr>
          <t>Emission saving from carbon capture and geological storage e</t>
        </r>
        <r>
          <rPr>
            <sz val="8"/>
            <color indexed="81"/>
            <rFont val="Tahoma"/>
            <family val="2"/>
          </rPr>
          <t>ccs</t>
        </r>
        <r>
          <rPr>
            <sz val="8"/>
            <color indexed="81"/>
            <rFont val="Tahoma"/>
            <family val="2"/>
          </rPr>
          <t>, that have not already been accounted for in e</t>
        </r>
        <r>
          <rPr>
            <sz val="8"/>
            <color indexed="81"/>
            <rFont val="Tahoma"/>
            <family val="2"/>
          </rPr>
          <t>p</t>
        </r>
        <r>
          <rPr>
            <sz val="8"/>
            <color indexed="81"/>
            <rFont val="Tahoma"/>
            <family val="2"/>
          </rPr>
          <t>, shall be limited to emissions avoided through the capture and sequestration of emitted CO</t>
        </r>
        <r>
          <rPr>
            <sz val="8"/>
            <color indexed="81"/>
            <rFont val="Tahoma"/>
            <family val="2"/>
          </rPr>
          <t>2</t>
        </r>
        <r>
          <rPr>
            <sz val="8"/>
            <color indexed="81"/>
            <rFont val="Tahoma"/>
            <family val="2"/>
          </rPr>
          <t xml:space="preserve"> directly related to the extraction, transport, processing and distribution of fuel.</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weindorf</author>
  </authors>
  <commentList>
    <comment ref="M5" authorId="0" shapeId="0" xr:uid="{00000000-0006-0000-2000-000001000000}">
      <text>
        <r>
          <rPr>
            <sz val="8"/>
            <color indexed="81"/>
            <rFont val="Tahoma"/>
            <family val="2"/>
          </rPr>
          <t>fossil plus nuclear (= non-renewable energy)
In the CONCAWE/EUCAR/JRC study the use of non-renewable energy is meant with "fossel energy" 
Supply and use</t>
        </r>
      </text>
    </comment>
    <comment ref="I6" authorId="0" shapeId="0" xr:uid="{00000000-0006-0000-2000-000002000000}">
      <text>
        <r>
          <rPr>
            <sz val="8"/>
            <color indexed="81"/>
            <rFont val="Tahoma"/>
            <family val="2"/>
          </rPr>
          <t>supply and use (combustion)</t>
        </r>
      </text>
    </comment>
    <comment ref="L6" authorId="0" shapeId="0" xr:uid="{00000000-0006-0000-2000-000003000000}">
      <text>
        <r>
          <rPr>
            <sz val="8"/>
            <color indexed="81"/>
            <rFont val="Tahoma"/>
            <family val="2"/>
          </rPr>
          <t>supply and use (combustion)</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weindorf</author>
  </authors>
  <commentList>
    <comment ref="M5" authorId="0" shapeId="0" xr:uid="{00000000-0006-0000-2100-000001000000}">
      <text>
        <r>
          <rPr>
            <sz val="8"/>
            <color indexed="81"/>
            <rFont val="Tahoma"/>
            <family val="2"/>
          </rPr>
          <t xml:space="preserve">Fossil plus nuclear (= non-renewable energy)
In the CONCAWE/EUCAR/JRC study the use of non-renewable energy is meant with "fossel energy" </t>
        </r>
      </text>
    </comment>
    <comment ref="I6" authorId="0" shapeId="0" xr:uid="{00000000-0006-0000-2100-000002000000}">
      <text>
        <r>
          <rPr>
            <sz val="8"/>
            <color indexed="81"/>
            <rFont val="Tahoma"/>
            <family val="2"/>
          </rPr>
          <t>supply and use (combustion)</t>
        </r>
      </text>
    </comment>
    <comment ref="L6" authorId="0" shapeId="0" xr:uid="{00000000-0006-0000-2100-000003000000}">
      <text>
        <r>
          <rPr>
            <sz val="8"/>
            <color indexed="81"/>
            <rFont val="Tahoma"/>
            <family val="2"/>
          </rPr>
          <t>supply and use (combustion)</t>
        </r>
      </text>
    </comment>
    <comment ref="C20" authorId="0" shapeId="0" xr:uid="{00000000-0006-0000-2100-000004000000}">
      <text>
        <r>
          <rPr>
            <sz val="8"/>
            <color indexed="81"/>
            <rFont val="Tahoma"/>
            <family val="2"/>
          </rPr>
          <t>No seeding material taken into account for corn in the JEC calculations from 31 July 2008 which have been used for the RED</t>
        </r>
      </text>
    </comment>
    <comment ref="C22" authorId="0" shapeId="0" xr:uid="{00000000-0006-0000-2100-000005000000}">
      <text>
        <r>
          <rPr>
            <sz val="8"/>
            <color indexed="81"/>
            <rFont val="Tahoma"/>
            <family val="2"/>
          </rPr>
          <t>No seeding material taken into account for soy in the JEC calculations from 31 July 2008 which have been used for the RED</t>
        </r>
      </text>
    </comment>
    <comment ref="C24" authorId="0" shapeId="0" xr:uid="{00000000-0006-0000-2100-000006000000}">
      <text>
        <r>
          <rPr>
            <sz val="8"/>
            <color indexed="81"/>
            <rFont val="Tahoma"/>
            <family val="2"/>
          </rPr>
          <t>No seeding material taken into account for sugarcane in the JEC calculations from 31 July 2008 which have been used for the RED</t>
        </r>
      </text>
    </comment>
    <comment ref="C29" authorId="0" shapeId="0" xr:uid="{00000000-0006-0000-2100-000007000000}">
      <text>
        <r>
          <rPr>
            <sz val="8"/>
            <color indexed="81"/>
            <rFont val="Tahoma"/>
            <family val="2"/>
          </rPr>
          <t>No GHG emissions from EFB supply because it is a residue</t>
        </r>
      </text>
    </comment>
    <comment ref="I40" authorId="0" shapeId="0" xr:uid="{00000000-0006-0000-2100-000008000000}">
      <text>
        <r>
          <rPr>
            <sz val="8"/>
            <color indexed="81"/>
            <rFont val="Tahoma"/>
            <family val="2"/>
          </rPr>
          <t>For the supply of diesel a summarized rounded value has been used in the JEC calculations from 31 July 2008 which have been used for the RED. The CO2 emissions includes also non-CO2 GHG</t>
        </r>
      </text>
    </comment>
    <comment ref="N40" authorId="0" shapeId="0" xr:uid="{00000000-0006-0000-2100-000009000000}">
      <text>
        <r>
          <rPr>
            <sz val="8"/>
            <color indexed="81"/>
            <rFont val="Tahoma"/>
            <family val="2"/>
          </rPr>
          <t xml:space="preserve">For the supply of diesel a summarized rounded value has been used. </t>
        </r>
      </text>
    </comment>
    <comment ref="I43" authorId="0" shapeId="0" xr:uid="{00000000-0006-0000-2100-00000A000000}">
      <text>
        <r>
          <rPr>
            <sz val="8"/>
            <color indexed="81"/>
            <rFont val="Tahoma"/>
            <family val="2"/>
          </rPr>
          <t>Heavy fuel oil used in ships for maritime transport: 290 g CO2 per kWh of heavy fuel oil from combustion</t>
        </r>
      </text>
    </comment>
    <comment ref="I75" authorId="0" shapeId="0" xr:uid="{00000000-0006-0000-2100-00000B000000}">
      <text>
        <r>
          <rPr>
            <sz val="8"/>
            <color indexed="81"/>
            <rFont val="Tahoma"/>
            <family val="2"/>
          </rPr>
          <t>Transport of straw plus fertilizer debit: more fertilizer is required if the straw is removed</t>
        </r>
      </text>
    </comment>
    <comment ref="E93" authorId="0" shapeId="0" xr:uid="{00000000-0006-0000-2100-00000C000000}">
      <text>
        <r>
          <rPr>
            <sz val="8"/>
            <color indexed="81"/>
            <rFont val="Tahoma"/>
            <family val="2"/>
          </rPr>
          <t>Formation of CO2 from combustion or decomposition not taken into account until now in the EU RED</t>
        </r>
      </text>
    </comment>
    <comment ref="E94" authorId="0" shapeId="0" xr:uid="{00000000-0006-0000-2100-00000D000000}">
      <text>
        <r>
          <rPr>
            <sz val="8"/>
            <color indexed="81"/>
            <rFont val="Tahoma"/>
            <family val="2"/>
          </rPr>
          <t>Formation of CO2 from combustion or decomposition not taken into account until now in the EU RED</t>
        </r>
      </text>
    </comment>
    <comment ref="Q99" authorId="0" shapeId="0" xr:uid="{00000000-0006-0000-2100-00000E000000}">
      <text>
        <r>
          <rPr>
            <sz val="8"/>
            <color indexed="81"/>
            <rFont val="Tahoma"/>
            <family val="2"/>
          </rPr>
          <t xml:space="preserve">This number is used for  FFB tranport in the later versions </t>
        </r>
      </text>
    </comment>
  </commentList>
</comments>
</file>

<file path=xl/sharedStrings.xml><?xml version="1.0" encoding="utf-8"?>
<sst xmlns="http://schemas.openxmlformats.org/spreadsheetml/2006/main" count="8829" uniqueCount="1229">
  <si>
    <r>
      <t>GHG emissions caused by CO</t>
    </r>
    <r>
      <rPr>
        <vertAlign val="subscript"/>
        <sz val="10"/>
        <rFont val="Arial"/>
        <family val="2"/>
      </rPr>
      <t>2</t>
    </r>
    <r>
      <rPr>
        <sz val="10"/>
        <rFont val="Arial"/>
      </rPr>
      <t>, CH</t>
    </r>
    <r>
      <rPr>
        <vertAlign val="subscript"/>
        <sz val="10"/>
        <rFont val="Arial"/>
        <family val="2"/>
      </rPr>
      <t>4</t>
    </r>
    <r>
      <rPr>
        <sz val="10"/>
        <rFont val="Arial"/>
      </rPr>
      <t>, and N</t>
    </r>
    <r>
      <rPr>
        <vertAlign val="subscript"/>
        <sz val="10"/>
        <rFont val="Arial"/>
        <family val="2"/>
      </rPr>
      <t>2</t>
    </r>
    <r>
      <rPr>
        <sz val="10"/>
        <rFont val="Arial"/>
      </rPr>
      <t>O, expressed as CO</t>
    </r>
    <r>
      <rPr>
        <vertAlign val="subscript"/>
        <sz val="10"/>
        <rFont val="Arial"/>
        <family val="2"/>
      </rPr>
      <t>2</t>
    </r>
    <r>
      <rPr>
        <sz val="10"/>
        <rFont val="Arial"/>
      </rPr>
      <t>-equivalent emissions using the global warming potentials of CH</t>
    </r>
    <r>
      <rPr>
        <vertAlign val="subscript"/>
        <sz val="10"/>
        <rFont val="Arial"/>
        <family val="2"/>
      </rPr>
      <t>4</t>
    </r>
    <r>
      <rPr>
        <sz val="10"/>
        <rFont val="Arial"/>
      </rPr>
      <t xml:space="preserve"> and N</t>
    </r>
    <r>
      <rPr>
        <vertAlign val="subscript"/>
        <sz val="10"/>
        <rFont val="Arial"/>
        <family val="2"/>
      </rPr>
      <t>2</t>
    </r>
    <r>
      <rPr>
        <sz val="10"/>
        <rFont val="Arial"/>
      </rPr>
      <t>O as listed in the sheet "Standard Values".</t>
    </r>
  </si>
  <si>
    <t>As explained in "About" under "Inconsistent use of GWP's"</t>
  </si>
  <si>
    <t>Modified or new biofuel production chains</t>
  </si>
  <si>
    <t xml:space="preserve">The Excel sheets can also be used to set up a new calculation of a modified or even new biofuel production chain. This requires some knowledge of Excel and a detailed studying of how calculations are made. </t>
  </si>
  <si>
    <t>Results are expressed as "Default values"</t>
  </si>
  <si>
    <t>Intelligent Energy for Europe</t>
  </si>
  <si>
    <t xml:space="preserve">The BioGrace project receives financial support from the IEE programme which is gratefully acknowledged. Information on IEE can be found at </t>
  </si>
  <si>
    <t>http://ec.europa.eu/energy/intelligent/</t>
  </si>
  <si>
    <r>
      <t>ton CO</t>
    </r>
    <r>
      <rPr>
        <b/>
        <vertAlign val="subscript"/>
        <sz val="10"/>
        <color indexed="62"/>
        <rFont val="Arial"/>
        <family val="2"/>
      </rPr>
      <t>2</t>
    </r>
    <r>
      <rPr>
        <b/>
        <sz val="10"/>
        <color indexed="62"/>
        <rFont val="Arial"/>
        <family val="2"/>
      </rPr>
      <t xml:space="preserve"> ha</t>
    </r>
    <r>
      <rPr>
        <b/>
        <vertAlign val="superscript"/>
        <sz val="10"/>
        <color indexed="62"/>
        <rFont val="Arial"/>
        <family val="2"/>
      </rPr>
      <t>-1</t>
    </r>
    <r>
      <rPr>
        <b/>
        <sz val="10"/>
        <color indexed="62"/>
        <rFont val="Arial"/>
        <family val="2"/>
      </rPr>
      <t xml:space="preserve"> year</t>
    </r>
    <r>
      <rPr>
        <b/>
        <vertAlign val="superscript"/>
        <sz val="10"/>
        <color indexed="62"/>
        <rFont val="Arial"/>
        <family val="2"/>
      </rPr>
      <t>-1</t>
    </r>
  </si>
  <si>
    <t>Resulting land use change</t>
  </si>
  <si>
    <t xml:space="preserve">Use "arable to arable land" in case of modified practices </t>
  </si>
  <si>
    <t>R1</t>
  </si>
  <si>
    <t>R2</t>
  </si>
  <si>
    <t>Not concerned</t>
  </si>
  <si>
    <t xml:space="preserve">N in crop residues = </t>
  </si>
  <si>
    <t xml:space="preserve">N mineralised from LUC = </t>
  </si>
  <si>
    <r>
      <t>EF</t>
    </r>
    <r>
      <rPr>
        <b/>
        <vertAlign val="subscript"/>
        <sz val="10"/>
        <color indexed="16"/>
        <rFont val="Arial"/>
        <family val="2"/>
      </rPr>
      <t>1</t>
    </r>
  </si>
  <si>
    <r>
      <t>Emission factor for NH</t>
    </r>
    <r>
      <rPr>
        <vertAlign val="subscript"/>
        <sz val="10"/>
        <color indexed="16"/>
        <rFont val="Arial"/>
        <family val="2"/>
      </rPr>
      <t>3</t>
    </r>
    <r>
      <rPr>
        <sz val="10"/>
        <color indexed="16"/>
        <rFont val="Arial"/>
        <family val="2"/>
      </rPr>
      <t xml:space="preserve"> volatilization (IPCC Tier 1): </t>
    </r>
  </si>
  <si>
    <r>
      <t>EF</t>
    </r>
    <r>
      <rPr>
        <b/>
        <vertAlign val="subscript"/>
        <sz val="10"/>
        <color indexed="16"/>
        <rFont val="Arial"/>
        <family val="2"/>
      </rPr>
      <t>4</t>
    </r>
    <r>
      <rPr>
        <b/>
        <sz val="10"/>
        <color indexed="16"/>
        <rFont val="Arial"/>
        <family val="2"/>
      </rPr>
      <t xml:space="preserve">   (%)</t>
    </r>
  </si>
  <si>
    <r>
      <t>EF</t>
    </r>
    <r>
      <rPr>
        <b/>
        <vertAlign val="subscript"/>
        <sz val="10"/>
        <color indexed="16"/>
        <rFont val="Arial"/>
        <family val="2"/>
      </rPr>
      <t>5</t>
    </r>
    <r>
      <rPr>
        <b/>
        <sz val="10"/>
        <color indexed="16"/>
        <rFont val="Arial"/>
        <family val="2"/>
      </rPr>
      <t xml:space="preserve">  (%)</t>
    </r>
  </si>
  <si>
    <t xml:space="preserve">Volatilization = </t>
  </si>
  <si>
    <t>Table 6</t>
  </si>
  <si>
    <t xml:space="preserve">Leaching = </t>
  </si>
  <si>
    <t>Table 7</t>
  </si>
  <si>
    <t>Table 8</t>
  </si>
  <si>
    <r>
      <t>Direct N</t>
    </r>
    <r>
      <rPr>
        <b/>
        <vertAlign val="subscript"/>
        <sz val="12"/>
        <color indexed="19"/>
        <rFont val="Arial"/>
        <family val="2"/>
      </rPr>
      <t>2</t>
    </r>
    <r>
      <rPr>
        <b/>
        <sz val="12"/>
        <color indexed="19"/>
        <rFont val="Arial"/>
        <family val="2"/>
      </rPr>
      <t xml:space="preserve">O emissions from managed soils (Tier1). </t>
    </r>
  </si>
  <si>
    <t>See Table 2, Table 3, Table 4 and Table 5 for intermediate calculations (right side of the this sheet)</t>
  </si>
  <si>
    <t>See Table 6, Table 7, Table 8  for intermediate calculations (right side of the this sheet)</t>
  </si>
  <si>
    <t>Table 5</t>
  </si>
  <si>
    <t>Glossary for the Table 2, 3 and 4</t>
  </si>
  <si>
    <t xml:space="preserve">Fresh matter = </t>
  </si>
  <si>
    <t>Dry matter</t>
  </si>
  <si>
    <r>
      <t>N</t>
    </r>
    <r>
      <rPr>
        <vertAlign val="subscript"/>
        <sz val="10"/>
        <rFont val="Arial"/>
        <family val="2"/>
      </rPr>
      <t xml:space="preserve">AG </t>
    </r>
    <r>
      <rPr>
        <sz val="10"/>
        <rFont val="Arial"/>
        <family val="2"/>
      </rPr>
      <t xml:space="preserve">= </t>
    </r>
  </si>
  <si>
    <t xml:space="preserve">slope = </t>
  </si>
  <si>
    <t>N content of above ground residue</t>
  </si>
  <si>
    <t>IPCC 2006, chap 11</t>
  </si>
  <si>
    <r>
      <t>AG</t>
    </r>
    <r>
      <rPr>
        <b/>
        <vertAlign val="subscript"/>
        <sz val="10"/>
        <rFont val="Arial"/>
        <family val="2"/>
      </rPr>
      <t>DM(T)</t>
    </r>
    <r>
      <rPr>
        <b/>
        <sz val="10"/>
        <rFont val="Arial"/>
        <family val="2"/>
      </rPr>
      <t xml:space="preserve"> = </t>
    </r>
  </si>
  <si>
    <r>
      <t>R</t>
    </r>
    <r>
      <rPr>
        <vertAlign val="subscript"/>
        <sz val="10"/>
        <rFont val="Arial"/>
        <family val="2"/>
      </rPr>
      <t xml:space="preserve">BG-BIO(T) </t>
    </r>
    <r>
      <rPr>
        <sz val="10"/>
        <rFont val="Arial"/>
        <family val="2"/>
      </rPr>
      <t xml:space="preserve">= </t>
    </r>
  </si>
  <si>
    <r>
      <t>R</t>
    </r>
    <r>
      <rPr>
        <vertAlign val="subscript"/>
        <sz val="10"/>
        <rFont val="Arial"/>
        <family val="2"/>
      </rPr>
      <t xml:space="preserve">AG(T) </t>
    </r>
    <r>
      <rPr>
        <sz val="10"/>
        <rFont val="Arial"/>
        <family val="2"/>
      </rPr>
      <t xml:space="preserve">= </t>
    </r>
  </si>
  <si>
    <r>
      <t>Slope of the curve linking AG</t>
    </r>
    <r>
      <rPr>
        <vertAlign val="subscript"/>
        <sz val="10"/>
        <rFont val="Arial"/>
        <family val="2"/>
      </rPr>
      <t>DM(T)</t>
    </r>
    <r>
      <rPr>
        <sz val="10"/>
        <rFont val="Arial"/>
        <family val="2"/>
      </rPr>
      <t xml:space="preserve"> with crop yields</t>
    </r>
  </si>
  <si>
    <r>
      <t>Value of AG</t>
    </r>
    <r>
      <rPr>
        <vertAlign val="subscript"/>
        <sz val="10"/>
        <rFont val="Arial"/>
        <family val="2"/>
      </rPr>
      <t xml:space="preserve">DM(T) </t>
    </r>
    <r>
      <rPr>
        <sz val="10"/>
        <rFont val="Arial"/>
        <family val="2"/>
      </rPr>
      <t>at crop yield = 0</t>
    </r>
  </si>
  <si>
    <t>Ocean bulk carrier (Fuel oil)</t>
  </si>
  <si>
    <t>Local (10 km) pipeline</t>
  </si>
  <si>
    <t>Rail (Electric, MV)</t>
  </si>
  <si>
    <r>
      <t>CO</t>
    </r>
    <r>
      <rPr>
        <vertAlign val="subscript"/>
        <sz val="10"/>
        <rFont val="Verdana"/>
        <family val="2"/>
      </rPr>
      <t>2</t>
    </r>
  </si>
  <si>
    <r>
      <t>CH</t>
    </r>
    <r>
      <rPr>
        <vertAlign val="subscript"/>
        <sz val="10"/>
        <rFont val="Verdana"/>
        <family val="2"/>
      </rPr>
      <t>4</t>
    </r>
  </si>
  <si>
    <r>
      <t>N</t>
    </r>
    <r>
      <rPr>
        <vertAlign val="subscript"/>
        <sz val="10"/>
        <rFont val="Verdana"/>
        <family val="2"/>
      </rPr>
      <t>2</t>
    </r>
    <r>
      <rPr>
        <sz val="10"/>
        <rFont val="Verdana"/>
        <family val="2"/>
      </rPr>
      <t>O</t>
    </r>
  </si>
  <si>
    <r>
      <t>Sodium carbonate (Na</t>
    </r>
    <r>
      <rPr>
        <vertAlign val="subscript"/>
        <sz val="10"/>
        <rFont val="Verdana"/>
        <family val="2"/>
      </rPr>
      <t>2</t>
    </r>
    <r>
      <rPr>
        <sz val="10"/>
        <rFont val="Verdana"/>
        <family val="2"/>
      </rPr>
      <t>CO</t>
    </r>
    <r>
      <rPr>
        <vertAlign val="subscript"/>
        <sz val="10"/>
        <rFont val="Verdana"/>
        <family val="2"/>
      </rPr>
      <t>3</t>
    </r>
    <r>
      <rPr>
        <sz val="10"/>
        <rFont val="Verdana"/>
        <family val="2"/>
      </rPr>
      <t>)</t>
    </r>
  </si>
  <si>
    <r>
      <t>Sulphuric acid (H</t>
    </r>
    <r>
      <rPr>
        <vertAlign val="subscript"/>
        <sz val="10"/>
        <rFont val="Verdana"/>
        <family val="2"/>
      </rPr>
      <t>2</t>
    </r>
    <r>
      <rPr>
        <sz val="10"/>
        <rFont val="Verdana"/>
        <family val="2"/>
      </rPr>
      <t>SO</t>
    </r>
    <r>
      <rPr>
        <vertAlign val="subscript"/>
        <sz val="10"/>
        <rFont val="Verdana"/>
        <family val="2"/>
      </rPr>
      <t>4</t>
    </r>
    <r>
      <rPr>
        <sz val="10"/>
        <rFont val="Verdana"/>
        <family val="2"/>
      </rPr>
      <t>)</t>
    </r>
  </si>
  <si>
    <t>Electricity EU mix LV</t>
  </si>
  <si>
    <t>Electricity EU mix MV</t>
  </si>
  <si>
    <t>Main product:</t>
  </si>
  <si>
    <t>User defined standard values</t>
  </si>
  <si>
    <r>
      <t>MJ / MJ</t>
    </r>
    <r>
      <rPr>
        <vertAlign val="subscript"/>
        <sz val="10"/>
        <rFont val="Arial"/>
        <family val="2"/>
      </rPr>
      <t>Wheat, input</t>
    </r>
  </si>
  <si>
    <t xml:space="preserve">Fuel  </t>
  </si>
  <si>
    <t>Please, note that positive value means carbon soil accumulation.</t>
  </si>
  <si>
    <t>Please, note that positive value means carbon soil losses</t>
  </si>
  <si>
    <t xml:space="preserve">Internal LCA studies on chemical production, 2009. </t>
  </si>
  <si>
    <t>Carried by …, review by …, representatif of ….</t>
  </si>
  <si>
    <r>
      <t>There are two ways of getting C</t>
    </r>
    <r>
      <rPr>
        <vertAlign val="subscript"/>
        <sz val="10"/>
        <rFont val="Arial"/>
        <family val="2"/>
      </rPr>
      <t>veg</t>
    </r>
    <r>
      <rPr>
        <sz val="10"/>
        <rFont val="Arial"/>
        <family val="2"/>
      </rPr>
      <t xml:space="preserve"> : </t>
    </r>
  </si>
  <si>
    <t xml:space="preserve">- or you can use predefined data set out in point 8 of the Commission Decision (tables  9 to 18) </t>
  </si>
  <si>
    <t>In this case, please use the "Default calculation" module bellow.</t>
  </si>
  <si>
    <r>
      <t>In this case, you should use "Actual calculation" module for both C</t>
    </r>
    <r>
      <rPr>
        <vertAlign val="subscript"/>
        <sz val="10"/>
        <rFont val="Arial"/>
        <family val="2"/>
      </rPr>
      <t>veg</t>
    </r>
    <r>
      <rPr>
        <sz val="10"/>
        <rFont val="Arial"/>
        <family val="2"/>
      </rPr>
      <t xml:space="preserve"> and SOC.</t>
    </r>
  </si>
  <si>
    <t>Option 1. Default calculation (no actual and acurate data are available)</t>
  </si>
  <si>
    <t>Option 2. Actual calculation Carbon Stocks and Carbon vegetation</t>
  </si>
  <si>
    <r>
      <t>In this case, you should use "Actual calculation" module because no predefined SOC values are given. 
"Default calculation" can help for C</t>
    </r>
    <r>
      <rPr>
        <vertAlign val="subscript"/>
        <sz val="10"/>
        <rFont val="Arial"/>
        <family val="2"/>
      </rPr>
      <t>veg</t>
    </r>
    <r>
      <rPr>
        <sz val="10"/>
        <rFont val="Arial"/>
        <family val="2"/>
      </rPr>
      <t>. Transfer the C</t>
    </r>
    <r>
      <rPr>
        <vertAlign val="subscript"/>
        <sz val="10"/>
        <rFont val="Arial"/>
        <family val="2"/>
      </rPr>
      <t>veg</t>
    </r>
    <r>
      <rPr>
        <sz val="10"/>
        <rFont val="Arial"/>
        <family val="2"/>
      </rPr>
      <t xml:space="preserve"> result in "Actual calculation" module.</t>
    </r>
  </si>
  <si>
    <t>Default with mineral soils</t>
  </si>
  <si>
    <t>BioGrace Excel tool</t>
  </si>
  <si>
    <t>Data used for the calculations in this Excel tool come from three sources:</t>
  </si>
  <si>
    <t>For some input data, LBST has provided us with slightly modified input numbers (so the numbers used in the calculations were slightly different than those listed in the file above).</t>
  </si>
  <si>
    <t>The reference land use shall be the land use in January 2008 or 20 years before the raw material was obtained, whichever was the later.</t>
  </si>
  <si>
    <t>Steam (from NG CHP)</t>
  </si>
  <si>
    <t>Steam (from Straw CHP)</t>
  </si>
  <si>
    <r>
      <t>See IPCC 2006, chapter 11 on N</t>
    </r>
    <r>
      <rPr>
        <b/>
        <vertAlign val="subscript"/>
        <sz val="10"/>
        <rFont val="Arial"/>
        <family val="2"/>
      </rPr>
      <t>2</t>
    </r>
    <r>
      <rPr>
        <b/>
        <sz val="10"/>
        <rFont val="Arial"/>
        <family val="2"/>
      </rPr>
      <t>O emissions, for more details</t>
    </r>
  </si>
  <si>
    <r>
      <t>N</t>
    </r>
    <r>
      <rPr>
        <vertAlign val="subscript"/>
        <sz val="10"/>
        <rFont val="Arial"/>
        <family val="2"/>
      </rPr>
      <t>BG</t>
    </r>
    <r>
      <rPr>
        <sz val="10"/>
        <rFont val="Arial"/>
        <family val="2"/>
      </rPr>
      <t xml:space="preserve"> = </t>
    </r>
  </si>
  <si>
    <r>
      <t>R</t>
    </r>
    <r>
      <rPr>
        <vertAlign val="subscript"/>
        <sz val="10"/>
        <rFont val="Arial"/>
        <family val="2"/>
      </rPr>
      <t>BG(T)</t>
    </r>
    <r>
      <rPr>
        <sz val="10"/>
        <rFont val="Arial"/>
        <family val="2"/>
      </rPr>
      <t xml:space="preserve"> = </t>
    </r>
  </si>
  <si>
    <r>
      <t xml:space="preserve"> BG</t>
    </r>
    <r>
      <rPr>
        <vertAlign val="subscript"/>
        <sz val="10"/>
        <rFont val="Arial"/>
        <family val="2"/>
      </rPr>
      <t>DM(T)</t>
    </r>
    <r>
      <rPr>
        <sz val="10"/>
        <rFont val="Arial"/>
        <family val="2"/>
      </rPr>
      <t xml:space="preserve"> = </t>
    </r>
  </si>
  <si>
    <t xml:space="preserve">LHV (MJ/kg) = </t>
  </si>
  <si>
    <t>Low Heating Value</t>
  </si>
  <si>
    <t>N contend of below-ground residue</t>
  </si>
  <si>
    <t>Ratio of below-ground residues to above-ground biomass</t>
  </si>
  <si>
    <t xml:space="preserve"> Ratio of below-ground residues to harvested yield for crop T</t>
  </si>
  <si>
    <t>Below ground residue (dry matter)</t>
  </si>
  <si>
    <t>Ratio of above-ground residues dry matter (AGDM(T))</t>
  </si>
  <si>
    <t xml:space="preserve"> to harvested yield for crop T (Crop(T))</t>
  </si>
  <si>
    <t>Above ground Residue (dry matter)</t>
  </si>
  <si>
    <t xml:space="preserve">(T) = </t>
  </si>
  <si>
    <t>Related to the crop T</t>
  </si>
  <si>
    <t>source : IPCC 2006</t>
  </si>
  <si>
    <r>
      <t>N</t>
    </r>
    <r>
      <rPr>
        <b/>
        <vertAlign val="subscript"/>
        <sz val="10"/>
        <rFont val="Arial"/>
        <family val="2"/>
      </rPr>
      <t>2</t>
    </r>
    <r>
      <rPr>
        <b/>
        <sz val="10"/>
        <rFont val="Arial"/>
        <family val="2"/>
      </rPr>
      <t>O from atmospheric deposition of N volatilised:</t>
    </r>
  </si>
  <si>
    <r>
      <t>Emission of N</t>
    </r>
    <r>
      <rPr>
        <b/>
        <vertAlign val="subscript"/>
        <sz val="10"/>
        <rFont val="Arial"/>
        <family val="2"/>
      </rPr>
      <t>2</t>
    </r>
    <r>
      <rPr>
        <b/>
        <sz val="10"/>
        <rFont val="Arial"/>
        <family val="2"/>
      </rPr>
      <t xml:space="preserve">O from nitrate leaching effect: </t>
    </r>
  </si>
  <si>
    <t>Eq.11.9</t>
  </si>
  <si>
    <t>Eq.11.10</t>
  </si>
  <si>
    <t>Eq.11.2</t>
  </si>
  <si>
    <t xml:space="preserve">See IPCC 2006, chapter 11 </t>
  </si>
  <si>
    <t>Glossary for table 6, 7</t>
  </si>
  <si>
    <t>Applied synthetic fertiliser</t>
  </si>
  <si>
    <t>Applied organic fertiliser</t>
  </si>
  <si>
    <t>Crop residue N returned to soils ( including N-fixing crops and pasture renewal)</t>
  </si>
  <si>
    <t xml:space="preserve">Mineralised N resulting from loss of soil organic C stocks in mineral soils </t>
  </si>
  <si>
    <r>
      <t>ton km / MJ</t>
    </r>
    <r>
      <rPr>
        <vertAlign val="subscript"/>
        <sz val="10"/>
        <rFont val="Arial"/>
        <family val="2"/>
      </rPr>
      <t>Corn, input</t>
    </r>
  </si>
  <si>
    <r>
      <t>MJ</t>
    </r>
    <r>
      <rPr>
        <vertAlign val="subscript"/>
        <sz val="10"/>
        <rFont val="Arial"/>
        <family val="2"/>
      </rPr>
      <t>Ethanol</t>
    </r>
    <r>
      <rPr>
        <sz val="10"/>
        <rFont val="Arial"/>
      </rPr>
      <t xml:space="preserve"> / MJ</t>
    </r>
    <r>
      <rPr>
        <vertAlign val="subscript"/>
        <sz val="10"/>
        <rFont val="Arial"/>
        <family val="2"/>
      </rPr>
      <t>Corn</t>
    </r>
  </si>
  <si>
    <r>
      <t>MJ</t>
    </r>
    <r>
      <rPr>
        <vertAlign val="subscript"/>
        <sz val="10"/>
        <rFont val="Arial"/>
        <family val="2"/>
      </rPr>
      <t>Ethanol</t>
    </r>
    <r>
      <rPr>
        <sz val="10"/>
        <rFont val="Arial"/>
      </rPr>
      <t xml:space="preserve"> / MJ</t>
    </r>
    <r>
      <rPr>
        <vertAlign val="subscript"/>
        <sz val="10"/>
        <rFont val="Arial"/>
        <family val="2"/>
      </rPr>
      <t>Corn, input</t>
    </r>
  </si>
  <si>
    <r>
      <t xml:space="preserve">kg </t>
    </r>
    <r>
      <rPr>
        <sz val="10"/>
        <rFont val="Arial"/>
      </rPr>
      <t>ha</t>
    </r>
    <r>
      <rPr>
        <vertAlign val="superscript"/>
        <sz val="10"/>
        <rFont val="Arial"/>
        <family val="2"/>
      </rPr>
      <t>-1</t>
    </r>
    <r>
      <rPr>
        <sz val="10"/>
        <rFont val="Arial"/>
      </rPr>
      <t xml:space="preserve"> year</t>
    </r>
    <r>
      <rPr>
        <vertAlign val="superscript"/>
        <sz val="10"/>
        <rFont val="Arial"/>
        <family val="2"/>
      </rPr>
      <t>-2</t>
    </r>
    <r>
      <rPr>
        <sz val="10"/>
        <rFont val="Arial"/>
      </rPr>
      <t/>
    </r>
  </si>
  <si>
    <t>Storage of FFB</t>
  </si>
  <si>
    <t>Vinasse</t>
  </si>
  <si>
    <r>
      <t>kg ha</t>
    </r>
    <r>
      <rPr>
        <vertAlign val="superscript"/>
        <sz val="10"/>
        <rFont val="Arial"/>
        <family val="2"/>
      </rPr>
      <t>-1</t>
    </r>
    <r>
      <rPr>
        <sz val="10"/>
        <rFont val="Arial"/>
      </rPr>
      <t xml:space="preserve"> year</t>
    </r>
    <r>
      <rPr>
        <vertAlign val="superscript"/>
        <sz val="10"/>
        <rFont val="Arial"/>
        <family val="2"/>
      </rPr>
      <t>-2</t>
    </r>
    <r>
      <rPr>
        <sz val="10"/>
        <rFont val="Arial"/>
      </rPr>
      <t/>
    </r>
  </si>
  <si>
    <t>Filter mud cake</t>
  </si>
  <si>
    <t>Transport of vinasse and filter mud cake</t>
  </si>
  <si>
    <t>no yield, this is supporting process</t>
  </si>
  <si>
    <t>Tanker truck MB2218 for vinasse transport</t>
  </si>
  <si>
    <t>Tanker truck with water cannons for vinasse transport</t>
  </si>
  <si>
    <t>Dumpster truck MB2213 for filter mud transport</t>
  </si>
  <si>
    <r>
      <t>Sulphuric acid (H</t>
    </r>
    <r>
      <rPr>
        <vertAlign val="subscript"/>
        <sz val="10"/>
        <rFont val="Arial"/>
        <family val="2"/>
      </rPr>
      <t>2</t>
    </r>
    <r>
      <rPr>
        <sz val="10"/>
        <rFont val="Arial"/>
      </rPr>
      <t>SO</t>
    </r>
    <r>
      <rPr>
        <vertAlign val="subscript"/>
        <sz val="10"/>
        <rFont val="Arial"/>
        <family val="2"/>
      </rPr>
      <t>4</t>
    </r>
    <r>
      <rPr>
        <sz val="10"/>
        <rFont val="Arial"/>
      </rPr>
      <t>)</t>
    </r>
  </si>
  <si>
    <t>km (country of origin)</t>
  </si>
  <si>
    <t>km (country of destination)</t>
  </si>
  <si>
    <t xml:space="preserve"> (at 0% water,</t>
  </si>
  <si>
    <t>unless otherwise stated)</t>
  </si>
  <si>
    <t>1 ton</t>
  </si>
  <si>
    <t>1,14 ton</t>
  </si>
  <si>
    <t>1,392 ton</t>
  </si>
  <si>
    <t>DDGS (10 wt% moisture)</t>
  </si>
  <si>
    <t>Co-product Sugar beet pulp</t>
  </si>
  <si>
    <t>Co-product:</t>
  </si>
  <si>
    <t>Co-product Straw</t>
  </si>
  <si>
    <t>Co-product DDGS</t>
  </si>
  <si>
    <t>Co-products</t>
  </si>
  <si>
    <t>Co-product Rapeseed cake</t>
  </si>
  <si>
    <t>Co-product refined glycerol</t>
  </si>
  <si>
    <t>Co-product Sunflower cake</t>
  </si>
  <si>
    <t>Co-product soya cake</t>
  </si>
  <si>
    <t>Co-product Kernel meal</t>
  </si>
  <si>
    <t>Co-product bio-oil</t>
  </si>
  <si>
    <t xml:space="preserve">Co-product </t>
  </si>
  <si>
    <t>Energy content co-product</t>
  </si>
  <si>
    <t>Energy content (1 ton)</t>
  </si>
  <si>
    <t xml:space="preserve"> BioGrace  -   Excel based biofuel GHG calculations</t>
  </si>
  <si>
    <r>
      <t>g CO</t>
    </r>
    <r>
      <rPr>
        <vertAlign val="subscript"/>
        <sz val="10"/>
        <rFont val="Arial"/>
        <family val="2"/>
      </rPr>
      <t>2,eq</t>
    </r>
    <r>
      <rPr>
        <sz val="10"/>
        <rFont val="Arial"/>
      </rPr>
      <t xml:space="preserve"> / MJ</t>
    </r>
    <r>
      <rPr>
        <vertAlign val="subscript"/>
        <sz val="10"/>
        <rFont val="Arial"/>
        <family val="2"/>
      </rPr>
      <t>ethanol</t>
    </r>
  </si>
  <si>
    <t>Emissions per MJ ethanol</t>
  </si>
  <si>
    <t>per ha, year</t>
  </si>
  <si>
    <t>Calculations in this Excel sheet……</t>
  </si>
  <si>
    <t>The choice will change the value for the number shown here:</t>
  </si>
  <si>
    <t>Fuller's earth</t>
  </si>
  <si>
    <t>Cycle-hexane</t>
  </si>
  <si>
    <t>Lubricants</t>
  </si>
  <si>
    <t>to Bio-oil</t>
  </si>
  <si>
    <t>User specific calculations</t>
  </si>
  <si>
    <t>For the use of this sheet some specific calculation rules apply.  These rules are included in the zip file in which you downloaded this tool. The rules are also available at www.BioGrace.net</t>
  </si>
  <si>
    <r>
      <t>N</t>
    </r>
    <r>
      <rPr>
        <vertAlign val="subscript"/>
        <sz val="10"/>
        <rFont val="Arial"/>
        <family val="2"/>
      </rPr>
      <t>AG</t>
    </r>
    <r>
      <rPr>
        <sz val="10"/>
        <rFont val="Arial"/>
        <family val="2"/>
      </rPr>
      <t xml:space="preserve"> is assumed to be 0.007 : in (4) a value of 0.0067 for stalks can be calculated from their table 1 and in (5) a value of 0.0072 of N in sunflower shoots (Table 4.1) is given). N</t>
    </r>
    <r>
      <rPr>
        <vertAlign val="subscript"/>
        <sz val="10"/>
        <rFont val="Arial"/>
        <family val="2"/>
      </rPr>
      <t>BG</t>
    </r>
    <r>
      <rPr>
        <sz val="10"/>
        <rFont val="Arial"/>
        <family val="2"/>
      </rPr>
      <t xml:space="preserve"> is assumed to be the same as for maize. Above ground residue calculation is based on (3). For the value of slope in IPCC the mean of the values given in Table 1 of the publication is assigned. Ratio of belowground residues to above-ground biomass (RBG-BIO) assumed to be the same as for maize.</t>
    </r>
  </si>
  <si>
    <r>
      <t>N</t>
    </r>
    <r>
      <rPr>
        <vertAlign val="subscript"/>
        <sz val="10"/>
        <rFont val="Arial"/>
        <family val="2"/>
      </rPr>
      <t>AG</t>
    </r>
    <r>
      <rPr>
        <sz val="10"/>
        <rFont val="Arial"/>
        <family val="2"/>
      </rPr>
      <t xml:space="preserve"> and N</t>
    </r>
    <r>
      <rPr>
        <vertAlign val="subscript"/>
        <sz val="10"/>
        <rFont val="Arial"/>
        <family val="2"/>
      </rPr>
      <t>BG</t>
    </r>
    <r>
      <rPr>
        <sz val="10"/>
        <rFont val="Arial"/>
        <family val="2"/>
      </rPr>
      <t xml:space="preserve"> from (2). Above ground residue calculation is based on (3). For the value of </t>
    </r>
    <r>
      <rPr>
        <i/>
        <sz val="10"/>
        <rFont val="Arial"/>
        <family val="2"/>
      </rPr>
      <t>slope</t>
    </r>
    <r>
      <rPr>
        <sz val="10"/>
        <rFont val="Arial"/>
        <family val="2"/>
      </rPr>
      <t xml:space="preserve"> in IPCC the mean of the values given in Table 1 of the publication is assigned. Ratio of belowground residues to above-ground biomass (RBG-BIO) assumed to be the same as for beans and pulses.</t>
    </r>
  </si>
  <si>
    <t xml:space="preserve"> Text appears when the adequate crop is selected in the above section (cell C22).</t>
  </si>
  <si>
    <t>When this Excel tool is used to make actual calculations to show compliance with the RED/FQD sustainability criteria on GHG emission savings, the following requirements apply:</t>
  </si>
  <si>
    <r>
      <t>In this Excel tool, the results as calculated in g CO</t>
    </r>
    <r>
      <rPr>
        <vertAlign val="subscript"/>
        <sz val="10"/>
        <rFont val="Arial"/>
        <family val="2"/>
      </rPr>
      <t>2,eq</t>
    </r>
    <r>
      <rPr>
        <sz val="10"/>
        <rFont val="Arial"/>
      </rPr>
      <t xml:space="preserve"> / MJ</t>
    </r>
    <r>
      <rPr>
        <vertAlign val="subscript"/>
        <sz val="10"/>
        <rFont val="Arial"/>
        <family val="2"/>
      </rPr>
      <t xml:space="preserve">biofuel </t>
    </r>
    <r>
      <rPr>
        <sz val="10"/>
        <rFont val="Arial"/>
      </rPr>
      <t>for "cultivation", "transport" and "processing" are the same as the results in RED Annex V.D.</t>
    </r>
  </si>
  <si>
    <r>
      <t>The sum of these emissions (in g CO</t>
    </r>
    <r>
      <rPr>
        <vertAlign val="subscript"/>
        <sz val="10"/>
        <rFont val="Arial"/>
        <family val="2"/>
      </rPr>
      <t>2,eq</t>
    </r>
    <r>
      <rPr>
        <sz val="10"/>
        <rFont val="Arial"/>
      </rPr>
      <t xml:space="preserve"> / MJ</t>
    </r>
    <r>
      <rPr>
        <vertAlign val="subscript"/>
        <sz val="10"/>
        <rFont val="Arial"/>
        <family val="2"/>
      </rPr>
      <t>biofuel</t>
    </r>
    <r>
      <rPr>
        <sz val="10"/>
        <rFont val="Arial"/>
      </rPr>
      <t>) and the emission reduction percentage (%, as compared to the fossil fuel reference) might be slightly different as compared to the values in RED Annex V.D and V.A, respectively. This is caused by rounding. In the RED, the total emission in g CO</t>
    </r>
    <r>
      <rPr>
        <vertAlign val="subscript"/>
        <sz val="10"/>
        <rFont val="Arial"/>
        <family val="2"/>
      </rPr>
      <t>2,eq</t>
    </r>
    <r>
      <rPr>
        <sz val="10"/>
        <rFont val="Arial"/>
      </rPr>
      <t xml:space="preserve">/MJ is calculated as the sum of </t>
    </r>
    <r>
      <rPr>
        <u/>
        <sz val="10"/>
        <rFont val="Arial"/>
        <family val="2"/>
      </rPr>
      <t>the rounded</t>
    </r>
    <r>
      <rPr>
        <sz val="10"/>
        <rFont val="Arial"/>
        <family val="2"/>
      </rPr>
      <t xml:space="preserve"> values for cultivation, transport and processing, and the emission reduction percentage is based on this number. In this Excel tool this rounding is not made as the Excel tool might be used to calculate actual values. The RED and the Communications do not require to make roundings, only "the figures for the greenhouse gas savings are rounded to the nearest percentage point" (see footnote 14 in the Communication "practical implementation").</t>
    </r>
  </si>
  <si>
    <t>through land-use change or management practices</t>
  </si>
  <si>
    <t xml:space="preserve">Fraction of all N added to/mineralised that is lost through leaching and runoff, in kg N </t>
  </si>
  <si>
    <t>Not known</t>
  </si>
  <si>
    <t>Natural gas (4000 km, Russian NG quality)</t>
  </si>
  <si>
    <t>Natural gas (4000 km, EU Mix qualilty)</t>
  </si>
  <si>
    <t>Truck for liquids (Diesel)</t>
  </si>
  <si>
    <t>Calculated from value above, correction for weight of liquid container (2 ton) in comparison to loaded truck weight (26 ton)</t>
  </si>
  <si>
    <r>
      <t>kg</t>
    </r>
    <r>
      <rPr>
        <vertAlign val="subscript"/>
        <sz val="10"/>
        <rFont val="Arial"/>
        <family val="2"/>
      </rPr>
      <t>Wheat</t>
    </r>
    <r>
      <rPr>
        <sz val="10"/>
        <rFont val="Arial"/>
        <family val="2"/>
      </rPr>
      <t>/MJ</t>
    </r>
    <r>
      <rPr>
        <vertAlign val="subscript"/>
        <sz val="10"/>
        <rFont val="Arial"/>
        <family val="2"/>
      </rPr>
      <t>ethanol</t>
    </r>
  </si>
  <si>
    <t>Info</t>
  </si>
  <si>
    <t>per kg wheat</t>
  </si>
  <si>
    <t>x</t>
  </si>
  <si>
    <t>Standard values</t>
  </si>
  <si>
    <r>
      <t>e</t>
    </r>
    <r>
      <rPr>
        <b/>
        <vertAlign val="subscript"/>
        <sz val="10"/>
        <rFont val="Arial"/>
        <family val="2"/>
      </rPr>
      <t>ccr</t>
    </r>
  </si>
  <si>
    <r>
      <t>e</t>
    </r>
    <r>
      <rPr>
        <b/>
        <vertAlign val="subscript"/>
        <sz val="10"/>
        <rFont val="Arial"/>
        <family val="2"/>
      </rPr>
      <t>ccs</t>
    </r>
  </si>
  <si>
    <r>
      <t>CO</t>
    </r>
    <r>
      <rPr>
        <b/>
        <vertAlign val="subscript"/>
        <sz val="12"/>
        <color indexed="9"/>
        <rFont val="Arial"/>
        <family val="2"/>
      </rPr>
      <t>2</t>
    </r>
    <r>
      <rPr>
        <b/>
        <sz val="12"/>
        <color indexed="9"/>
        <rFont val="Arial"/>
        <family val="2"/>
      </rPr>
      <t xml:space="preserve"> capture and replacement</t>
    </r>
  </si>
  <si>
    <r>
      <t>CO</t>
    </r>
    <r>
      <rPr>
        <b/>
        <vertAlign val="subscript"/>
        <sz val="12"/>
        <color indexed="9"/>
        <rFont val="Arial"/>
        <family val="2"/>
      </rPr>
      <t>2</t>
    </r>
    <r>
      <rPr>
        <b/>
        <sz val="12"/>
        <color indexed="9"/>
        <rFont val="Arial"/>
        <family val="2"/>
      </rPr>
      <t xml:space="preserve"> capture and geological storage</t>
    </r>
  </si>
  <si>
    <r>
      <t>Cultivation e</t>
    </r>
    <r>
      <rPr>
        <b/>
        <vertAlign val="subscript"/>
        <sz val="12"/>
        <color indexed="9"/>
        <rFont val="Arial"/>
        <family val="2"/>
      </rPr>
      <t>ec</t>
    </r>
  </si>
  <si>
    <r>
      <t>ton km / MJ</t>
    </r>
    <r>
      <rPr>
        <vertAlign val="subscript"/>
        <sz val="10"/>
        <rFont val="Arial"/>
        <family val="2"/>
      </rPr>
      <t>Raw waste oil, input</t>
    </r>
  </si>
  <si>
    <r>
      <t xml:space="preserve"> In cases where the carbon stock accumulates over more than one year, the value attributed to CS</t>
    </r>
    <r>
      <rPr>
        <vertAlign val="subscript"/>
        <sz val="10"/>
        <rFont val="Arial"/>
        <family val="2"/>
      </rPr>
      <t>A</t>
    </r>
    <r>
      <rPr>
        <sz val="10"/>
        <rFont val="Arial"/>
      </rPr>
      <t xml:space="preserve"> shall be the estimated stock per unit area after 20 years</t>
    </r>
  </si>
  <si>
    <t>Above and below ground vegetation carbon stock [ton C / ha]</t>
  </si>
  <si>
    <t>Soil organic carbon [ton C / ha]</t>
  </si>
  <si>
    <r>
      <t>g CO</t>
    </r>
    <r>
      <rPr>
        <b/>
        <vertAlign val="subscript"/>
        <sz val="10"/>
        <color indexed="9"/>
        <rFont val="Arial"/>
        <family val="2"/>
      </rPr>
      <t>2,eq</t>
    </r>
    <r>
      <rPr>
        <b/>
        <sz val="10"/>
        <color indexed="9"/>
        <rFont val="Arial"/>
        <family val="2"/>
      </rPr>
      <t xml:space="preserve"> / MJ</t>
    </r>
    <r>
      <rPr>
        <b/>
        <vertAlign val="subscript"/>
        <sz val="10"/>
        <color indexed="9"/>
        <rFont val="Arial"/>
        <family val="2"/>
      </rPr>
      <t>CNG</t>
    </r>
  </si>
  <si>
    <r>
      <t>g CO</t>
    </r>
    <r>
      <rPr>
        <vertAlign val="subscript"/>
        <sz val="10"/>
        <rFont val="Arial"/>
        <family val="2"/>
      </rPr>
      <t>2,eq</t>
    </r>
    <r>
      <rPr>
        <sz val="10"/>
        <rFont val="Arial"/>
        <family val="2"/>
      </rPr>
      <t xml:space="preserve"> / MJ</t>
    </r>
    <r>
      <rPr>
        <vertAlign val="subscript"/>
        <sz val="10"/>
        <rFont val="Arial"/>
        <family val="2"/>
      </rPr>
      <t>CNG</t>
    </r>
  </si>
  <si>
    <r>
      <t>C</t>
    </r>
    <r>
      <rPr>
        <b/>
        <vertAlign val="subscript"/>
        <sz val="10"/>
        <rFont val="Arial"/>
        <family val="2"/>
      </rPr>
      <t>veg</t>
    </r>
    <r>
      <rPr>
        <b/>
        <sz val="10"/>
        <rFont val="Arial"/>
        <family val="2"/>
      </rPr>
      <t xml:space="preserve"> calculation, if carried out under point 5 of the Commission Decision : details of the calculation</t>
    </r>
  </si>
  <si>
    <t xml:space="preserve">Details about sources : </t>
  </si>
  <si>
    <t>WTT Appendix 1 (v3) paragraph 2.1 &amp; 3 (Z1)</t>
  </si>
  <si>
    <t>ton C/ha/year</t>
  </si>
  <si>
    <t>Ship /product tanker 50kt (Fuel oil)</t>
  </si>
  <si>
    <r>
      <t>g CO</t>
    </r>
    <r>
      <rPr>
        <b/>
        <vertAlign val="subscript"/>
        <sz val="10"/>
        <color indexed="9"/>
        <rFont val="Arial"/>
        <family val="2"/>
      </rPr>
      <t>2,eq</t>
    </r>
    <r>
      <rPr>
        <b/>
        <sz val="10"/>
        <color indexed="9"/>
        <rFont val="Arial"/>
        <family val="2"/>
      </rPr>
      <t xml:space="preserve"> / MJ</t>
    </r>
    <r>
      <rPr>
        <b/>
        <vertAlign val="subscript"/>
        <sz val="10"/>
        <color indexed="9"/>
        <rFont val="Arial"/>
        <family val="2"/>
      </rPr>
      <t>CNG</t>
    </r>
  </si>
  <si>
    <t>to CNG</t>
  </si>
  <si>
    <r>
      <t>g CO</t>
    </r>
    <r>
      <rPr>
        <b/>
        <i/>
        <vertAlign val="subscript"/>
        <sz val="10"/>
        <color indexed="9"/>
        <rFont val="Arial"/>
        <family val="2"/>
      </rPr>
      <t>2,eq</t>
    </r>
    <r>
      <rPr>
        <b/>
        <i/>
        <sz val="10"/>
        <color indexed="9"/>
        <rFont val="Arial"/>
        <family val="2"/>
      </rPr>
      <t xml:space="preserve"> / MJ</t>
    </r>
    <r>
      <rPr>
        <b/>
        <i/>
        <vertAlign val="subscript"/>
        <sz val="10"/>
        <color indexed="9"/>
        <rFont val="Arial"/>
        <family val="2"/>
      </rPr>
      <t>CNG</t>
    </r>
  </si>
  <si>
    <r>
      <t>MJ/MJ</t>
    </r>
    <r>
      <rPr>
        <vertAlign val="subscript"/>
        <sz val="10"/>
        <rFont val="Arial"/>
        <family val="2"/>
      </rPr>
      <t>dry manure, input</t>
    </r>
  </si>
  <si>
    <r>
      <t>MJ</t>
    </r>
    <r>
      <rPr>
        <vertAlign val="subscript"/>
        <sz val="10"/>
        <rFont val="Arial"/>
        <family val="2"/>
      </rPr>
      <t>biogas</t>
    </r>
    <r>
      <rPr>
        <sz val="10"/>
        <rFont val="Arial"/>
      </rPr>
      <t xml:space="preserve"> / MJ</t>
    </r>
    <r>
      <rPr>
        <vertAlign val="subscript"/>
        <sz val="10"/>
        <rFont val="Arial"/>
        <family val="2"/>
      </rPr>
      <t>dry manure</t>
    </r>
  </si>
  <si>
    <r>
      <t>MJ</t>
    </r>
    <r>
      <rPr>
        <vertAlign val="subscript"/>
        <sz val="10"/>
        <rFont val="Arial"/>
        <family val="2"/>
      </rPr>
      <t>CH4</t>
    </r>
    <r>
      <rPr>
        <sz val="10"/>
        <rFont val="Arial"/>
      </rPr>
      <t>/MJdry</t>
    </r>
    <r>
      <rPr>
        <vertAlign val="subscript"/>
        <sz val="10"/>
        <rFont val="Arial"/>
        <family val="2"/>
      </rPr>
      <t xml:space="preserve"> manure, input</t>
    </r>
  </si>
  <si>
    <r>
      <t>MJ</t>
    </r>
    <r>
      <rPr>
        <vertAlign val="subscript"/>
        <sz val="10"/>
        <rFont val="Arial"/>
        <family val="2"/>
      </rPr>
      <t>CH4</t>
    </r>
    <r>
      <rPr>
        <sz val="10"/>
        <rFont val="Arial"/>
      </rPr>
      <t>/MJ</t>
    </r>
    <r>
      <rPr>
        <vertAlign val="subscript"/>
        <sz val="10"/>
        <rFont val="Arial"/>
        <family val="2"/>
      </rPr>
      <t>dry manure, input</t>
    </r>
  </si>
  <si>
    <r>
      <t>MJ</t>
    </r>
    <r>
      <rPr>
        <vertAlign val="subscript"/>
        <sz val="10"/>
        <rFont val="Arial"/>
        <family val="2"/>
      </rPr>
      <t>CNG</t>
    </r>
    <r>
      <rPr>
        <sz val="10"/>
        <rFont val="Arial"/>
      </rPr>
      <t>/MJ</t>
    </r>
    <r>
      <rPr>
        <vertAlign val="subscript"/>
        <sz val="10"/>
        <rFont val="Arial"/>
        <family val="2"/>
      </rPr>
      <t>dry manure, input</t>
    </r>
  </si>
  <si>
    <t>Transport of dry manure</t>
  </si>
  <si>
    <t>Production of Ethanol from Sugarbeet (steam from NG boiler)</t>
  </si>
  <si>
    <t>results that are shown in the list of input data (see data source 1 below) and multiplying by a factor 1.4 for the processing steps. These values were added as to increase the transparency of the JEC calculations; only by showing numbers with two decimals it can be shown that the JEC calculations can be reproduced with high accuracy. Of course, this exercise can also be done with the typical values (so without the factor of 1.4).</t>
  </si>
  <si>
    <t>The guidelines published by the Commission (see above for the link) authorises the use of actual data for Soil Organic Carbon.</t>
  </si>
  <si>
    <r>
      <t>It is also possible to use its own data for other parameter like the carbon stock in vegetation (C</t>
    </r>
    <r>
      <rPr>
        <vertAlign val="subscript"/>
        <sz val="10"/>
        <rFont val="Arial"/>
        <family val="2"/>
      </rPr>
      <t>veg</t>
    </r>
    <r>
      <rPr>
        <sz val="10"/>
        <rFont val="Arial"/>
        <family val="2"/>
      </rPr>
      <t>)</t>
    </r>
  </si>
  <si>
    <t>In all Excel calculation sheets, a choice can be made between these two options, by clicking one of the options in the yellow-coloured box at the top right of the sheet.</t>
  </si>
  <si>
    <r>
      <t>kg/m</t>
    </r>
    <r>
      <rPr>
        <vertAlign val="superscript"/>
        <sz val="10"/>
        <color indexed="22"/>
        <rFont val="Verdana"/>
        <family val="2"/>
      </rPr>
      <t>3</t>
    </r>
  </si>
  <si>
    <t>Transport exhaust</t>
  </si>
  <si>
    <t>gas emissions</t>
  </si>
  <si>
    <r>
      <t>MJ</t>
    </r>
    <r>
      <rPr>
        <vertAlign val="subscript"/>
        <sz val="10"/>
        <rFont val="Arial"/>
        <family val="2"/>
      </rPr>
      <t>FFB</t>
    </r>
    <r>
      <rPr>
        <sz val="10"/>
        <rFont val="Arial"/>
        <family val="2"/>
      </rPr>
      <t xml:space="preserve"> ha</t>
    </r>
    <r>
      <rPr>
        <vertAlign val="superscript"/>
        <sz val="10"/>
        <rFont val="Arial"/>
        <family val="2"/>
      </rPr>
      <t>-1</t>
    </r>
    <r>
      <rPr>
        <sz val="10"/>
        <rFont val="Arial"/>
        <family val="2"/>
      </rPr>
      <t xml:space="preserve"> year</t>
    </r>
    <r>
      <rPr>
        <vertAlign val="superscript"/>
        <sz val="10"/>
        <rFont val="Arial"/>
        <family val="2"/>
      </rPr>
      <t>-1</t>
    </r>
  </si>
  <si>
    <r>
      <t>MJ / MJ</t>
    </r>
    <r>
      <rPr>
        <vertAlign val="subscript"/>
        <sz val="10"/>
        <rFont val="Arial"/>
        <family val="2"/>
      </rPr>
      <t>FFB, input</t>
    </r>
  </si>
  <si>
    <r>
      <t>kg</t>
    </r>
    <r>
      <rPr>
        <vertAlign val="subscript"/>
        <sz val="10"/>
        <rFont val="Arial"/>
        <family val="2"/>
      </rPr>
      <t>FFB</t>
    </r>
    <r>
      <rPr>
        <sz val="10"/>
        <rFont val="Arial"/>
        <family val="2"/>
      </rPr>
      <t>/MJ</t>
    </r>
    <r>
      <rPr>
        <vertAlign val="subscript"/>
        <sz val="10"/>
        <rFont val="Arial"/>
        <family val="2"/>
      </rPr>
      <t>FAME</t>
    </r>
  </si>
  <si>
    <t>Transport of FFB</t>
  </si>
  <si>
    <t>Kernel meal</t>
  </si>
  <si>
    <t>Transport of unrefined palm oil</t>
  </si>
  <si>
    <r>
      <t>MJ</t>
    </r>
    <r>
      <rPr>
        <vertAlign val="subscript"/>
        <sz val="10"/>
        <rFont val="Arial"/>
        <family val="2"/>
      </rPr>
      <t>FFB</t>
    </r>
    <r>
      <rPr>
        <sz val="10"/>
        <rFont val="Arial"/>
      </rPr>
      <t xml:space="preserve"> / MJ</t>
    </r>
    <r>
      <rPr>
        <vertAlign val="subscript"/>
        <sz val="10"/>
        <rFont val="Arial"/>
        <family val="2"/>
      </rPr>
      <t>FFB</t>
    </r>
  </si>
  <si>
    <t>Cultivation of FFBs</t>
  </si>
  <si>
    <r>
      <t>MJ / MJ</t>
    </r>
    <r>
      <rPr>
        <vertAlign val="subscript"/>
        <sz val="10"/>
        <rFont val="Arial"/>
        <family val="2"/>
      </rPr>
      <t>FFB</t>
    </r>
  </si>
  <si>
    <t>per kg FFB</t>
  </si>
  <si>
    <r>
      <t>MJ</t>
    </r>
    <r>
      <rPr>
        <vertAlign val="subscript"/>
        <sz val="10"/>
        <rFont val="Arial"/>
        <family val="2"/>
      </rPr>
      <t>Oil</t>
    </r>
    <r>
      <rPr>
        <sz val="10"/>
        <rFont val="Arial"/>
      </rPr>
      <t xml:space="preserve"> / MJ</t>
    </r>
    <r>
      <rPr>
        <vertAlign val="subscript"/>
        <sz val="10"/>
        <rFont val="Arial"/>
        <family val="2"/>
      </rPr>
      <t>FFB</t>
    </r>
  </si>
  <si>
    <r>
      <t>MJ</t>
    </r>
    <r>
      <rPr>
        <vertAlign val="subscript"/>
        <sz val="10"/>
        <rFont val="Arial"/>
        <family val="2"/>
      </rPr>
      <t>Kernel meal</t>
    </r>
    <r>
      <rPr>
        <sz val="10"/>
        <rFont val="Arial"/>
      </rPr>
      <t xml:space="preserve"> / MJ</t>
    </r>
    <r>
      <rPr>
        <vertAlign val="subscript"/>
        <sz val="10"/>
        <rFont val="Arial"/>
        <family val="2"/>
      </rPr>
      <t>FFB</t>
    </r>
  </si>
  <si>
    <t>Transport of Oil</t>
  </si>
  <si>
    <r>
      <t>g / MJ</t>
    </r>
    <r>
      <rPr>
        <vertAlign val="subscript"/>
        <sz val="10"/>
        <rFont val="Arial"/>
        <family val="2"/>
      </rPr>
      <t>Oil</t>
    </r>
  </si>
  <si>
    <t>to Palm oil</t>
  </si>
  <si>
    <t>to Kernel meal</t>
  </si>
  <si>
    <t>POME CH4 emissions</t>
  </si>
  <si>
    <t>Energy cons. depot (import terminal)</t>
  </si>
  <si>
    <t>Energy cons. depot (export terminal)</t>
  </si>
  <si>
    <t>Cultivation of sugarcane</t>
  </si>
  <si>
    <r>
      <t>MJ</t>
    </r>
    <r>
      <rPr>
        <vertAlign val="subscript"/>
        <sz val="10"/>
        <rFont val="Arial"/>
        <family val="2"/>
      </rPr>
      <t>Sugar cane</t>
    </r>
    <r>
      <rPr>
        <sz val="10"/>
        <rFont val="Arial"/>
      </rPr>
      <t xml:space="preserve"> ha</t>
    </r>
    <r>
      <rPr>
        <vertAlign val="superscript"/>
        <sz val="10"/>
        <rFont val="Arial"/>
        <family val="2"/>
      </rPr>
      <t>-1</t>
    </r>
    <r>
      <rPr>
        <sz val="10"/>
        <rFont val="Arial"/>
      </rPr>
      <t xml:space="preserve"> year</t>
    </r>
    <r>
      <rPr>
        <vertAlign val="superscript"/>
        <sz val="10"/>
        <rFont val="Arial"/>
        <family val="2"/>
      </rPr>
      <t>-1</t>
    </r>
  </si>
  <si>
    <r>
      <t>kg</t>
    </r>
    <r>
      <rPr>
        <vertAlign val="subscript"/>
        <sz val="10"/>
        <rFont val="Arial"/>
        <family val="2"/>
      </rPr>
      <t>Sugarcane</t>
    </r>
    <r>
      <rPr>
        <sz val="10"/>
        <rFont val="Arial"/>
        <family val="2"/>
      </rPr>
      <t>/MJ</t>
    </r>
    <r>
      <rPr>
        <vertAlign val="subscript"/>
        <sz val="10"/>
        <rFont val="Arial"/>
        <family val="2"/>
      </rPr>
      <t>ethanol</t>
    </r>
  </si>
  <si>
    <t>per kg sugarcane</t>
  </si>
  <si>
    <t>Transport of sugarcane</t>
  </si>
  <si>
    <r>
      <t>MJ</t>
    </r>
    <r>
      <rPr>
        <sz val="10"/>
        <rFont val="Arial"/>
      </rPr>
      <t xml:space="preserve"> / MJ</t>
    </r>
    <r>
      <rPr>
        <vertAlign val="subscript"/>
        <sz val="10"/>
        <rFont val="Arial"/>
        <family val="2"/>
      </rPr>
      <t>Sugar cane</t>
    </r>
  </si>
  <si>
    <r>
      <t>kg / MJ</t>
    </r>
    <r>
      <rPr>
        <vertAlign val="subscript"/>
        <sz val="10"/>
        <rFont val="Arial"/>
        <family val="2"/>
      </rPr>
      <t>Ethanol</t>
    </r>
  </si>
  <si>
    <r>
      <t>MJ</t>
    </r>
    <r>
      <rPr>
        <vertAlign val="subscript"/>
        <sz val="10"/>
        <rFont val="Arial"/>
        <family val="2"/>
      </rPr>
      <t>Ethanol</t>
    </r>
    <r>
      <rPr>
        <sz val="10"/>
        <rFont val="Arial"/>
      </rPr>
      <t xml:space="preserve"> / MJ</t>
    </r>
    <r>
      <rPr>
        <vertAlign val="subscript"/>
        <sz val="10"/>
        <rFont val="Arial"/>
        <family val="2"/>
      </rPr>
      <t>Sugarcane</t>
    </r>
  </si>
  <si>
    <r>
      <t>MJ / MJ</t>
    </r>
    <r>
      <rPr>
        <vertAlign val="subscript"/>
        <sz val="10"/>
        <rFont val="Arial"/>
        <family val="2"/>
      </rPr>
      <t>Sugarcane, input</t>
    </r>
  </si>
  <si>
    <t>none</t>
  </si>
  <si>
    <t>GWP</t>
  </si>
  <si>
    <r>
      <t>gCO</t>
    </r>
    <r>
      <rPr>
        <vertAlign val="subscript"/>
        <sz val="10"/>
        <color indexed="22"/>
        <rFont val="Verdana"/>
        <family val="2"/>
      </rPr>
      <t xml:space="preserve">2,eq </t>
    </r>
    <r>
      <rPr>
        <sz val="10"/>
        <color indexed="22"/>
        <rFont val="Verdana"/>
        <family val="2"/>
      </rPr>
      <t>/ g</t>
    </r>
  </si>
  <si>
    <t>Residues (feedstock or input)</t>
  </si>
  <si>
    <t>N-fertiliser (kg N)</t>
  </si>
  <si>
    <r>
      <t>P</t>
    </r>
    <r>
      <rPr>
        <vertAlign val="subscript"/>
        <sz val="10"/>
        <rFont val="Verdana"/>
        <family val="2"/>
      </rPr>
      <t>2</t>
    </r>
    <r>
      <rPr>
        <sz val="10"/>
        <rFont val="Verdana"/>
        <family val="2"/>
      </rPr>
      <t>O</t>
    </r>
    <r>
      <rPr>
        <vertAlign val="subscript"/>
        <sz val="10"/>
        <rFont val="Verdana"/>
        <family val="2"/>
      </rPr>
      <t>5</t>
    </r>
    <r>
      <rPr>
        <sz val="10"/>
        <rFont val="Verdana"/>
        <family val="2"/>
      </rPr>
      <t>-fertiliser (kg P</t>
    </r>
    <r>
      <rPr>
        <vertAlign val="subscript"/>
        <sz val="10"/>
        <rFont val="Verdana"/>
        <family val="2"/>
      </rPr>
      <t>2</t>
    </r>
    <r>
      <rPr>
        <sz val="10"/>
        <rFont val="Verdana"/>
        <family val="2"/>
      </rPr>
      <t>O</t>
    </r>
    <r>
      <rPr>
        <vertAlign val="subscript"/>
        <sz val="10"/>
        <rFont val="Verdana"/>
        <family val="2"/>
      </rPr>
      <t>5</t>
    </r>
    <r>
      <rPr>
        <sz val="10"/>
        <rFont val="Verdana"/>
        <family val="2"/>
      </rPr>
      <t>)</t>
    </r>
  </si>
  <si>
    <r>
      <t>K</t>
    </r>
    <r>
      <rPr>
        <vertAlign val="subscript"/>
        <sz val="10"/>
        <rFont val="Verdana"/>
        <family val="2"/>
      </rPr>
      <t>2</t>
    </r>
    <r>
      <rPr>
        <sz val="10"/>
        <rFont val="Verdana"/>
        <family val="2"/>
      </rPr>
      <t>O-fertiliser (kg K</t>
    </r>
    <r>
      <rPr>
        <vertAlign val="subscript"/>
        <sz val="10"/>
        <rFont val="Verdana"/>
        <family val="2"/>
      </rPr>
      <t>2</t>
    </r>
    <r>
      <rPr>
        <sz val="10"/>
        <rFont val="Verdana"/>
        <family val="2"/>
      </rPr>
      <t>O)</t>
    </r>
  </si>
  <si>
    <t>CaO-fertiliser (kg CaO)</t>
  </si>
  <si>
    <t>Fuels- liquids (also conversion inputs)</t>
  </si>
  <si>
    <r>
      <t>Phosphoric acid (H</t>
    </r>
    <r>
      <rPr>
        <vertAlign val="subscript"/>
        <sz val="10"/>
        <rFont val="Verdana"/>
        <family val="2"/>
      </rPr>
      <t>3</t>
    </r>
    <r>
      <rPr>
        <sz val="10"/>
        <rFont val="Verdana"/>
        <family val="2"/>
      </rPr>
      <t>PO</t>
    </r>
    <r>
      <rPr>
        <vertAlign val="subscript"/>
        <sz val="10"/>
        <rFont val="Verdana"/>
        <family val="2"/>
      </rPr>
      <t>4</t>
    </r>
    <r>
      <rPr>
        <sz val="10"/>
        <rFont val="Verdana"/>
        <family val="2"/>
      </rPr>
      <t>)</t>
    </r>
  </si>
  <si>
    <t>Hydrochloric acid (HCl)</t>
  </si>
  <si>
    <t>Sodium hydroxide (NaOH)</t>
  </si>
  <si>
    <t>Electricity (NG CCGT)</t>
  </si>
  <si>
    <r>
      <t>CH</t>
    </r>
    <r>
      <rPr>
        <vertAlign val="subscript"/>
        <sz val="10"/>
        <rFont val="Verdana"/>
        <family val="2"/>
      </rPr>
      <t>4</t>
    </r>
    <r>
      <rPr>
        <sz val="10"/>
        <rFont val="Verdana"/>
        <family val="2"/>
      </rPr>
      <t xml:space="preserve"> and N</t>
    </r>
    <r>
      <rPr>
        <vertAlign val="subscript"/>
        <sz val="10"/>
        <rFont val="Verdana"/>
        <family val="2"/>
      </rPr>
      <t>2</t>
    </r>
    <r>
      <rPr>
        <sz val="10"/>
        <rFont val="Verdana"/>
        <family val="2"/>
      </rPr>
      <t>O emissions from NG boiler</t>
    </r>
  </si>
  <si>
    <r>
      <t>Phosphoric acid (H</t>
    </r>
    <r>
      <rPr>
        <vertAlign val="subscript"/>
        <sz val="10"/>
        <rFont val="Arial"/>
        <family val="2"/>
      </rPr>
      <t>3</t>
    </r>
    <r>
      <rPr>
        <sz val="10"/>
        <rFont val="Arial"/>
        <family val="2"/>
      </rPr>
      <t>PO</t>
    </r>
    <r>
      <rPr>
        <vertAlign val="subscript"/>
        <sz val="10"/>
        <rFont val="Arial"/>
        <family val="2"/>
      </rPr>
      <t>4</t>
    </r>
    <r>
      <rPr>
        <sz val="10"/>
        <rFont val="Arial"/>
        <family val="2"/>
      </rPr>
      <t>)</t>
    </r>
  </si>
  <si>
    <r>
      <t>ton km / MJ</t>
    </r>
    <r>
      <rPr>
        <vertAlign val="subscript"/>
        <sz val="10"/>
        <rFont val="Arial"/>
        <family val="2"/>
      </rPr>
      <t>Wheat, input</t>
    </r>
  </si>
  <si>
    <r>
      <t>ton km / MJ</t>
    </r>
    <r>
      <rPr>
        <vertAlign val="subscript"/>
        <sz val="10"/>
        <rFont val="Arial"/>
        <family val="2"/>
      </rPr>
      <t>Sugarbeet, input</t>
    </r>
  </si>
  <si>
    <r>
      <t>ton km / MJ</t>
    </r>
    <r>
      <rPr>
        <vertAlign val="subscript"/>
        <sz val="10"/>
        <rFont val="Arial"/>
        <family val="2"/>
      </rPr>
      <t>Rapeseed, input</t>
    </r>
  </si>
  <si>
    <r>
      <t>ton km / MJ</t>
    </r>
    <r>
      <rPr>
        <vertAlign val="subscript"/>
        <sz val="10"/>
        <rFont val="Arial"/>
        <family val="2"/>
      </rPr>
      <t>FFB, input</t>
    </r>
  </si>
  <si>
    <r>
      <t>ton km / MJ</t>
    </r>
    <r>
      <rPr>
        <vertAlign val="subscript"/>
        <sz val="10"/>
        <rFont val="Arial"/>
        <family val="2"/>
      </rPr>
      <t>Sugarcane, input</t>
    </r>
  </si>
  <si>
    <t>http://re.jrc.ec.europa.eu/biof/xls/Biofuels%20pathways%20RED%20method%2014Nov2008.xls</t>
  </si>
  <si>
    <t>http://iet.jrc.ec.europa.eu/about-jec/</t>
  </si>
  <si>
    <r>
      <t>MJ</t>
    </r>
    <r>
      <rPr>
        <vertAlign val="subscript"/>
        <sz val="10"/>
        <rFont val="Arial"/>
        <family val="2"/>
      </rPr>
      <t>biogas</t>
    </r>
    <r>
      <rPr>
        <sz val="10"/>
        <rFont val="Arial"/>
      </rPr>
      <t xml:space="preserve"> / MJ</t>
    </r>
    <r>
      <rPr>
        <vertAlign val="subscript"/>
        <sz val="10"/>
        <rFont val="Arial"/>
        <family val="2"/>
      </rPr>
      <t>wet manure</t>
    </r>
  </si>
  <si>
    <t>No emissions calculated as this electricity is taken from the CHP</t>
  </si>
  <si>
    <t>Heat (from biogas CHP)</t>
  </si>
  <si>
    <t>Biogas CHP</t>
  </si>
  <si>
    <t>Biogas input per MJ heat</t>
  </si>
  <si>
    <r>
      <t>MJ / MJ</t>
    </r>
    <r>
      <rPr>
        <vertAlign val="subscript"/>
        <sz val="10"/>
        <rFont val="Arial"/>
        <family val="2"/>
      </rPr>
      <t>Biogas</t>
    </r>
  </si>
  <si>
    <t>Transport of wet manure</t>
  </si>
  <si>
    <t>CH4</t>
  </si>
  <si>
    <r>
      <t>MJ</t>
    </r>
    <r>
      <rPr>
        <vertAlign val="subscript"/>
        <sz val="10"/>
        <rFont val="Arial"/>
        <family val="2"/>
      </rPr>
      <t>CH4</t>
    </r>
    <r>
      <rPr>
        <sz val="10"/>
        <rFont val="Arial"/>
      </rPr>
      <t xml:space="preserve"> / MJ</t>
    </r>
    <r>
      <rPr>
        <vertAlign val="subscript"/>
        <sz val="10"/>
        <rFont val="Arial"/>
        <family val="2"/>
      </rPr>
      <t>Biogas</t>
    </r>
  </si>
  <si>
    <r>
      <t>MJ / MJ</t>
    </r>
    <r>
      <rPr>
        <vertAlign val="subscript"/>
        <sz val="10"/>
        <rFont val="Arial"/>
        <family val="2"/>
      </rPr>
      <t>CH4</t>
    </r>
  </si>
  <si>
    <r>
      <t>MJ</t>
    </r>
    <r>
      <rPr>
        <vertAlign val="subscript"/>
        <sz val="10"/>
        <rFont val="Arial"/>
        <family val="2"/>
      </rPr>
      <t>wet manure</t>
    </r>
    <r>
      <rPr>
        <sz val="10"/>
        <rFont val="Arial"/>
      </rPr>
      <t xml:space="preserve"> / MJ</t>
    </r>
    <r>
      <rPr>
        <vertAlign val="subscript"/>
        <sz val="10"/>
        <rFont val="Arial"/>
        <family val="2"/>
      </rPr>
      <t>wet manure</t>
    </r>
  </si>
  <si>
    <r>
      <t xml:space="preserve"> 2. </t>
    </r>
    <r>
      <rPr>
        <b/>
        <sz val="10"/>
        <rFont val="Arial"/>
        <family val="2"/>
      </rPr>
      <t>List of standard values</t>
    </r>
    <r>
      <rPr>
        <sz val="10"/>
        <rFont val="Arial"/>
      </rPr>
      <t xml:space="preserve"> as provided by the JEC consortium</t>
    </r>
  </si>
  <si>
    <r>
      <t>Examples are Lower Heating Values and values to convert 1 kg N-fertiliser or 1 MJ of natural gas into CO</t>
    </r>
    <r>
      <rPr>
        <vertAlign val="subscript"/>
        <sz val="10"/>
        <rFont val="Arial"/>
        <family val="2"/>
      </rPr>
      <t>2</t>
    </r>
    <r>
      <rPr>
        <sz val="10"/>
        <rFont val="Arial"/>
      </rPr>
      <t>, CH</t>
    </r>
    <r>
      <rPr>
        <vertAlign val="subscript"/>
        <sz val="10"/>
        <rFont val="Arial"/>
        <family val="2"/>
      </rPr>
      <t>4</t>
    </r>
    <r>
      <rPr>
        <sz val="10"/>
        <rFont val="Arial"/>
      </rPr>
      <t xml:space="preserve"> and N</t>
    </r>
    <r>
      <rPr>
        <vertAlign val="subscript"/>
        <sz val="10"/>
        <rFont val="Arial"/>
        <family val="2"/>
      </rPr>
      <t>2</t>
    </r>
    <r>
      <rPr>
        <sz val="10"/>
        <rFont val="Arial"/>
      </rPr>
      <t>O emissions.</t>
    </r>
  </si>
  <si>
    <t>Hydrotreated Vegetable Oil</t>
  </si>
  <si>
    <t>Example: put the name "N-fertiliser (type XYZ)" in row C of the sheet "user defined standard values", and put values in column D, E and F. Then you can replace the parameter name "N-fertiliser" with "N-fertiliser (type XYZ)" in the sheets showing the calculations.</t>
  </si>
  <si>
    <t>For more explaination, please read the Commission Decision of the 10 june 2010, point 5.</t>
  </si>
  <si>
    <t>data given in purple are suggestion from the Commission Decision</t>
  </si>
  <si>
    <r>
      <t>CF</t>
    </r>
    <r>
      <rPr>
        <vertAlign val="subscript"/>
        <sz val="10"/>
        <rFont val="Arial"/>
        <family val="2"/>
      </rPr>
      <t>B</t>
    </r>
    <r>
      <rPr>
        <sz val="10"/>
        <rFont val="Arial"/>
        <family val="2"/>
      </rPr>
      <t xml:space="preserve"> (or R)</t>
    </r>
  </si>
  <si>
    <r>
      <t>B</t>
    </r>
    <r>
      <rPr>
        <vertAlign val="subscript"/>
        <sz val="10"/>
        <rFont val="Arial"/>
        <family val="2"/>
      </rPr>
      <t>BGB</t>
    </r>
    <r>
      <rPr>
        <sz val="10"/>
        <rFont val="Arial"/>
        <family val="2"/>
      </rPr>
      <t xml:space="preserve"> (or C</t>
    </r>
    <r>
      <rPr>
        <vertAlign val="subscript"/>
        <sz val="10"/>
        <rFont val="Arial"/>
        <family val="2"/>
      </rPr>
      <t>AGB</t>
    </r>
    <r>
      <rPr>
        <sz val="10"/>
        <rFont val="Arial"/>
        <family val="2"/>
      </rPr>
      <t>)</t>
    </r>
  </si>
  <si>
    <t>Option 2. Use of actual Soil Organic Carbon data</t>
  </si>
  <si>
    <t xml:space="preserve">When does the land use change occurs ? </t>
  </si>
  <si>
    <t>Give the year of LUC. LUC should be taken into account 20 years after the land use change occurs.</t>
  </si>
  <si>
    <t xml:space="preserve">When does improved practices started? </t>
  </si>
  <si>
    <t>Give the year of start of implementation of improved agricultural practices.</t>
  </si>
  <si>
    <r>
      <t>e</t>
    </r>
    <r>
      <rPr>
        <b/>
        <vertAlign val="subscript"/>
        <sz val="10"/>
        <rFont val="Arial"/>
        <family val="2"/>
      </rPr>
      <t>sca</t>
    </r>
    <r>
      <rPr>
        <b/>
        <sz val="10"/>
        <rFont val="Arial"/>
        <family val="2"/>
      </rPr>
      <t xml:space="preserve"> value that will be used in calculations : </t>
    </r>
  </si>
  <si>
    <t xml:space="preserve">Value to report in your pathway : </t>
  </si>
  <si>
    <r>
      <t>N</t>
    </r>
    <r>
      <rPr>
        <b/>
        <u/>
        <vertAlign val="subscript"/>
        <sz val="10"/>
        <rFont val="Arial"/>
        <family val="2"/>
      </rPr>
      <t>2</t>
    </r>
    <r>
      <rPr>
        <b/>
        <u/>
        <sz val="10"/>
        <rFont val="Arial"/>
        <family val="2"/>
      </rPr>
      <t>O emissions from N inputs:</t>
    </r>
  </si>
  <si>
    <t>source : from IPCC 2006</t>
  </si>
  <si>
    <t>average</t>
  </si>
  <si>
    <r>
      <t>Other direct N</t>
    </r>
    <r>
      <rPr>
        <b/>
        <u/>
        <vertAlign val="subscript"/>
        <sz val="10"/>
        <rFont val="Arial"/>
        <family val="2"/>
      </rPr>
      <t>2</t>
    </r>
    <r>
      <rPr>
        <b/>
        <u/>
        <sz val="10"/>
        <rFont val="Arial"/>
        <family val="2"/>
      </rPr>
      <t>O emissions (trash burning)</t>
    </r>
  </si>
  <si>
    <r>
      <t>TOTAL direct N</t>
    </r>
    <r>
      <rPr>
        <b/>
        <u/>
        <vertAlign val="subscript"/>
        <sz val="10"/>
        <rFont val="Arial"/>
        <family val="2"/>
      </rPr>
      <t>2</t>
    </r>
    <r>
      <rPr>
        <b/>
        <u/>
        <sz val="10"/>
        <rFont val="Arial"/>
        <family val="2"/>
      </rPr>
      <t>O emissions</t>
    </r>
  </si>
  <si>
    <t xml:space="preserve">min </t>
  </si>
  <si>
    <t>%</t>
  </si>
  <si>
    <r>
      <t>(AG</t>
    </r>
    <r>
      <rPr>
        <b/>
        <vertAlign val="subscript"/>
        <sz val="10"/>
        <rFont val="Arial"/>
        <family val="2"/>
      </rPr>
      <t>DM(T)</t>
    </r>
    <r>
      <rPr>
        <b/>
        <sz val="10"/>
        <rFont val="Arial"/>
        <family val="2"/>
      </rPr>
      <t>*1000+Crop(T))/Crop(T)</t>
    </r>
  </si>
  <si>
    <t>General information</t>
  </si>
  <si>
    <t xml:space="preserve">Abbreviation glossary : </t>
  </si>
  <si>
    <t>fm</t>
  </si>
  <si>
    <t>dm</t>
  </si>
  <si>
    <t>t</t>
  </si>
  <si>
    <t>N2O_N</t>
  </si>
  <si>
    <r>
      <t>Calculation of N</t>
    </r>
    <r>
      <rPr>
        <b/>
        <vertAlign val="subscript"/>
        <sz val="14"/>
        <color indexed="9"/>
        <rFont val="Arial"/>
        <family val="2"/>
      </rPr>
      <t>2</t>
    </r>
    <r>
      <rPr>
        <b/>
        <sz val="14"/>
        <color indexed="9"/>
        <rFont val="Arial"/>
        <family val="2"/>
      </rPr>
      <t>O emissions using the IPCC methodology</t>
    </r>
  </si>
  <si>
    <r>
      <t>This sheet calculates the emissions of N</t>
    </r>
    <r>
      <rPr>
        <vertAlign val="subscript"/>
        <sz val="10"/>
        <rFont val="Arial"/>
        <family val="2"/>
      </rPr>
      <t>2</t>
    </r>
    <r>
      <rPr>
        <sz val="10"/>
        <rFont val="Arial"/>
      </rPr>
      <t>O from the cultivation of the crop</t>
    </r>
  </si>
  <si>
    <r>
      <t>N mass in N</t>
    </r>
    <r>
      <rPr>
        <vertAlign val="subscript"/>
        <sz val="10"/>
        <rFont val="Arial"/>
        <family val="2"/>
      </rPr>
      <t>2</t>
    </r>
    <r>
      <rPr>
        <sz val="10"/>
        <rFont val="Arial"/>
        <family val="2"/>
      </rPr>
      <t>O</t>
    </r>
  </si>
  <si>
    <r>
      <t>TOTAL N</t>
    </r>
    <r>
      <rPr>
        <b/>
        <vertAlign val="subscript"/>
        <sz val="14"/>
        <color indexed="9"/>
        <rFont val="Arial"/>
        <family val="2"/>
      </rPr>
      <t>2</t>
    </r>
    <r>
      <rPr>
        <b/>
        <sz val="14"/>
        <color indexed="9"/>
        <rFont val="Arial"/>
        <family val="2"/>
      </rPr>
      <t>O EMISSIONS (Direct + Indirect N</t>
    </r>
    <r>
      <rPr>
        <b/>
        <vertAlign val="subscript"/>
        <sz val="14"/>
        <color indexed="9"/>
        <rFont val="Arial"/>
        <family val="2"/>
      </rPr>
      <t>2</t>
    </r>
    <r>
      <rPr>
        <b/>
        <sz val="14"/>
        <color indexed="9"/>
        <rFont val="Arial"/>
        <family val="2"/>
      </rPr>
      <t>O) from managed soils (Tier1)</t>
    </r>
  </si>
  <si>
    <t>This sheet is emtpy and intended for user specific calculations that cannot be made in the other sheets within this BioGrace Excel tool.</t>
  </si>
  <si>
    <t>Wheat straw CHP</t>
  </si>
  <si>
    <t>The soil organic carbon per unit area associated with the actual agricultural management practices (measured as mass of carbon per unit area, including both soil and vegetation) [ton C / ha]</t>
  </si>
  <si>
    <t>Land use factor reflecting the difference in soil organic carbon associated with the type of land use compared to the standard organic carbon [-]</t>
  </si>
  <si>
    <t>Option 1. Default calculation (no actual and accurate data are available)</t>
  </si>
  <si>
    <t xml:space="preserve">To avoid double counting, please use this calculation sheet only if no Land Use Changes (LUC) are occurring. Otherwise, prefer using the LUC Excel sheet. </t>
  </si>
  <si>
    <t>Yield (in MJ biofuel / MJ input)</t>
  </si>
  <si>
    <t>Yield (in MJ biofuel / hectare cropland / year)</t>
  </si>
  <si>
    <t>no cropland</t>
  </si>
  <si>
    <r>
      <t>MJ / MJ</t>
    </r>
    <r>
      <rPr>
        <vertAlign val="subscript"/>
        <sz val="10"/>
        <rFont val="Arial"/>
        <family val="2"/>
      </rPr>
      <t>Raw waste oil, input</t>
    </r>
  </si>
  <si>
    <t>Raw waste vegetable / animal oil</t>
  </si>
  <si>
    <t>Waste vegetable / animal oil</t>
  </si>
  <si>
    <t>Version 4 - Public</t>
  </si>
  <si>
    <t>Ethanol from corn (community produced) (natural gas CHP)</t>
  </si>
  <si>
    <t>FAME from palm oil (process not specified)</t>
  </si>
  <si>
    <t>FAME from palm oil (methane capture at oil mill)</t>
  </si>
  <si>
    <t>HVO from palm oil (process not specified)</t>
  </si>
  <si>
    <t>HVO from palm oil (methane capture at oil mill)</t>
  </si>
  <si>
    <t xml:space="preserve"> 2. Actual calculations must be made using the option "track changes" turned on (made possible by the orange-coloured button on each sheet presenting a biofuel production pathway).
     This will allow an auditor that will check the calculations to easily find the actual input numbers that were used for the calculation. 
     An auditor is allowed to refuse to check the calculation when it was made without the "track changes" option turned on.</t>
  </si>
  <si>
    <t>Example 3 (N-fertiliser from standard values)</t>
  </si>
  <si>
    <t>Energy content (per MJ sugarcane)</t>
  </si>
  <si>
    <r>
      <t>MJ</t>
    </r>
    <r>
      <rPr>
        <vertAlign val="subscript"/>
        <sz val="10"/>
        <rFont val="Arial"/>
        <family val="2"/>
      </rPr>
      <t>Ethanol</t>
    </r>
    <r>
      <rPr>
        <sz val="10"/>
        <rFont val="Arial"/>
      </rPr>
      <t xml:space="preserve"> / MJ</t>
    </r>
    <r>
      <rPr>
        <vertAlign val="subscript"/>
        <sz val="10"/>
        <rFont val="Arial"/>
        <family val="2"/>
      </rPr>
      <t>Sugarcane, input</t>
    </r>
  </si>
  <si>
    <r>
      <t>MJ</t>
    </r>
    <r>
      <rPr>
        <vertAlign val="subscript"/>
        <sz val="10"/>
        <rFont val="Arial"/>
        <family val="2"/>
      </rPr>
      <t>Sugarcane</t>
    </r>
    <r>
      <rPr>
        <sz val="10"/>
        <rFont val="Arial"/>
      </rPr>
      <t xml:space="preserve"> / MJ</t>
    </r>
    <r>
      <rPr>
        <vertAlign val="subscript"/>
        <sz val="10"/>
        <rFont val="Arial"/>
        <family val="2"/>
      </rPr>
      <t>Sugarcane</t>
    </r>
  </si>
  <si>
    <t xml:space="preserve"> (refined)</t>
  </si>
  <si>
    <t>to Refined glycerol</t>
  </si>
  <si>
    <t>Refined</t>
  </si>
  <si>
    <r>
      <t>Potassium sulphate (K</t>
    </r>
    <r>
      <rPr>
        <vertAlign val="subscript"/>
        <sz val="10"/>
        <rFont val="Arial"/>
        <family val="2"/>
      </rPr>
      <t>2</t>
    </r>
    <r>
      <rPr>
        <sz val="10"/>
        <rFont val="Arial"/>
        <family val="2"/>
      </rPr>
      <t>SO</t>
    </r>
    <r>
      <rPr>
        <vertAlign val="subscript"/>
        <sz val="10"/>
        <rFont val="Arial"/>
        <family val="2"/>
      </rPr>
      <t>4</t>
    </r>
    <r>
      <rPr>
        <sz val="10"/>
        <rFont val="Arial"/>
        <family val="2"/>
      </rPr>
      <t>)</t>
    </r>
  </si>
  <si>
    <t>Bio-oil</t>
  </si>
  <si>
    <r>
      <t>g CO</t>
    </r>
    <r>
      <rPr>
        <vertAlign val="subscript"/>
        <sz val="10"/>
        <rFont val="Arial"/>
        <family val="2"/>
      </rPr>
      <t>2,eq</t>
    </r>
    <r>
      <rPr>
        <sz val="10"/>
        <rFont val="Arial"/>
      </rPr>
      <t xml:space="preserve"> / MJ</t>
    </r>
    <r>
      <rPr>
        <vertAlign val="subscript"/>
        <sz val="10"/>
        <rFont val="Arial"/>
        <family val="2"/>
      </rPr>
      <t>FAME</t>
    </r>
  </si>
  <si>
    <t>Management factor reflecting the difference in soil organic carbon associated with the principle management practice compared to the standard soil organic carbon [-]</t>
  </si>
  <si>
    <r>
      <t xml:space="preserve">Calculation :   </t>
    </r>
    <r>
      <rPr>
        <sz val="10"/>
        <rFont val="Arial"/>
        <family val="2"/>
      </rPr>
      <t>Please choose your calculation type bellow, and then fill the adequate part of the questionnaire</t>
    </r>
  </si>
  <si>
    <t>(5) Del Pino Machado, A.S. (2005): Estimating nitrogen mineralization potential of soils and the effect of water and temperature and crop residues on nitrogen net mineralization. Dissertation published by Cuvillier Verlag, Goettingen. In Chapter 4 \\\"Crop residue composition and mineralization patterns in agricultural soils of Uruguay\\\</t>
  </si>
  <si>
    <t>(CTC/Copersucar), Piracicaba: Assessment of greenhouse gas emissions in the production and use of fuel ethanol in Brazil; Government of the State of Sao</t>
  </si>
  <si>
    <t>(8) Brazilian Sugar Cane Industry Association (UNICA): GHG emissions analysis for Brazilian sugar cane ethanol into the European Union; 2010</t>
  </si>
  <si>
    <r>
      <t xml:space="preserve">- In the case of </t>
    </r>
    <r>
      <rPr>
        <b/>
        <sz val="10"/>
        <rFont val="Arial"/>
        <family val="2"/>
      </rPr>
      <t>palm trees</t>
    </r>
    <r>
      <rPr>
        <sz val="10"/>
        <rFont val="Arial"/>
        <family val="2"/>
      </rPr>
      <t>, the term F</t>
    </r>
    <r>
      <rPr>
        <vertAlign val="subscript"/>
        <sz val="10"/>
        <rFont val="Arial"/>
        <family val="2"/>
      </rPr>
      <t>CR</t>
    </r>
    <r>
      <rPr>
        <sz val="10"/>
        <rFont val="Arial"/>
        <family val="2"/>
      </rPr>
      <t xml:space="preserve"> of N from crop residues returned to the field annually is calculated -based on the assumptions in (6)- considering the annual amounts of crop residues (EFB and pruned fronds) averaged over the life time of the plantation that are returned to the field and the N content of these residues. These values are allowed to be changed by the user and are asked for in cells C39 to C40. Default values are provided. Equations 11.6 and 11.7 are not used.</t>
    </r>
  </si>
  <si>
    <t>Put "yes" when the crop is irrigated OR when rainfall in rainy season (1) minus potential evaporation is higher than soil water holding capacity. If not known, the average nitrate leakage will be applied.</t>
  </si>
  <si>
    <r>
      <t>Fraction of applied organic N fertiliser materials (FON) and of urine,etc, that volatilises as NH</t>
    </r>
    <r>
      <rPr>
        <vertAlign val="subscript"/>
        <sz val="10"/>
        <rFont val="Arial"/>
        <family val="2"/>
      </rPr>
      <t>3</t>
    </r>
    <r>
      <rPr>
        <sz val="10"/>
        <rFont val="Arial"/>
        <family val="2"/>
      </rPr>
      <t xml:space="preserve"> and NO</t>
    </r>
    <r>
      <rPr>
        <vertAlign val="subscript"/>
        <sz val="10"/>
        <rFont val="Arial"/>
        <family val="2"/>
      </rPr>
      <t>x</t>
    </r>
    <r>
      <rPr>
        <sz val="10"/>
        <rFont val="Arial"/>
        <family val="2"/>
      </rPr>
      <t xml:space="preserve">, in kg N volatilised </t>
    </r>
  </si>
  <si>
    <r>
      <t>Fraction of synthetic fertiliser N that volatilises as NH</t>
    </r>
    <r>
      <rPr>
        <vertAlign val="subscript"/>
        <sz val="10"/>
        <rFont val="Arial"/>
        <family val="2"/>
      </rPr>
      <t>3</t>
    </r>
    <r>
      <rPr>
        <sz val="10"/>
        <rFont val="Arial"/>
        <family val="2"/>
      </rPr>
      <t xml:space="preserve"> and NO</t>
    </r>
    <r>
      <rPr>
        <vertAlign val="subscript"/>
        <sz val="10"/>
        <rFont val="Arial"/>
        <family val="2"/>
      </rPr>
      <t>x</t>
    </r>
    <r>
      <rPr>
        <sz val="10"/>
        <rFont val="Arial"/>
        <family val="2"/>
      </rPr>
      <t xml:space="preserve">, kg N volatilised (kg of N applied)-1 </t>
    </r>
  </si>
  <si>
    <r>
      <t>We used an earlier version of this file (dated July 31, 2008), because one addition that is included in the file on the JRC website was not included in calculating the RED and FQD default values. The difference between the two versions is the steam input in refining of oil to FAME; in the 31 July version this number is 0,0687 MJ/MJ</t>
    </r>
    <r>
      <rPr>
        <vertAlign val="subscript"/>
        <sz val="10"/>
        <rFont val="Arial"/>
        <family val="2"/>
      </rPr>
      <t>FAME</t>
    </r>
    <r>
      <rPr>
        <sz val="10"/>
        <rFont val="Arial"/>
      </rPr>
      <t xml:space="preserve"> whereas in the 14 Nov version this is 0,0397 MJ/MJ</t>
    </r>
    <r>
      <rPr>
        <vertAlign val="subscript"/>
        <sz val="10"/>
        <rFont val="Arial"/>
        <family val="2"/>
      </rPr>
      <t>FAME</t>
    </r>
    <r>
      <rPr>
        <sz val="10"/>
        <rFont val="Arial"/>
      </rPr>
      <t xml:space="preserve">.    </t>
    </r>
  </si>
  <si>
    <r>
      <t>MJ</t>
    </r>
    <r>
      <rPr>
        <vertAlign val="subscript"/>
        <sz val="10"/>
        <rFont val="Arial"/>
        <family val="2"/>
      </rPr>
      <t>CH4</t>
    </r>
    <r>
      <rPr>
        <sz val="10"/>
        <rFont val="Arial"/>
      </rPr>
      <t xml:space="preserve"> / MJ</t>
    </r>
    <r>
      <rPr>
        <vertAlign val="subscript"/>
        <sz val="10"/>
        <rFont val="Arial"/>
        <family val="2"/>
      </rPr>
      <t>CH4</t>
    </r>
  </si>
  <si>
    <t>to filling station via pipeline</t>
  </si>
  <si>
    <t>CNG filling station</t>
  </si>
  <si>
    <r>
      <t>MJ</t>
    </r>
    <r>
      <rPr>
        <vertAlign val="subscript"/>
        <sz val="10"/>
        <rFont val="Arial"/>
        <family val="2"/>
      </rPr>
      <t>CNG</t>
    </r>
    <r>
      <rPr>
        <sz val="10"/>
        <rFont val="Arial"/>
      </rPr>
      <t xml:space="preserve"> / MJ</t>
    </r>
    <r>
      <rPr>
        <vertAlign val="subscript"/>
        <sz val="10"/>
        <rFont val="Arial"/>
        <family val="2"/>
      </rPr>
      <t>CH4</t>
    </r>
  </si>
  <si>
    <r>
      <t>CH</t>
    </r>
    <r>
      <rPr>
        <b/>
        <vertAlign val="subscript"/>
        <sz val="12"/>
        <color indexed="9"/>
        <rFont val="Arial"/>
        <family val="2"/>
      </rPr>
      <t>4</t>
    </r>
    <r>
      <rPr>
        <b/>
        <sz val="12"/>
        <color indexed="9"/>
        <rFont val="Arial"/>
        <family val="2"/>
      </rPr>
      <t xml:space="preserve"> extraction </t>
    </r>
  </si>
  <si>
    <r>
      <t>Transport of CH</t>
    </r>
    <r>
      <rPr>
        <b/>
        <vertAlign val="subscript"/>
        <sz val="12"/>
        <color indexed="9"/>
        <rFont val="Arial"/>
        <family val="2"/>
      </rPr>
      <t>4</t>
    </r>
    <r>
      <rPr>
        <b/>
        <sz val="12"/>
        <color indexed="9"/>
        <rFont val="Arial"/>
        <family val="2"/>
      </rPr>
      <t xml:space="preserve"> </t>
    </r>
  </si>
  <si>
    <t xml:space="preserve">Handling &amp; storage </t>
  </si>
  <si>
    <t>of wheat</t>
  </si>
  <si>
    <t>Transport sunflowerseed</t>
  </si>
  <si>
    <t>Hydrogenation of veg. oil</t>
  </si>
  <si>
    <t>Extraction rapeseed oil</t>
  </si>
  <si>
    <t>Collection organic waste</t>
  </si>
  <si>
    <t>CHP fuel - specify</t>
  </si>
  <si>
    <t>Electricity - specify</t>
  </si>
  <si>
    <r>
      <t>MJ</t>
    </r>
    <r>
      <rPr>
        <vertAlign val="subscript"/>
        <sz val="10"/>
        <rFont val="Arial"/>
        <family val="2"/>
      </rPr>
      <t>HVO</t>
    </r>
    <r>
      <rPr>
        <sz val="10"/>
        <rFont val="Arial"/>
      </rPr>
      <t xml:space="preserve"> / MJ</t>
    </r>
    <r>
      <rPr>
        <vertAlign val="subscript"/>
        <sz val="10"/>
        <rFont val="Arial"/>
        <family val="2"/>
      </rPr>
      <t>Oil</t>
    </r>
  </si>
  <si>
    <t>Net production or consump- tion in ethanol plant</t>
  </si>
  <si>
    <t>CHP net output / MJ steam</t>
  </si>
  <si>
    <t xml:space="preserve"> - the area concerned is 1 hectare. As a result, the factor A (ha / area concerned) equals 1.</t>
  </si>
  <si>
    <t xml:space="preserve"> - the soils in question are mineral soils. For organic soils, appropriate methods shall be used (see paragraph 4.2 of the Commission Decision).</t>
  </si>
  <si>
    <r>
      <t>CH</t>
    </r>
    <r>
      <rPr>
        <b/>
        <vertAlign val="subscript"/>
        <sz val="10"/>
        <rFont val="Arial"/>
        <family val="2"/>
      </rPr>
      <t>4</t>
    </r>
    <r>
      <rPr>
        <b/>
        <sz val="10"/>
        <rFont val="Arial"/>
        <family val="2"/>
      </rPr>
      <t xml:space="preserve"> from trash burning</t>
    </r>
  </si>
  <si>
    <t>Not applicable</t>
  </si>
  <si>
    <r>
      <t>CS</t>
    </r>
    <r>
      <rPr>
        <vertAlign val="subscript"/>
        <sz val="10"/>
        <rFont val="Arial"/>
        <family val="2"/>
      </rPr>
      <t>A</t>
    </r>
    <r>
      <rPr>
        <sz val="10"/>
        <rFont val="Arial"/>
      </rPr>
      <t xml:space="preserve"> and CS</t>
    </r>
    <r>
      <rPr>
        <vertAlign val="subscript"/>
        <sz val="10"/>
        <rFont val="Arial"/>
        <family val="2"/>
      </rPr>
      <t>R</t>
    </r>
    <r>
      <rPr>
        <sz val="10"/>
        <rFont val="Arial"/>
      </rPr>
      <t xml:space="preserve"> are calculated with the following equation: </t>
    </r>
  </si>
  <si>
    <r>
      <t>CS</t>
    </r>
    <r>
      <rPr>
        <vertAlign val="subscript"/>
        <sz val="10"/>
        <rFont val="Arial"/>
        <family val="2"/>
      </rPr>
      <t>i</t>
    </r>
    <r>
      <rPr>
        <sz val="10"/>
        <rFont val="Arial"/>
      </rPr>
      <t xml:space="preserve"> = C</t>
    </r>
    <r>
      <rPr>
        <vertAlign val="subscript"/>
        <sz val="10"/>
        <rFont val="Arial"/>
        <family val="2"/>
      </rPr>
      <t>VEG</t>
    </r>
    <r>
      <rPr>
        <sz val="10"/>
        <rFont val="Arial"/>
      </rPr>
      <t xml:space="preserve"> + SOC</t>
    </r>
    <r>
      <rPr>
        <vertAlign val="subscript"/>
        <sz val="10"/>
        <rFont val="Arial"/>
        <family val="2"/>
      </rPr>
      <t>ST</t>
    </r>
    <r>
      <rPr>
        <sz val="10"/>
        <rFont val="Arial"/>
      </rPr>
      <t xml:space="preserve"> * F</t>
    </r>
    <r>
      <rPr>
        <vertAlign val="subscript"/>
        <sz val="10"/>
        <rFont val="Arial"/>
        <family val="2"/>
      </rPr>
      <t>LU</t>
    </r>
    <r>
      <rPr>
        <sz val="10"/>
        <rFont val="Arial"/>
      </rPr>
      <t xml:space="preserve"> * F</t>
    </r>
    <r>
      <rPr>
        <vertAlign val="subscript"/>
        <sz val="10"/>
        <rFont val="Arial"/>
        <family val="2"/>
      </rPr>
      <t>MG</t>
    </r>
    <r>
      <rPr>
        <sz val="10"/>
        <rFont val="Arial"/>
      </rPr>
      <t xml:space="preserve"> * F</t>
    </r>
    <r>
      <rPr>
        <vertAlign val="subscript"/>
        <sz val="10"/>
        <rFont val="Arial"/>
        <family val="2"/>
      </rPr>
      <t>I</t>
    </r>
  </si>
  <si>
    <t>Actual land use</t>
  </si>
  <si>
    <t>Reference land use</t>
  </si>
  <si>
    <t>Above and below ground vegetation</t>
  </si>
  <si>
    <r>
      <t>C</t>
    </r>
    <r>
      <rPr>
        <vertAlign val="subscript"/>
        <sz val="10"/>
        <rFont val="Arial"/>
        <family val="2"/>
      </rPr>
      <t>VEG</t>
    </r>
  </si>
  <si>
    <t xml:space="preserve"> ton C / ha</t>
  </si>
  <si>
    <t>Carbon stock in mineral soil</t>
  </si>
  <si>
    <t>Climate region</t>
  </si>
  <si>
    <t>Determine using paragraph 6.1 of Commission Decision</t>
  </si>
  <si>
    <t>Soil type</t>
  </si>
  <si>
    <t>Determine using paragraph 6.2 of Commission Decision</t>
  </si>
  <si>
    <r>
      <t>SOC</t>
    </r>
    <r>
      <rPr>
        <vertAlign val="subscript"/>
        <sz val="10"/>
        <rFont val="Arial"/>
        <family val="2"/>
      </rPr>
      <t>ST</t>
    </r>
  </si>
  <si>
    <t>Loop up in Table 1 of Commission Decision, using climate region and soil type above</t>
  </si>
  <si>
    <t>Soil management</t>
  </si>
  <si>
    <t>Input</t>
  </si>
  <si>
    <r>
      <t>F</t>
    </r>
    <r>
      <rPr>
        <vertAlign val="subscript"/>
        <sz val="10"/>
        <rFont val="Arial"/>
        <family val="2"/>
      </rPr>
      <t>LU</t>
    </r>
  </si>
  <si>
    <r>
      <t>F</t>
    </r>
    <r>
      <rPr>
        <vertAlign val="subscript"/>
        <sz val="10"/>
        <rFont val="Arial"/>
        <family val="2"/>
      </rPr>
      <t>MG</t>
    </r>
  </si>
  <si>
    <t>Production of FAME from Oil Palm (process with methane capture at oil mill)</t>
  </si>
  <si>
    <t>Production of FAME from Waste vegetable or animal oil (UCO) (steam from natural gas boiler)</t>
  </si>
  <si>
    <t>Production of HVO from Rapeseed (steam from natural gas boiler)</t>
  </si>
  <si>
    <t>Production of HVO from Sunflower (steam from natural gas boiler)</t>
  </si>
  <si>
    <t>Production of HVO from Oil Palm (process not specified)</t>
  </si>
  <si>
    <t>Production of HVO from Oil Palm process with methane capture at oil mill)</t>
  </si>
  <si>
    <t>Size of CHP</t>
  </si>
  <si>
    <t>Input to CHP</t>
  </si>
  <si>
    <t>NG input per MJ ethanol</t>
  </si>
  <si>
    <t>Steam prod. considered</t>
  </si>
  <si>
    <t>Output from steam plant, not yet taking own consumption ethanol plant into account</t>
  </si>
  <si>
    <t>Electricity consumption</t>
  </si>
  <si>
    <t>Electricity credit (NG CCGT)</t>
  </si>
  <si>
    <t>Electricity credit (Lignite ST)</t>
  </si>
  <si>
    <t>Electricity credit (Straw ST)</t>
  </si>
  <si>
    <t>No LHV given in the E3 database. Allocation to soy bean meal should be performed in same way as done by JEC consortium</t>
  </si>
  <si>
    <t>No emission factors and LHV given in E3 database. Emissions assumed to be zero.</t>
  </si>
  <si>
    <t>Electricity production (reference for credit calculation)</t>
  </si>
  <si>
    <t>RED Annex V.C.5</t>
  </si>
  <si>
    <t>Or JEC E3-database (version 31-7-2008), depending on choice, see "Inconsistent use of Global Warming Potentials (GWPs)" in "About"</t>
  </si>
  <si>
    <t>Emission reduction</t>
  </si>
  <si>
    <t>Fossil fuel reference (petrol)</t>
  </si>
  <si>
    <t>GHG emission reduction</t>
  </si>
  <si>
    <r>
      <t xml:space="preserve"> g CO</t>
    </r>
    <r>
      <rPr>
        <vertAlign val="subscript"/>
        <sz val="10"/>
        <rFont val="Arial"/>
        <family val="2"/>
      </rPr>
      <t>2,eq</t>
    </r>
    <r>
      <rPr>
        <sz val="10"/>
        <rFont val="Arial"/>
      </rPr>
      <t>/MJ</t>
    </r>
  </si>
  <si>
    <t>Fossil fuel reference (diesel)</t>
  </si>
  <si>
    <t>FAME from rape seed</t>
  </si>
  <si>
    <t>FAME from sunflower</t>
  </si>
  <si>
    <t xml:space="preserve">Ethanol from wheat (lignite CHP)  </t>
  </si>
  <si>
    <t xml:space="preserve"> 2. As non-rounded numbers, in the same column G shown in black and aligned to the right of column G. These values are not listed in the RED. They were calculated by taking the</t>
  </si>
  <si>
    <t>Other direct emissions</t>
  </si>
  <si>
    <r>
      <t>MJ / MJ</t>
    </r>
    <r>
      <rPr>
        <vertAlign val="subscript"/>
        <sz val="10"/>
        <rFont val="Arial"/>
        <family val="2"/>
      </rPr>
      <t>CNG</t>
    </r>
  </si>
  <si>
    <t>Values for standard values have also been calculated using LCA analysis of both the processes that supply the inputs (like N-fertiliser and natural gas) and their emissions at combustion.</t>
  </si>
  <si>
    <r>
      <t xml:space="preserve"> 3. </t>
    </r>
    <r>
      <rPr>
        <b/>
        <sz val="10"/>
        <rFont val="Arial"/>
        <family val="2"/>
      </rPr>
      <t>The E3database of LBST</t>
    </r>
  </si>
  <si>
    <t xml:space="preserve">Values needed to convert input data into GHG emissions. </t>
  </si>
  <si>
    <t>Input numbers</t>
  </si>
  <si>
    <r>
      <t>ton km / MJ</t>
    </r>
    <r>
      <rPr>
        <vertAlign val="subscript"/>
        <sz val="10"/>
        <rFont val="Arial"/>
        <family val="2"/>
      </rPr>
      <t>Soybean, input</t>
    </r>
  </si>
  <si>
    <r>
      <t>MJ</t>
    </r>
    <r>
      <rPr>
        <vertAlign val="subscript"/>
        <sz val="10"/>
        <rFont val="Arial"/>
        <family val="2"/>
      </rPr>
      <t>Biogas</t>
    </r>
    <r>
      <rPr>
        <sz val="10"/>
        <rFont val="Arial"/>
      </rPr>
      <t>/MJ</t>
    </r>
    <r>
      <rPr>
        <vertAlign val="subscript"/>
        <sz val="10"/>
        <rFont val="Arial"/>
        <family val="2"/>
      </rPr>
      <t>organic waste</t>
    </r>
  </si>
  <si>
    <r>
      <t>MJ</t>
    </r>
    <r>
      <rPr>
        <vertAlign val="subscript"/>
        <sz val="10"/>
        <rFont val="Arial"/>
        <family val="2"/>
      </rPr>
      <t>Oil</t>
    </r>
    <r>
      <rPr>
        <sz val="10"/>
        <rFont val="Arial"/>
      </rPr>
      <t xml:space="preserve"> / MJ</t>
    </r>
    <r>
      <rPr>
        <vertAlign val="subscript"/>
        <sz val="10"/>
        <rFont val="Arial"/>
        <family val="2"/>
      </rPr>
      <t>Soybean</t>
    </r>
  </si>
  <si>
    <r>
      <t>MJ</t>
    </r>
    <r>
      <rPr>
        <vertAlign val="subscript"/>
        <sz val="10"/>
        <rFont val="Arial"/>
        <family val="2"/>
      </rPr>
      <t>Soya cake</t>
    </r>
    <r>
      <rPr>
        <sz val="10"/>
        <rFont val="Arial"/>
      </rPr>
      <t xml:space="preserve"> / MJ</t>
    </r>
    <r>
      <rPr>
        <vertAlign val="subscript"/>
        <sz val="10"/>
        <rFont val="Arial"/>
        <family val="2"/>
      </rPr>
      <t>Soybean</t>
    </r>
  </si>
  <si>
    <r>
      <t>MJ / MJ</t>
    </r>
    <r>
      <rPr>
        <vertAlign val="subscript"/>
        <sz val="10"/>
        <rFont val="Arial"/>
        <family val="2"/>
      </rPr>
      <t>Soybean,input</t>
    </r>
  </si>
  <si>
    <t>to Soybean oil</t>
  </si>
  <si>
    <t>to Soya cake</t>
  </si>
  <si>
    <t>per kg soybean</t>
  </si>
  <si>
    <r>
      <t>MJ</t>
    </r>
    <r>
      <rPr>
        <vertAlign val="subscript"/>
        <sz val="10"/>
        <rFont val="Arial"/>
        <family val="2"/>
      </rPr>
      <t>FAME</t>
    </r>
    <r>
      <rPr>
        <sz val="10"/>
        <rFont val="Arial"/>
      </rPr>
      <t xml:space="preserve"> / MJ</t>
    </r>
    <r>
      <rPr>
        <vertAlign val="subscript"/>
        <sz val="10"/>
        <rFont val="Arial"/>
        <family val="2"/>
      </rPr>
      <t>Soybean, input</t>
    </r>
  </si>
  <si>
    <r>
      <t>MJ</t>
    </r>
    <r>
      <rPr>
        <vertAlign val="subscript"/>
        <sz val="10"/>
        <rFont val="Arial"/>
        <family val="2"/>
      </rPr>
      <t>Rapeseed</t>
    </r>
    <r>
      <rPr>
        <sz val="10"/>
        <rFont val="Arial"/>
        <family val="2"/>
      </rPr>
      <t xml:space="preserve"> ha</t>
    </r>
    <r>
      <rPr>
        <vertAlign val="superscript"/>
        <sz val="10"/>
        <rFont val="Arial"/>
        <family val="2"/>
      </rPr>
      <t>-1</t>
    </r>
    <r>
      <rPr>
        <sz val="10"/>
        <rFont val="Arial"/>
        <family val="2"/>
      </rPr>
      <t xml:space="preserve"> year</t>
    </r>
    <r>
      <rPr>
        <vertAlign val="superscript"/>
        <sz val="10"/>
        <rFont val="Arial"/>
        <family val="2"/>
      </rPr>
      <t>-1</t>
    </r>
  </si>
  <si>
    <t>FAME from soybean</t>
  </si>
  <si>
    <r>
      <t>MJ / MJ</t>
    </r>
    <r>
      <rPr>
        <vertAlign val="subscript"/>
        <sz val="10"/>
        <rFont val="Arial"/>
        <family val="2"/>
      </rPr>
      <t>FFB, input</t>
    </r>
  </si>
  <si>
    <r>
      <t>MJ</t>
    </r>
    <r>
      <rPr>
        <vertAlign val="subscript"/>
        <sz val="10"/>
        <rFont val="Arial"/>
        <family val="2"/>
      </rPr>
      <t>FAME</t>
    </r>
    <r>
      <rPr>
        <sz val="10"/>
        <rFont val="Arial"/>
      </rPr>
      <t xml:space="preserve"> / MJ</t>
    </r>
    <r>
      <rPr>
        <vertAlign val="subscript"/>
        <sz val="10"/>
        <rFont val="Arial"/>
        <family val="2"/>
      </rPr>
      <t>FFB, input</t>
    </r>
  </si>
  <si>
    <r>
      <t>MJ / MJ</t>
    </r>
    <r>
      <rPr>
        <b/>
        <vertAlign val="subscript"/>
        <sz val="10"/>
        <rFont val="Arial"/>
        <family val="2"/>
      </rPr>
      <t>Steam</t>
    </r>
  </si>
  <si>
    <r>
      <t xml:space="preserve">kg </t>
    </r>
    <r>
      <rPr>
        <vertAlign val="subscript"/>
        <sz val="10"/>
        <rFont val="Arial"/>
        <family val="2"/>
      </rPr>
      <t>fm</t>
    </r>
    <r>
      <rPr>
        <sz val="10"/>
        <rFont val="Arial"/>
        <family val="2"/>
      </rPr>
      <t>/ha/year</t>
    </r>
  </si>
  <si>
    <r>
      <t xml:space="preserve">kg </t>
    </r>
    <r>
      <rPr>
        <vertAlign val="subscript"/>
        <sz val="10"/>
        <rFont val="Arial"/>
        <family val="2"/>
      </rPr>
      <t>dm</t>
    </r>
    <r>
      <rPr>
        <sz val="10"/>
        <rFont val="Arial"/>
        <family val="2"/>
      </rPr>
      <t>/ha/year</t>
    </r>
  </si>
  <si>
    <t>kg N/ha/year</t>
  </si>
  <si>
    <r>
      <t>kg N</t>
    </r>
    <r>
      <rPr>
        <vertAlign val="subscript"/>
        <sz val="10"/>
        <rFont val="Arial"/>
        <family val="2"/>
      </rPr>
      <t>2</t>
    </r>
    <r>
      <rPr>
        <sz val="10"/>
        <rFont val="Arial"/>
        <family val="2"/>
      </rPr>
      <t>O_N/ha/year</t>
    </r>
  </si>
  <si>
    <r>
      <t>kg N</t>
    </r>
    <r>
      <rPr>
        <vertAlign val="subscript"/>
        <sz val="10"/>
        <rFont val="Arial"/>
        <family val="2"/>
      </rPr>
      <t>2</t>
    </r>
    <r>
      <rPr>
        <sz val="10"/>
        <rFont val="Arial"/>
        <family val="2"/>
      </rPr>
      <t>O/ha/year</t>
    </r>
  </si>
  <si>
    <r>
      <t xml:space="preserve">- Estimation of </t>
    </r>
    <r>
      <rPr>
        <b/>
        <sz val="10"/>
        <rFont val="Arial"/>
        <family val="2"/>
      </rPr>
      <t>sugar beet</t>
    </r>
    <r>
      <rPr>
        <sz val="10"/>
        <rFont val="Arial"/>
        <family val="2"/>
      </rPr>
      <t xml:space="preserve"> N additions from crop residues F</t>
    </r>
    <r>
      <rPr>
        <vertAlign val="subscript"/>
        <sz val="10"/>
        <rFont val="Arial"/>
        <family val="2"/>
      </rPr>
      <t>CR</t>
    </r>
    <r>
      <rPr>
        <sz val="10"/>
        <rFont val="Arial"/>
        <family val="2"/>
      </rPr>
      <t xml:space="preserve"> has been made using data for "Tubers" in Table 11.2 of the IPCC document.  </t>
    </r>
  </si>
  <si>
    <r>
      <t xml:space="preserve">- For </t>
    </r>
    <r>
      <rPr>
        <b/>
        <sz val="10"/>
        <rFont val="Arial"/>
        <family val="2"/>
      </rPr>
      <t xml:space="preserve">rapeseed </t>
    </r>
    <r>
      <rPr>
        <sz val="10"/>
        <rFont val="Arial"/>
        <family val="2"/>
      </rPr>
      <t xml:space="preserve">and </t>
    </r>
    <r>
      <rPr>
        <b/>
        <sz val="10"/>
        <rFont val="Arial"/>
        <family val="2"/>
      </rPr>
      <t>sunflower</t>
    </r>
    <r>
      <rPr>
        <sz val="10"/>
        <rFont val="Arial"/>
        <family val="2"/>
      </rPr>
      <t xml:space="preserve"> the calculation of N additions from crop residues has been made using specific parameters taken from the literature (2-5). See comments on cells AH60 and AH61</t>
    </r>
  </si>
  <si>
    <r>
      <t xml:space="preserve">- In the case of </t>
    </r>
    <r>
      <rPr>
        <b/>
        <sz val="10"/>
        <rFont val="Arial"/>
        <family val="2"/>
      </rPr>
      <t>sugar cane</t>
    </r>
    <r>
      <rPr>
        <sz val="10"/>
        <rFont val="Arial"/>
        <family val="2"/>
      </rPr>
      <t>, the term F</t>
    </r>
    <r>
      <rPr>
        <vertAlign val="subscript"/>
        <sz val="10"/>
        <rFont val="Arial"/>
        <family val="2"/>
      </rPr>
      <t>CR</t>
    </r>
    <r>
      <rPr>
        <sz val="10"/>
        <rFont val="Arial"/>
        <family val="2"/>
      </rPr>
      <t xml:space="preserve"> of N from crop residues returned to the field annually is calculated considering the additions of vinasse and filter cake, based on the assumptions in (7). These additions can be changed by the user in cells C42 and C43. Default values are provided. N content of these residues are asked for in cells C44 and C45 and also default values are provided. Equations 11.6 and 11.7 are not used.</t>
    </r>
  </si>
  <si>
    <r>
      <t>(1) IPCC 2006, 2006 IPCC Guidelines for National Greenhouse Gas Inventories, Prepared by the National Greenhouse Gas Inventories Programme, Eggleston H.S., Buendia L., Miwa K., Ngara T. and Tanabe K. (eds). Published: IGES, Japan. See Chapter 11 on N</t>
    </r>
    <r>
      <rPr>
        <i/>
        <vertAlign val="subscript"/>
        <sz val="10"/>
        <rFont val="Arial"/>
        <family val="2"/>
      </rPr>
      <t>2</t>
    </r>
    <r>
      <rPr>
        <i/>
        <sz val="10"/>
        <rFont val="Arial"/>
        <family val="2"/>
      </rPr>
      <t>O emissions from managed soils</t>
    </r>
  </si>
  <si>
    <t>Soil carbon accumulation</t>
  </si>
  <si>
    <t xml:space="preserve">Does improved agricultural management occurs? </t>
  </si>
  <si>
    <t>yes</t>
  </si>
  <si>
    <t>no</t>
  </si>
  <si>
    <t>General principles</t>
  </si>
  <si>
    <t>These guidelines set up rules and data for assessing the quantity of Soil Organic Carbon (SOC) per hectare.</t>
  </si>
  <si>
    <t xml:space="preserve">As an alternative to using these data, other appropriate methods, including measurements, may be used to determine SOC. </t>
  </si>
  <si>
    <t>Type of data use</t>
  </si>
  <si>
    <t>measurements</t>
  </si>
  <si>
    <t>modeling</t>
  </si>
  <si>
    <t>BioGrace as a recognised voluntary scheme</t>
  </si>
  <si>
    <t xml:space="preserve">The BioGrace GHG calculation tool has been recognised by the European Commission as a voluntary scheme for biofuels. The tool has been prepared by the partners of the BioGrace-I </t>
  </si>
  <si>
    <t>Energy consumption filling station</t>
  </si>
  <si>
    <t>No depot in this step; the PVO is transported directly from the refining plant to the filling station</t>
  </si>
  <si>
    <t>Transport to depot</t>
  </si>
  <si>
    <t>Energy consumption depot</t>
  </si>
  <si>
    <r>
      <t>For calculating the RED Annex V default values, the DNDC-model was used for European crops and the IPCC Tier 1 for non-European crops. DNDC and other (IPCC Tier 2 and Tier 3) methods for calculating N</t>
    </r>
    <r>
      <rPr>
        <vertAlign val="subscript"/>
        <sz val="10"/>
        <rFont val="Arial"/>
        <family val="2"/>
      </rPr>
      <t>2</t>
    </r>
    <r>
      <rPr>
        <sz val="10"/>
        <rFont val="Arial"/>
      </rPr>
      <t>O field emissions are not yet applicable world-wide. As soon as such methods become available the sheet "N</t>
    </r>
    <r>
      <rPr>
        <vertAlign val="subscript"/>
        <sz val="10"/>
        <rFont val="Arial"/>
        <family val="2"/>
      </rPr>
      <t>2</t>
    </r>
    <r>
      <rPr>
        <sz val="10"/>
        <rFont val="Arial"/>
      </rPr>
      <t>O field emissions" might be updated or replaced by something else.</t>
    </r>
  </si>
  <si>
    <r>
      <t>NH</t>
    </r>
    <r>
      <rPr>
        <b/>
        <vertAlign val="subscript"/>
        <sz val="10"/>
        <rFont val="Arial"/>
        <family val="2"/>
      </rPr>
      <t>3</t>
    </r>
    <r>
      <rPr>
        <b/>
        <sz val="10"/>
        <rFont val="Arial"/>
        <family val="2"/>
      </rPr>
      <t>&amp;NO</t>
    </r>
    <r>
      <rPr>
        <b/>
        <vertAlign val="subscript"/>
        <sz val="10"/>
        <rFont val="Arial"/>
        <family val="2"/>
      </rPr>
      <t xml:space="preserve">x </t>
    </r>
  </si>
  <si>
    <t>kg NH3&amp;NOx /ha/year</t>
  </si>
  <si>
    <r>
      <t>CH</t>
    </r>
    <r>
      <rPr>
        <vertAlign val="subscript"/>
        <sz val="10"/>
        <rFont val="Arial"/>
        <family val="2"/>
      </rPr>
      <t>4</t>
    </r>
    <r>
      <rPr>
        <sz val="10"/>
        <rFont val="Arial"/>
        <family val="2"/>
      </rPr>
      <t xml:space="preserve"> and N</t>
    </r>
    <r>
      <rPr>
        <vertAlign val="subscript"/>
        <sz val="10"/>
        <rFont val="Arial"/>
        <family val="2"/>
      </rPr>
      <t>2</t>
    </r>
    <r>
      <rPr>
        <sz val="10"/>
        <rFont val="Arial"/>
        <family val="2"/>
      </rPr>
      <t>O emissions from Lignite CHP</t>
    </r>
  </si>
  <si>
    <r>
      <t>ton CO</t>
    </r>
    <r>
      <rPr>
        <vertAlign val="subscript"/>
        <sz val="10"/>
        <rFont val="Arial"/>
        <family val="2"/>
      </rPr>
      <t>2</t>
    </r>
    <r>
      <rPr>
        <sz val="10"/>
        <rFont val="Arial"/>
      </rPr>
      <t xml:space="preserve"> ha</t>
    </r>
    <r>
      <rPr>
        <vertAlign val="superscript"/>
        <sz val="10"/>
        <rFont val="Arial"/>
        <family val="2"/>
      </rPr>
      <t>-1</t>
    </r>
    <r>
      <rPr>
        <sz val="10"/>
        <rFont val="Arial"/>
      </rPr>
      <t xml:space="preserve"> year</t>
    </r>
    <r>
      <rPr>
        <vertAlign val="superscript"/>
        <sz val="10"/>
        <rFont val="Arial"/>
        <family val="2"/>
      </rPr>
      <t>-1</t>
    </r>
  </si>
  <si>
    <t xml:space="preserve">Does land use change occur? </t>
  </si>
  <si>
    <t xml:space="preserve">Resulting land use change  </t>
  </si>
  <si>
    <t>Bonus (eB)</t>
  </si>
  <si>
    <t xml:space="preserve">Ethanol from wheat (process fuel not specified)  </t>
  </si>
  <si>
    <t>CHP net output / MJ Ethanol</t>
  </si>
  <si>
    <t xml:space="preserve">(2)Trinsoutrot, I.; Recous, S.; Mary, B.; Justes, E. and Nicolardot, B. (1999): C and N mineralisation of oilseed rape crop residues in soil. 0th International Rapeseed Congress, Canberra, Australia, 1999. http://www.regional.org.au/au/gcirc/2/344.htm#TopOfPage </t>
  </si>
  <si>
    <r>
      <t>When calculating an actual GHG emission value for the "cultivation part" of the biofuel production pathway, also the actual N</t>
    </r>
    <r>
      <rPr>
        <vertAlign val="subscript"/>
        <sz val="10"/>
        <rFont val="Arial"/>
        <family val="2"/>
      </rPr>
      <t>2</t>
    </r>
    <r>
      <rPr>
        <sz val="10"/>
        <rFont val="Arial"/>
      </rPr>
      <t>O field emission has to be determined. The sheet “N</t>
    </r>
    <r>
      <rPr>
        <vertAlign val="subscript"/>
        <sz val="10"/>
        <rFont val="Arial"/>
        <family val="2"/>
      </rPr>
      <t>2</t>
    </r>
    <r>
      <rPr>
        <sz val="10"/>
        <rFont val="Arial"/>
      </rPr>
      <t>O field emissions” allows users to calculate actual N</t>
    </r>
    <r>
      <rPr>
        <vertAlign val="subscript"/>
        <sz val="10"/>
        <rFont val="Arial"/>
        <family val="2"/>
      </rPr>
      <t>2</t>
    </r>
    <r>
      <rPr>
        <sz val="10"/>
        <rFont val="Arial"/>
      </rPr>
      <t>O field emissions following the IPCC Tier 1 method with some additions by the JEC consortium. Although the Tier 1 method itself is not very simple, users of the sheet are guided to calculate N</t>
    </r>
    <r>
      <rPr>
        <vertAlign val="subscript"/>
        <sz val="10"/>
        <rFont val="Arial"/>
        <family val="2"/>
      </rPr>
      <t>2</t>
    </r>
    <r>
      <rPr>
        <sz val="10"/>
        <rFont val="Arial"/>
      </rPr>
      <t>O field emissions using actual nitrogen application rates (from fertilisers, manure, etc.).</t>
    </r>
  </si>
  <si>
    <t>Total results</t>
  </si>
  <si>
    <t>EFB</t>
  </si>
  <si>
    <t>Empty Fruit Bunches</t>
  </si>
  <si>
    <t>CCGT</t>
  </si>
  <si>
    <t>Combined Cycle Gas Turbine</t>
  </si>
  <si>
    <t>Heavy Fuel Oil</t>
  </si>
  <si>
    <r>
      <t>Calculation of F</t>
    </r>
    <r>
      <rPr>
        <b/>
        <vertAlign val="subscript"/>
        <sz val="10"/>
        <rFont val="Arial"/>
        <family val="2"/>
      </rPr>
      <t>CR</t>
    </r>
    <r>
      <rPr>
        <b/>
        <sz val="10"/>
        <rFont val="Arial"/>
        <family val="2"/>
      </rPr>
      <t xml:space="preserve"> (annual amount of N in crop residues returned to soils, kg N yr-1)</t>
    </r>
  </si>
  <si>
    <r>
      <t>Some of the crops considered in the BioGrace predefined list of crops - namely wheat, corn, and soybeans- appear in table 11.2 of the IPCC document. For these crops, the parameters considered to calculate F</t>
    </r>
    <r>
      <rPr>
        <vertAlign val="subscript"/>
        <sz val="10"/>
        <rFont val="Arial"/>
        <family val="2"/>
      </rPr>
      <t xml:space="preserve">CR </t>
    </r>
    <r>
      <rPr>
        <sz val="10"/>
        <rFont val="Arial"/>
        <family val="2"/>
      </rPr>
      <t>are the ones that are listed in the above mentioned table.</t>
    </r>
  </si>
  <si>
    <t>soil type</t>
  </si>
  <si>
    <t>If model : name of the model, who runned it,  main data sources, date of the modeling, etc</t>
  </si>
  <si>
    <t>For all : details about representaviness, proof of scientific validity, etc</t>
  </si>
  <si>
    <t>Please, fill these data with you actual value</t>
  </si>
  <si>
    <t>Please note that, as far as such methods are not based on measurements, they shall take into account climate, soil type, land cover, land management and inputs.</t>
  </si>
  <si>
    <t>If the type of vegetation changes between reference and actual land use, please refer to the Land use Change (LUC) Excelsheet.</t>
  </si>
  <si>
    <t>The guidelines published by the Commission (see  above for the link) authorises the use of actual data for Soil Organic Carbon.</t>
  </si>
  <si>
    <t>In order to use them, please provide the following information:</t>
  </si>
  <si>
    <r>
      <t>SOC</t>
    </r>
    <r>
      <rPr>
        <vertAlign val="subscript"/>
        <sz val="10"/>
        <rFont val="Arial"/>
        <family val="2"/>
      </rPr>
      <t>i</t>
    </r>
    <r>
      <rPr>
        <sz val="10"/>
        <rFont val="Arial"/>
        <family val="2"/>
      </rPr>
      <t xml:space="preserve"> = SOC</t>
    </r>
    <r>
      <rPr>
        <vertAlign val="subscript"/>
        <sz val="10"/>
        <rFont val="Arial"/>
        <family val="2"/>
      </rPr>
      <t>ST</t>
    </r>
    <r>
      <rPr>
        <sz val="10"/>
        <rFont val="Arial"/>
        <family val="2"/>
      </rPr>
      <t xml:space="preserve"> * F</t>
    </r>
    <r>
      <rPr>
        <vertAlign val="subscript"/>
        <sz val="10"/>
        <rFont val="Arial"/>
        <family val="2"/>
      </rPr>
      <t>LU</t>
    </r>
    <r>
      <rPr>
        <sz val="10"/>
        <rFont val="Arial"/>
        <family val="2"/>
      </rPr>
      <t xml:space="preserve"> * F</t>
    </r>
    <r>
      <rPr>
        <vertAlign val="subscript"/>
        <sz val="10"/>
        <rFont val="Arial"/>
        <family val="2"/>
      </rPr>
      <t>MG</t>
    </r>
    <r>
      <rPr>
        <sz val="10"/>
        <rFont val="Arial"/>
        <family val="2"/>
      </rPr>
      <t xml:space="preserve"> * F</t>
    </r>
    <r>
      <rPr>
        <vertAlign val="subscript"/>
        <sz val="10"/>
        <rFont val="Arial"/>
        <family val="2"/>
      </rPr>
      <t xml:space="preserve">I </t>
    </r>
  </si>
  <si>
    <r>
      <t>SOC</t>
    </r>
    <r>
      <rPr>
        <vertAlign val="subscript"/>
        <sz val="10"/>
        <rFont val="Arial"/>
        <family val="2"/>
      </rPr>
      <t>A</t>
    </r>
    <r>
      <rPr>
        <sz val="10"/>
        <rFont val="Arial"/>
      </rPr>
      <t xml:space="preserve"> and SOC</t>
    </r>
    <r>
      <rPr>
        <vertAlign val="subscript"/>
        <sz val="10"/>
        <rFont val="Arial"/>
        <family val="2"/>
      </rPr>
      <t>R</t>
    </r>
    <r>
      <rPr>
        <sz val="10"/>
        <rFont val="Arial"/>
      </rPr>
      <t xml:space="preserve"> are calculated with the following equation: </t>
    </r>
  </si>
  <si>
    <r>
      <t>SOC</t>
    </r>
    <r>
      <rPr>
        <vertAlign val="subscript"/>
        <sz val="10"/>
        <rFont val="Arial"/>
        <family val="2"/>
      </rPr>
      <t>A</t>
    </r>
  </si>
  <si>
    <r>
      <t>SOC</t>
    </r>
    <r>
      <rPr>
        <vertAlign val="subscript"/>
        <sz val="10"/>
        <rFont val="Arial"/>
        <family val="2"/>
      </rPr>
      <t>R</t>
    </r>
  </si>
  <si>
    <t xml:space="preserve">Which type of calculation do you want to use ? </t>
  </si>
  <si>
    <r>
      <t>SOC</t>
    </r>
    <r>
      <rPr>
        <vertAlign val="subscript"/>
        <sz val="10"/>
        <rFont val="Arial"/>
        <family val="2"/>
      </rPr>
      <t xml:space="preserve">A </t>
    </r>
    <r>
      <rPr>
        <sz val="10"/>
        <rFont val="Arial"/>
        <family val="2"/>
      </rPr>
      <t xml:space="preserve">= </t>
    </r>
  </si>
  <si>
    <r>
      <t>SOC</t>
    </r>
    <r>
      <rPr>
        <vertAlign val="subscript"/>
        <sz val="10"/>
        <rFont val="Arial"/>
        <family val="2"/>
      </rPr>
      <t xml:space="preserve">R </t>
    </r>
    <r>
      <rPr>
        <sz val="10"/>
        <rFont val="Arial"/>
        <family val="2"/>
      </rPr>
      <t xml:space="preserve">= </t>
    </r>
  </si>
  <si>
    <r>
      <t>e</t>
    </r>
    <r>
      <rPr>
        <b/>
        <vertAlign val="subscript"/>
        <sz val="10"/>
        <rFont val="Arial"/>
        <family val="2"/>
      </rPr>
      <t xml:space="preserve">l </t>
    </r>
    <r>
      <rPr>
        <b/>
        <sz val="10"/>
        <rFont val="Arial"/>
        <family val="2"/>
      </rPr>
      <t xml:space="preserve">= </t>
    </r>
  </si>
  <si>
    <r>
      <t>e</t>
    </r>
    <r>
      <rPr>
        <b/>
        <vertAlign val="subscript"/>
        <sz val="11"/>
        <rFont val="Arial"/>
        <family val="2"/>
      </rPr>
      <t xml:space="preserve">l </t>
    </r>
    <r>
      <rPr>
        <b/>
        <sz val="11"/>
        <rFont val="Arial"/>
        <family val="2"/>
      </rPr>
      <t xml:space="preserve">= </t>
    </r>
  </si>
  <si>
    <r>
      <t>e</t>
    </r>
    <r>
      <rPr>
        <b/>
        <vertAlign val="subscript"/>
        <sz val="10"/>
        <rFont val="Arial"/>
        <family val="2"/>
      </rPr>
      <t xml:space="preserve">sca </t>
    </r>
    <r>
      <rPr>
        <b/>
        <sz val="10"/>
        <rFont val="Arial"/>
        <family val="2"/>
      </rPr>
      <t xml:space="preserve">= </t>
    </r>
  </si>
  <si>
    <t>User defined standard values can be used instead of the values listed in the sheet "Standard values". This can be done as follows. Give a name and give values for the desired user-defined standard values in the sheet "User defined standard values". Make sure not to use the same name as used in the sheet "Standard values". Then, this parameter can be used in the calculations.</t>
  </si>
  <si>
    <t xml:space="preserve">management (sheet 'Esca'). This Excel tool does not include guidance for calculation of carbon dioxide capture and geological storage. </t>
  </si>
  <si>
    <r>
      <t>Input numbers</t>
    </r>
    <r>
      <rPr>
        <sz val="10"/>
        <rFont val="Arial"/>
      </rPr>
      <t xml:space="preserve"> used are listed in the Excel sheets showing the calculations. These input data can of course be changed to make calculations with actual data.</t>
    </r>
  </si>
  <si>
    <t>Organic soils calculation</t>
  </si>
  <si>
    <t>JEC E3-database (version 31-7-2008)</t>
  </si>
  <si>
    <t>Transport plus fertiliser debit because more fertiliser is required at the cultivation stage if the straw is removed</t>
  </si>
  <si>
    <r>
      <t>ton</t>
    </r>
    <r>
      <rPr>
        <vertAlign val="subscript"/>
        <sz val="10"/>
        <rFont val="Arial"/>
        <family val="2"/>
      </rPr>
      <t>DDGS</t>
    </r>
    <r>
      <rPr>
        <sz val="10"/>
        <rFont val="Arial"/>
      </rPr>
      <t xml:space="preserve"> / ton</t>
    </r>
    <r>
      <rPr>
        <vertAlign val="subscript"/>
        <sz val="10"/>
        <rFont val="Arial"/>
        <family val="2"/>
      </rPr>
      <t>Ethanol</t>
    </r>
  </si>
  <si>
    <t>Cultivation of wheat</t>
  </si>
  <si>
    <t>Transport of wheat</t>
  </si>
  <si>
    <r>
      <t>MJ</t>
    </r>
    <r>
      <rPr>
        <vertAlign val="subscript"/>
        <sz val="10"/>
        <rFont val="Arial"/>
        <family val="2"/>
      </rPr>
      <t>Wheat</t>
    </r>
    <r>
      <rPr>
        <sz val="10"/>
        <rFont val="Arial"/>
      </rPr>
      <t xml:space="preserve"> / MJ</t>
    </r>
    <r>
      <rPr>
        <vertAlign val="subscript"/>
        <sz val="10"/>
        <rFont val="Arial"/>
        <family val="2"/>
      </rPr>
      <t>Wheat</t>
    </r>
  </si>
  <si>
    <r>
      <t>MJ</t>
    </r>
    <r>
      <rPr>
        <vertAlign val="subscript"/>
        <sz val="10"/>
        <rFont val="Arial"/>
        <family val="2"/>
      </rPr>
      <t>Wheat</t>
    </r>
    <r>
      <rPr>
        <sz val="10"/>
        <rFont val="Arial"/>
      </rPr>
      <t xml:space="preserve"> ha</t>
    </r>
    <r>
      <rPr>
        <vertAlign val="superscript"/>
        <sz val="10"/>
        <rFont val="Arial"/>
        <family val="2"/>
      </rPr>
      <t>-1</t>
    </r>
    <r>
      <rPr>
        <sz val="10"/>
        <rFont val="Arial"/>
      </rPr>
      <t xml:space="preserve"> year</t>
    </r>
    <r>
      <rPr>
        <vertAlign val="superscript"/>
        <sz val="10"/>
        <rFont val="Arial"/>
        <family val="2"/>
      </rPr>
      <t>-1</t>
    </r>
  </si>
  <si>
    <r>
      <t>MJ</t>
    </r>
    <r>
      <rPr>
        <vertAlign val="subscript"/>
        <sz val="10"/>
        <rFont val="Arial"/>
        <family val="2"/>
      </rPr>
      <t>Ethanol</t>
    </r>
    <r>
      <rPr>
        <sz val="10"/>
        <rFont val="Arial"/>
      </rPr>
      <t xml:space="preserve"> / MJ</t>
    </r>
    <r>
      <rPr>
        <vertAlign val="subscript"/>
        <sz val="10"/>
        <rFont val="Arial"/>
        <family val="2"/>
      </rPr>
      <t>Wheat</t>
    </r>
  </si>
  <si>
    <r>
      <t>MJ / MJ</t>
    </r>
    <r>
      <rPr>
        <vertAlign val="subscript"/>
        <sz val="10"/>
        <rFont val="Arial"/>
        <family val="2"/>
      </rPr>
      <t>Ethanol</t>
    </r>
  </si>
  <si>
    <t>Steam (NG boiler)</t>
  </si>
  <si>
    <r>
      <t>MJ</t>
    </r>
    <r>
      <rPr>
        <vertAlign val="subscript"/>
        <sz val="10"/>
        <rFont val="Arial"/>
        <family val="2"/>
      </rPr>
      <t>Ethanol</t>
    </r>
    <r>
      <rPr>
        <sz val="10"/>
        <rFont val="Arial"/>
      </rPr>
      <t xml:space="preserve"> / MJ</t>
    </r>
    <r>
      <rPr>
        <vertAlign val="subscript"/>
        <sz val="10"/>
        <rFont val="Arial"/>
        <family val="2"/>
      </rPr>
      <t>Ethanol</t>
    </r>
  </si>
  <si>
    <t>Transport per</t>
  </si>
  <si>
    <t>Ethanol</t>
  </si>
  <si>
    <t>Methanol</t>
  </si>
  <si>
    <t>MJ</t>
  </si>
  <si>
    <t>Pesticides</t>
  </si>
  <si>
    <t>Collection of wet manure</t>
  </si>
  <si>
    <t>Manure</t>
  </si>
  <si>
    <r>
      <t>MJ/MJ</t>
    </r>
    <r>
      <rPr>
        <vertAlign val="subscript"/>
        <sz val="10"/>
        <rFont val="Arial"/>
        <family val="2"/>
      </rPr>
      <t>wet manure, input</t>
    </r>
  </si>
  <si>
    <r>
      <t>MJ</t>
    </r>
    <r>
      <rPr>
        <vertAlign val="subscript"/>
        <sz val="10"/>
        <rFont val="Arial"/>
        <family val="2"/>
      </rPr>
      <t>Biogas</t>
    </r>
    <r>
      <rPr>
        <sz val="10"/>
        <rFont val="Arial"/>
        <family val="2"/>
      </rPr>
      <t>/MJ</t>
    </r>
    <r>
      <rPr>
        <vertAlign val="subscript"/>
        <sz val="10"/>
        <rFont val="Arial"/>
        <family val="2"/>
      </rPr>
      <t>wet manure, input</t>
    </r>
  </si>
  <si>
    <t>Electricity (from biogas CHP)</t>
  </si>
  <si>
    <t>Gasoline</t>
  </si>
  <si>
    <t>Diesel</t>
  </si>
  <si>
    <t>km</t>
  </si>
  <si>
    <t>Seeding material</t>
  </si>
  <si>
    <t>Rapeseed</t>
  </si>
  <si>
    <t>Quantity of product</t>
  </si>
  <si>
    <t>LHV</t>
  </si>
  <si>
    <t>MJ/kg</t>
  </si>
  <si>
    <t>HFO</t>
  </si>
  <si>
    <t>Density</t>
  </si>
  <si>
    <t>Wheat straw</t>
  </si>
  <si>
    <t>DDGS</t>
  </si>
  <si>
    <t>Sugar cane</t>
  </si>
  <si>
    <t>Moisture content</t>
  </si>
  <si>
    <t>Pure CaO for processes</t>
  </si>
  <si>
    <t>Ammonia</t>
  </si>
  <si>
    <t>Yield</t>
  </si>
  <si>
    <t>Energy consumption</t>
  </si>
  <si>
    <t>Total emission before allocation:</t>
  </si>
  <si>
    <r>
      <t>kg ha</t>
    </r>
    <r>
      <rPr>
        <vertAlign val="superscript"/>
        <sz val="10"/>
        <rFont val="Arial"/>
        <family val="2"/>
      </rPr>
      <t>-1</t>
    </r>
    <r>
      <rPr>
        <sz val="10"/>
        <rFont val="Arial"/>
      </rPr>
      <t xml:space="preserve"> year</t>
    </r>
    <r>
      <rPr>
        <vertAlign val="superscript"/>
        <sz val="10"/>
        <rFont val="Arial"/>
        <family val="2"/>
      </rPr>
      <t>-1</t>
    </r>
  </si>
  <si>
    <r>
      <t>MJ ha</t>
    </r>
    <r>
      <rPr>
        <vertAlign val="superscript"/>
        <sz val="10"/>
        <rFont val="Arial"/>
        <family val="2"/>
      </rPr>
      <t>-1</t>
    </r>
    <r>
      <rPr>
        <sz val="10"/>
        <rFont val="Arial"/>
      </rPr>
      <t xml:space="preserve"> year</t>
    </r>
    <r>
      <rPr>
        <vertAlign val="superscript"/>
        <sz val="10"/>
        <rFont val="Arial"/>
        <family val="2"/>
      </rPr>
      <t>-1</t>
    </r>
  </si>
  <si>
    <r>
      <t>kg N ha</t>
    </r>
    <r>
      <rPr>
        <vertAlign val="superscript"/>
        <sz val="10"/>
        <rFont val="Arial"/>
        <family val="2"/>
      </rPr>
      <t xml:space="preserve">-1 </t>
    </r>
    <r>
      <rPr>
        <sz val="10"/>
        <rFont val="Arial"/>
      </rPr>
      <t>year</t>
    </r>
    <r>
      <rPr>
        <vertAlign val="superscript"/>
        <sz val="10"/>
        <rFont val="Arial"/>
        <family val="2"/>
      </rPr>
      <t>-1</t>
    </r>
  </si>
  <si>
    <r>
      <t>kg K</t>
    </r>
    <r>
      <rPr>
        <vertAlign val="subscript"/>
        <sz val="10"/>
        <rFont val="Arial"/>
        <family val="2"/>
      </rPr>
      <t>2</t>
    </r>
    <r>
      <rPr>
        <sz val="10"/>
        <rFont val="Arial"/>
      </rPr>
      <t>O ha</t>
    </r>
    <r>
      <rPr>
        <vertAlign val="superscript"/>
        <sz val="10"/>
        <rFont val="Arial"/>
        <family val="2"/>
      </rPr>
      <t>-1</t>
    </r>
    <r>
      <rPr>
        <sz val="10"/>
        <rFont val="Arial"/>
      </rPr>
      <t xml:space="preserve"> year</t>
    </r>
    <r>
      <rPr>
        <vertAlign val="superscript"/>
        <sz val="10"/>
        <rFont val="Arial"/>
        <family val="2"/>
      </rPr>
      <t>-1</t>
    </r>
  </si>
  <si>
    <r>
      <t>kg P</t>
    </r>
    <r>
      <rPr>
        <vertAlign val="subscript"/>
        <sz val="10"/>
        <rFont val="Arial"/>
        <family val="2"/>
      </rPr>
      <t>2</t>
    </r>
    <r>
      <rPr>
        <sz val="10"/>
        <rFont val="Arial"/>
      </rPr>
      <t>O</t>
    </r>
    <r>
      <rPr>
        <vertAlign val="subscript"/>
        <sz val="10"/>
        <rFont val="Arial"/>
        <family val="2"/>
      </rPr>
      <t>5</t>
    </r>
    <r>
      <rPr>
        <sz val="10"/>
        <rFont val="Arial"/>
      </rPr>
      <t xml:space="preserve"> ha</t>
    </r>
    <r>
      <rPr>
        <vertAlign val="superscript"/>
        <sz val="10"/>
        <rFont val="Arial"/>
        <family val="2"/>
      </rPr>
      <t>-1</t>
    </r>
    <r>
      <rPr>
        <sz val="10"/>
        <rFont val="Arial"/>
      </rPr>
      <t xml:space="preserve"> year</t>
    </r>
    <r>
      <rPr>
        <vertAlign val="superscript"/>
        <sz val="10"/>
        <rFont val="Arial"/>
        <family val="2"/>
      </rPr>
      <t>-1</t>
    </r>
  </si>
  <si>
    <t>Calculated emissions</t>
  </si>
  <si>
    <t>Total:</t>
  </si>
  <si>
    <t>Result</t>
  </si>
  <si>
    <t>Corn</t>
  </si>
  <si>
    <t>Ethanol plant</t>
  </si>
  <si>
    <r>
      <t>kg</t>
    </r>
    <r>
      <rPr>
        <vertAlign val="subscript"/>
        <sz val="10"/>
        <rFont val="Arial"/>
        <family val="2"/>
      </rPr>
      <t xml:space="preserve">Oil </t>
    </r>
    <r>
      <rPr>
        <sz val="10"/>
        <rFont val="Arial"/>
        <family val="2"/>
      </rPr>
      <t>/ MJ</t>
    </r>
    <r>
      <rPr>
        <vertAlign val="subscript"/>
        <sz val="10"/>
        <rFont val="Arial"/>
        <family val="2"/>
      </rPr>
      <t>HVO</t>
    </r>
  </si>
  <si>
    <r>
      <t>kg</t>
    </r>
    <r>
      <rPr>
        <vertAlign val="subscript"/>
        <sz val="10"/>
        <rFont val="Arial"/>
        <family val="2"/>
      </rPr>
      <t xml:space="preserve">HVO </t>
    </r>
    <r>
      <rPr>
        <sz val="10"/>
        <rFont val="Arial"/>
        <family val="2"/>
      </rPr>
      <t>/ MJ</t>
    </r>
    <r>
      <rPr>
        <vertAlign val="subscript"/>
        <sz val="10"/>
        <rFont val="Arial"/>
        <family val="2"/>
      </rPr>
      <t>HVO</t>
    </r>
  </si>
  <si>
    <t>per kg HVO</t>
  </si>
  <si>
    <r>
      <t>kg</t>
    </r>
    <r>
      <rPr>
        <vertAlign val="subscript"/>
        <sz val="10"/>
        <rFont val="Arial"/>
        <family val="2"/>
      </rPr>
      <t xml:space="preserve">Oil </t>
    </r>
    <r>
      <rPr>
        <sz val="10"/>
        <rFont val="Arial"/>
        <family val="2"/>
      </rPr>
      <t>/ MJ</t>
    </r>
    <r>
      <rPr>
        <vertAlign val="subscript"/>
        <sz val="10"/>
        <rFont val="Arial"/>
        <family val="2"/>
      </rPr>
      <t>PVO</t>
    </r>
  </si>
  <si>
    <t>per kg refined oil</t>
  </si>
  <si>
    <r>
      <t>kg</t>
    </r>
    <r>
      <rPr>
        <vertAlign val="subscript"/>
        <sz val="10"/>
        <rFont val="Arial"/>
        <family val="2"/>
      </rPr>
      <t xml:space="preserve">Oil </t>
    </r>
    <r>
      <rPr>
        <sz val="10"/>
        <rFont val="Arial"/>
        <family val="2"/>
      </rPr>
      <t>/ MJ</t>
    </r>
    <r>
      <rPr>
        <vertAlign val="subscript"/>
        <sz val="10"/>
        <rFont val="Arial"/>
        <family val="2"/>
      </rPr>
      <t>FAME</t>
    </r>
  </si>
  <si>
    <r>
      <t>kg</t>
    </r>
    <r>
      <rPr>
        <vertAlign val="subscript"/>
        <sz val="10"/>
        <rFont val="Arial"/>
        <family val="2"/>
      </rPr>
      <t xml:space="preserve">FAME </t>
    </r>
    <r>
      <rPr>
        <sz val="10"/>
        <rFont val="Arial"/>
        <family val="2"/>
      </rPr>
      <t>/ MJ</t>
    </r>
    <r>
      <rPr>
        <vertAlign val="subscript"/>
        <sz val="10"/>
        <rFont val="Arial"/>
        <family val="2"/>
      </rPr>
      <t>FAME</t>
    </r>
  </si>
  <si>
    <r>
      <t>Processing e</t>
    </r>
    <r>
      <rPr>
        <b/>
        <vertAlign val="subscript"/>
        <sz val="12"/>
        <color indexed="9"/>
        <rFont val="Arial"/>
        <family val="2"/>
      </rPr>
      <t>p</t>
    </r>
  </si>
  <si>
    <r>
      <t>Transport e</t>
    </r>
    <r>
      <rPr>
        <b/>
        <vertAlign val="subscript"/>
        <sz val="12"/>
        <color indexed="9"/>
        <rFont val="Arial"/>
        <family val="2"/>
      </rPr>
      <t>td</t>
    </r>
  </si>
  <si>
    <t>Land use change, including bonus for production on non-agriculture or degraded land</t>
  </si>
  <si>
    <t>Improved agricultural management</t>
  </si>
  <si>
    <r>
      <t>e</t>
    </r>
    <r>
      <rPr>
        <b/>
        <vertAlign val="subscript"/>
        <sz val="10"/>
        <rFont val="Arial"/>
        <family val="2"/>
      </rPr>
      <t>sca</t>
    </r>
  </si>
  <si>
    <r>
      <t>e</t>
    </r>
    <r>
      <rPr>
        <b/>
        <vertAlign val="subscript"/>
        <sz val="10"/>
        <rFont val="Arial"/>
        <family val="2"/>
      </rPr>
      <t>l</t>
    </r>
  </si>
  <si>
    <r>
      <t>kg CO</t>
    </r>
    <r>
      <rPr>
        <vertAlign val="subscript"/>
        <sz val="10"/>
        <rFont val="Arial"/>
        <family val="2"/>
      </rPr>
      <t>2, eq</t>
    </r>
  </si>
  <si>
    <r>
      <t>Land use change e</t>
    </r>
    <r>
      <rPr>
        <b/>
        <vertAlign val="subscript"/>
        <sz val="12"/>
        <color indexed="9"/>
        <rFont val="Arial"/>
        <family val="2"/>
      </rPr>
      <t>l</t>
    </r>
  </si>
  <si>
    <t>As part of the BioGrace project, they have tracked down the causes of differences and provided us with correct numbers. These have been added to the input numbers and standard values in this Excel tool.</t>
  </si>
  <si>
    <t>This Excel tool can therefore be used to make two kinds of calculations:</t>
  </si>
  <si>
    <t>In this Excel tool, input numbers are distinguished from standard values (for definition see below) which companies normally cannot influence and/or measure.</t>
  </si>
  <si>
    <t>A user manual is published together with this version of the BioGrace Excel tool, which gives assistence on how to make such modifications.</t>
  </si>
  <si>
    <t xml:space="preserve"> 1. The default values as listed in Annex V.D of the RED. These are rounded values. In the sheets of this Excel tool they are listed, in column G, as white numbers in bold format.</t>
  </si>
  <si>
    <t>These alternative values have been tracked down, as one of the objectives of this Excel tool is to show how the RED Annex V default values were calculated.</t>
  </si>
  <si>
    <r>
      <t>Some numbers causing only small GHG emissions have not been published by the JEC consortium. As this Excel tool is intended to make the calculation of the RED defaults fully transparent, these numbers are included in this tool. Two examples are the CH</t>
    </r>
    <r>
      <rPr>
        <vertAlign val="subscript"/>
        <sz val="10"/>
        <rFont val="Arial"/>
        <family val="2"/>
      </rPr>
      <t>4</t>
    </r>
    <r>
      <rPr>
        <sz val="10"/>
        <rFont val="Arial"/>
      </rPr>
      <t xml:space="preserve"> and N</t>
    </r>
    <r>
      <rPr>
        <vertAlign val="subscript"/>
        <sz val="10"/>
        <rFont val="Arial"/>
        <family val="2"/>
      </rPr>
      <t>2</t>
    </r>
    <r>
      <rPr>
        <sz val="10"/>
        <rFont val="Arial"/>
      </rPr>
      <t>O emissions of the boilers and gas turbine that produce steam, and the CH</t>
    </r>
    <r>
      <rPr>
        <vertAlign val="subscript"/>
        <sz val="10"/>
        <rFont val="Arial"/>
        <family val="2"/>
      </rPr>
      <t>4</t>
    </r>
    <r>
      <rPr>
        <sz val="10"/>
        <rFont val="Arial"/>
      </rPr>
      <t xml:space="preserve"> and N</t>
    </r>
    <r>
      <rPr>
        <vertAlign val="subscript"/>
        <sz val="10"/>
        <rFont val="Arial"/>
        <family val="2"/>
      </rPr>
      <t>2</t>
    </r>
    <r>
      <rPr>
        <sz val="10"/>
        <rFont val="Arial"/>
      </rPr>
      <t>O tailpipe emissions of truck and ship transport.</t>
    </r>
  </si>
  <si>
    <t>The sole responsibility for the content of this Excel tool lies with the authors. It does not necessarily reflect the opinion of the European Union. The European Commission is not responsible for any use that may be made of the information contained therein.</t>
  </si>
  <si>
    <t xml:space="preserve"> 1. The BioGrace calculation rules must be followed. These rules are included in the zip file "BioGrace GHG calculation tool" in which this tool is downloaded from www.BioGrace.net.</t>
  </si>
  <si>
    <r>
      <t xml:space="preserve">This BioGrace Excel tool will only work properly if macro's can be executed. </t>
    </r>
    <r>
      <rPr>
        <b/>
        <sz val="8"/>
        <rFont val="Arial"/>
        <family val="2"/>
      </rPr>
      <t xml:space="preserve">
</t>
    </r>
    <r>
      <rPr>
        <b/>
        <sz val="12"/>
        <rFont val="Arial"/>
        <family val="2"/>
      </rPr>
      <t xml:space="preserve">In Office 97 - 2003, you should turn the macro security level to "medium" or "low". You will find this option under "Extra" - "Macro" - "Security". </t>
    </r>
    <r>
      <rPr>
        <b/>
        <sz val="8"/>
        <rFont val="Arial"/>
        <family val="2"/>
      </rPr>
      <t xml:space="preserve">
</t>
    </r>
    <r>
      <rPr>
        <b/>
        <sz val="12"/>
        <rFont val="Arial"/>
        <family val="2"/>
      </rPr>
      <t>In Office 2007 or 2010 you can find the macro security in the Trust center, by clicking the File tab, Options, Security Center, Macro Settings. There you turn the security level to "Disable all macro's with notification" or "Enable all macro's". 
Also turn on the option 'Trust access to the VBA project object model'.</t>
    </r>
    <r>
      <rPr>
        <b/>
        <sz val="8"/>
        <rFont val="Arial"/>
        <family val="2"/>
      </rPr>
      <t xml:space="preserve">
</t>
    </r>
    <r>
      <rPr>
        <b/>
        <sz val="12"/>
        <rFont val="Arial"/>
        <family val="2"/>
      </rPr>
      <t>In non-English Excel versions these menu items will of course be named differently. Instructions how to do so are also available through the "Help" function of Excel: press F1 and search for (the translation of) security.</t>
    </r>
    <r>
      <rPr>
        <b/>
        <sz val="8"/>
        <rFont val="Arial"/>
        <family val="2"/>
      </rPr>
      <t xml:space="preserve">
</t>
    </r>
    <r>
      <rPr>
        <b/>
        <sz val="12"/>
        <rFont val="Arial"/>
        <family val="2"/>
      </rPr>
      <t>After changing the macro security level, the calculation sheets can be activated by closing and re-opening this file.</t>
    </r>
  </si>
  <si>
    <r>
      <t>MJ</t>
    </r>
    <r>
      <rPr>
        <vertAlign val="subscript"/>
        <sz val="10"/>
        <rFont val="Arial"/>
        <family val="2"/>
      </rPr>
      <t>CNG</t>
    </r>
    <r>
      <rPr>
        <sz val="10"/>
        <rFont val="Arial"/>
      </rPr>
      <t>/MJ</t>
    </r>
    <r>
      <rPr>
        <vertAlign val="subscript"/>
        <sz val="10"/>
        <rFont val="Arial"/>
        <family val="2"/>
      </rPr>
      <t>organic waste, input</t>
    </r>
  </si>
  <si>
    <r>
      <t>MJ/MJ</t>
    </r>
    <r>
      <rPr>
        <vertAlign val="subscript"/>
        <sz val="10"/>
        <rFont val="Arial"/>
        <family val="2"/>
      </rPr>
      <t>organic waste, input</t>
    </r>
  </si>
  <si>
    <t xml:space="preserve">(2) If the Esca sheet gives negative value then there is a C loss due to a change in </t>
  </si>
  <si>
    <t>management and the value obtained (with a positive sign) should be inserted here</t>
  </si>
  <si>
    <r>
      <t>or the E</t>
    </r>
    <r>
      <rPr>
        <u/>
        <vertAlign val="subscript"/>
        <sz val="10"/>
        <color indexed="12"/>
        <rFont val="Arial"/>
        <family val="2"/>
      </rPr>
      <t>SCA</t>
    </r>
    <r>
      <rPr>
        <u/>
        <sz val="10"/>
        <color indexed="12"/>
        <rFont val="Arial"/>
        <family val="2"/>
      </rPr>
      <t>sheet for modified practices (2)</t>
    </r>
  </si>
  <si>
    <r>
      <t>MJ</t>
    </r>
    <r>
      <rPr>
        <vertAlign val="subscript"/>
        <sz val="10"/>
        <rFont val="Arial"/>
        <family val="2"/>
      </rPr>
      <t>biogas</t>
    </r>
    <r>
      <rPr>
        <sz val="10"/>
        <rFont val="Arial"/>
      </rPr>
      <t xml:space="preserve"> / MJ</t>
    </r>
    <r>
      <rPr>
        <vertAlign val="subscript"/>
        <sz val="10"/>
        <rFont val="Arial"/>
        <family val="2"/>
      </rPr>
      <t>organic waste</t>
    </r>
  </si>
  <si>
    <r>
      <t>MJ</t>
    </r>
    <r>
      <rPr>
        <vertAlign val="subscript"/>
        <sz val="10"/>
        <rFont val="Arial"/>
        <family val="2"/>
      </rPr>
      <t>Biogas</t>
    </r>
    <r>
      <rPr>
        <sz val="10"/>
        <rFont val="Arial"/>
        <family val="2"/>
      </rPr>
      <t>/MJ</t>
    </r>
    <r>
      <rPr>
        <vertAlign val="subscript"/>
        <sz val="10"/>
        <rFont val="Arial"/>
        <family val="2"/>
      </rPr>
      <t>organic waste, input</t>
    </r>
  </si>
  <si>
    <r>
      <t>ton km / MJ</t>
    </r>
    <r>
      <rPr>
        <vertAlign val="subscript"/>
        <sz val="10"/>
        <rFont val="Arial"/>
        <family val="2"/>
      </rPr>
      <t>organic waste, input</t>
    </r>
  </si>
  <si>
    <r>
      <t>MJ</t>
    </r>
    <r>
      <rPr>
        <vertAlign val="subscript"/>
        <sz val="10"/>
        <rFont val="Arial"/>
        <family val="2"/>
      </rPr>
      <t>CNG</t>
    </r>
    <r>
      <rPr>
        <sz val="10"/>
        <rFont val="Arial"/>
      </rPr>
      <t xml:space="preserve"> / MJ</t>
    </r>
    <r>
      <rPr>
        <vertAlign val="subscript"/>
        <sz val="10"/>
        <rFont val="Arial"/>
        <family val="2"/>
      </rPr>
      <t>organic waste, input</t>
    </r>
  </si>
  <si>
    <t>Organic waste</t>
  </si>
  <si>
    <r>
      <t>MJ</t>
    </r>
    <r>
      <rPr>
        <vertAlign val="subscript"/>
        <sz val="10"/>
        <rFont val="Arial"/>
        <family val="2"/>
      </rPr>
      <t>HVO</t>
    </r>
    <r>
      <rPr>
        <sz val="10"/>
        <rFont val="Arial"/>
      </rPr>
      <t xml:space="preserve"> / MJ</t>
    </r>
    <r>
      <rPr>
        <vertAlign val="subscript"/>
        <sz val="10"/>
        <rFont val="Arial"/>
        <family val="2"/>
      </rPr>
      <t>Sunflowerseed, input</t>
    </r>
  </si>
  <si>
    <r>
      <t>kg</t>
    </r>
    <r>
      <rPr>
        <vertAlign val="subscript"/>
        <sz val="10"/>
        <rFont val="Arial"/>
        <family val="2"/>
      </rPr>
      <t>Sunflowerseed</t>
    </r>
    <r>
      <rPr>
        <sz val="10"/>
        <rFont val="Arial"/>
        <family val="2"/>
      </rPr>
      <t>/MJ</t>
    </r>
    <r>
      <rPr>
        <vertAlign val="subscript"/>
        <sz val="10"/>
        <rFont val="Arial"/>
        <family val="2"/>
      </rPr>
      <t>HVO</t>
    </r>
  </si>
  <si>
    <t>per kg manure</t>
  </si>
  <si>
    <r>
      <t>MJ</t>
    </r>
    <r>
      <rPr>
        <vertAlign val="subscript"/>
        <sz val="10"/>
        <rFont val="Arial"/>
        <family val="2"/>
      </rPr>
      <t>Biogas</t>
    </r>
    <r>
      <rPr>
        <sz val="10"/>
        <rFont val="Arial"/>
      </rPr>
      <t>/MJ</t>
    </r>
    <r>
      <rPr>
        <vertAlign val="subscript"/>
        <sz val="10"/>
        <rFont val="Arial"/>
        <family val="2"/>
      </rPr>
      <t>CNG</t>
    </r>
  </si>
  <si>
    <t>per MJ Biogas</t>
  </si>
  <si>
    <r>
      <t>per MJ CH</t>
    </r>
    <r>
      <rPr>
        <b/>
        <vertAlign val="subscript"/>
        <sz val="10"/>
        <rFont val="Arial"/>
        <family val="2"/>
      </rPr>
      <t>4</t>
    </r>
  </si>
  <si>
    <r>
      <t>MJ</t>
    </r>
    <r>
      <rPr>
        <vertAlign val="subscript"/>
        <sz val="10"/>
        <rFont val="Arial"/>
        <family val="2"/>
      </rPr>
      <t>CH4</t>
    </r>
    <r>
      <rPr>
        <sz val="10"/>
        <rFont val="Arial"/>
      </rPr>
      <t>/MJ</t>
    </r>
    <r>
      <rPr>
        <vertAlign val="subscript"/>
        <sz val="10"/>
        <rFont val="Arial"/>
        <family val="2"/>
      </rPr>
      <t>CNG</t>
    </r>
  </si>
  <si>
    <t>Factor from typical to default</t>
  </si>
  <si>
    <r>
      <t>CH</t>
    </r>
    <r>
      <rPr>
        <vertAlign val="subscript"/>
        <sz val="10"/>
        <rFont val="Verdana"/>
        <family val="2"/>
      </rPr>
      <t>4</t>
    </r>
    <r>
      <rPr>
        <sz val="10"/>
        <rFont val="Verdana"/>
        <family val="2"/>
      </rPr>
      <t xml:space="preserve"> and N</t>
    </r>
    <r>
      <rPr>
        <vertAlign val="subscript"/>
        <sz val="10"/>
        <rFont val="Verdana"/>
        <family val="2"/>
      </rPr>
      <t>2</t>
    </r>
    <r>
      <rPr>
        <sz val="10"/>
        <rFont val="Verdana"/>
        <family val="2"/>
      </rPr>
      <t>O emissions from NG gas engine</t>
    </r>
  </si>
  <si>
    <r>
      <t>CH</t>
    </r>
    <r>
      <rPr>
        <vertAlign val="subscript"/>
        <sz val="10"/>
        <rFont val="Arial"/>
        <family val="2"/>
      </rPr>
      <t>4</t>
    </r>
    <r>
      <rPr>
        <sz val="10"/>
        <rFont val="Arial"/>
        <family val="2"/>
      </rPr>
      <t xml:space="preserve"> and N</t>
    </r>
    <r>
      <rPr>
        <vertAlign val="subscript"/>
        <sz val="10"/>
        <rFont val="Arial"/>
        <family val="2"/>
      </rPr>
      <t>2</t>
    </r>
    <r>
      <rPr>
        <sz val="10"/>
        <rFont val="Arial"/>
        <family val="2"/>
      </rPr>
      <t>O emissions from NG gas engine</t>
    </r>
  </si>
  <si>
    <t>Emissions from steam production (per MJ steam or heat)</t>
  </si>
  <si>
    <r>
      <t>During our project, we found an inconsistency between the way the biofuel GHG default values (as listed in Annex V.A, V.B and V.D of the RED) have been calculated, and the methodology as listed in Annex V.C of the RED. The input provided by the JEC consortium to the Commission (from which the Commission calculated its default values) used Global Warming Potentials (GWP's) of 25 for CH</t>
    </r>
    <r>
      <rPr>
        <vertAlign val="subscript"/>
        <sz val="10"/>
        <rFont val="Arial"/>
        <family val="2"/>
      </rPr>
      <t>4</t>
    </r>
    <r>
      <rPr>
        <sz val="10"/>
        <rFont val="Arial"/>
      </rPr>
      <t xml:space="preserve"> and 298 for N</t>
    </r>
    <r>
      <rPr>
        <vertAlign val="subscript"/>
        <sz val="10"/>
        <rFont val="Arial"/>
        <family val="2"/>
      </rPr>
      <t>2</t>
    </r>
    <r>
      <rPr>
        <sz val="10"/>
        <rFont val="Arial"/>
      </rPr>
      <t>O, whereas the Annex V.C of the RED prescribes, in Article 5, that GWP's of 23 for CH</t>
    </r>
    <r>
      <rPr>
        <vertAlign val="subscript"/>
        <sz val="10"/>
        <rFont val="Arial"/>
        <family val="2"/>
      </rPr>
      <t>4</t>
    </r>
    <r>
      <rPr>
        <sz val="10"/>
        <rFont val="Arial"/>
      </rPr>
      <t xml:space="preserve"> and 296 for N</t>
    </r>
    <r>
      <rPr>
        <vertAlign val="subscript"/>
        <sz val="10"/>
        <rFont val="Arial"/>
        <family val="2"/>
      </rPr>
      <t>2</t>
    </r>
    <r>
      <rPr>
        <sz val="10"/>
        <rFont val="Arial"/>
      </rPr>
      <t xml:space="preserve">O should be used. </t>
    </r>
  </si>
  <si>
    <t>a. Calculations using the numbers that must be used following the methodology as given in Annex V.C of Directives 2009/28/EC and in Annx IV.C of Directive 2009/30/EC</t>
  </si>
  <si>
    <t>b. Calculations using the data as were delivered by the JEC consortium to the Commission. These calculations exactly reproduce the Annex V default values.</t>
  </si>
  <si>
    <t>The value shown here is 0 for option a above and 1 for option b above.</t>
  </si>
  <si>
    <r>
      <t>kg</t>
    </r>
    <r>
      <rPr>
        <vertAlign val="subscript"/>
        <sz val="10"/>
        <rFont val="Arial"/>
        <family val="2"/>
      </rPr>
      <t xml:space="preserve">FAME </t>
    </r>
    <r>
      <rPr>
        <sz val="10"/>
        <rFont val="Arial"/>
        <family val="2"/>
      </rPr>
      <t>/ MJ</t>
    </r>
    <r>
      <rPr>
        <vertAlign val="subscript"/>
        <sz val="10"/>
        <rFont val="Arial"/>
        <family val="2"/>
      </rPr>
      <t>FAME</t>
    </r>
    <r>
      <rPr>
        <vertAlign val="superscript"/>
        <sz val="10"/>
        <rFont val="Arial"/>
        <family val="2"/>
      </rPr>
      <t/>
    </r>
  </si>
  <si>
    <t>per kg oil</t>
  </si>
  <si>
    <t>Emission factor for direct emission (IPCC Tier 1)</t>
  </si>
  <si>
    <t>Emission factor for Nitrate leaching (IPCC Tier 1):</t>
  </si>
  <si>
    <r>
      <t>N</t>
    </r>
    <r>
      <rPr>
        <vertAlign val="subscript"/>
        <sz val="10"/>
        <rFont val="Arial"/>
        <family val="2"/>
      </rPr>
      <t>2</t>
    </r>
    <r>
      <rPr>
        <sz val="10"/>
        <rFont val="Arial"/>
        <family val="2"/>
      </rPr>
      <t>O(ATD)-N</t>
    </r>
  </si>
  <si>
    <r>
      <t>N</t>
    </r>
    <r>
      <rPr>
        <vertAlign val="subscript"/>
        <sz val="10"/>
        <rFont val="Arial"/>
        <family val="2"/>
      </rPr>
      <t>2</t>
    </r>
    <r>
      <rPr>
        <sz val="10"/>
        <rFont val="Arial"/>
        <family val="2"/>
      </rPr>
      <t>O(L)-N</t>
    </r>
  </si>
  <si>
    <r>
      <t>Quantity of NH</t>
    </r>
    <r>
      <rPr>
        <vertAlign val="subscript"/>
        <sz val="10"/>
        <rFont val="Arial"/>
        <family val="2"/>
      </rPr>
      <t>3</t>
    </r>
    <r>
      <rPr>
        <sz val="10"/>
        <rFont val="Arial"/>
        <family val="2"/>
      </rPr>
      <t xml:space="preserve"> volatilized(IPCC Tier 1): </t>
    </r>
  </si>
  <si>
    <t>Quantity of nitrate leaching (IPCC Tier 1):</t>
  </si>
  <si>
    <r>
      <t>NO</t>
    </r>
    <r>
      <rPr>
        <b/>
        <vertAlign val="subscript"/>
        <sz val="10"/>
        <rFont val="Arial"/>
        <family val="2"/>
      </rPr>
      <t>3</t>
    </r>
  </si>
  <si>
    <r>
      <t>NH</t>
    </r>
    <r>
      <rPr>
        <vertAlign val="subscript"/>
        <sz val="10"/>
        <rFont val="Arial"/>
        <family val="2"/>
      </rPr>
      <t>3</t>
    </r>
    <r>
      <rPr>
        <sz val="10"/>
        <rFont val="Arial"/>
        <family val="2"/>
      </rPr>
      <t>_N (kg)</t>
    </r>
  </si>
  <si>
    <r>
      <t>NO</t>
    </r>
    <r>
      <rPr>
        <vertAlign val="subscript"/>
        <sz val="10"/>
        <rFont val="Arial"/>
        <family val="2"/>
      </rPr>
      <t>3</t>
    </r>
    <r>
      <rPr>
        <sz val="10"/>
        <rFont val="Arial"/>
        <family val="2"/>
      </rPr>
      <t>_N (kg)</t>
    </r>
  </si>
  <si>
    <t>new crop1</t>
  </si>
  <si>
    <t>new crop2</t>
  </si>
  <si>
    <t>sources</t>
  </si>
  <si>
    <t>New crop1</t>
  </si>
  <si>
    <t>new crop3</t>
  </si>
  <si>
    <t>new crop4</t>
  </si>
  <si>
    <t>New crop2</t>
  </si>
  <si>
    <t>New crop3</t>
  </si>
  <si>
    <t>New crop4</t>
  </si>
  <si>
    <r>
      <t>TOTAL Direct N</t>
    </r>
    <r>
      <rPr>
        <b/>
        <vertAlign val="subscript"/>
        <sz val="10"/>
        <rFont val="Arial"/>
        <family val="2"/>
      </rPr>
      <t>2</t>
    </r>
    <r>
      <rPr>
        <b/>
        <sz val="10"/>
        <rFont val="Arial"/>
        <family val="2"/>
      </rPr>
      <t xml:space="preserve">O Emissions : </t>
    </r>
  </si>
  <si>
    <r>
      <t>Indirect N</t>
    </r>
    <r>
      <rPr>
        <b/>
        <vertAlign val="subscript"/>
        <sz val="12"/>
        <color indexed="19"/>
        <rFont val="Arial"/>
        <family val="2"/>
      </rPr>
      <t>2</t>
    </r>
    <r>
      <rPr>
        <b/>
        <sz val="12"/>
        <color indexed="19"/>
        <rFont val="Arial"/>
        <family val="2"/>
      </rPr>
      <t>O emissions from managed soils (Tier1)</t>
    </r>
  </si>
  <si>
    <t>per kg dm</t>
  </si>
  <si>
    <t>per MJ of crop</t>
  </si>
  <si>
    <t>Table 1 : Crops covered in this tool</t>
  </si>
  <si>
    <t>Table 2</t>
  </si>
  <si>
    <t>Table 3</t>
  </si>
  <si>
    <t>Table 4</t>
  </si>
  <si>
    <r>
      <t xml:space="preserve">Data for 7 crops are available in this tool. </t>
    </r>
    <r>
      <rPr>
        <u/>
        <sz val="10"/>
        <rFont val="Arial"/>
        <family val="2"/>
      </rPr>
      <t>Please note that you can add crops by filling table 1 and table 4.</t>
    </r>
  </si>
  <si>
    <t>Eq 11.8</t>
  </si>
  <si>
    <t>Please, calculate this value by using the LUC sheet</t>
  </si>
  <si>
    <t xml:space="preserve">What type of land use change is it ? </t>
  </si>
  <si>
    <t>Forest to arable</t>
  </si>
  <si>
    <t>Undetermined</t>
  </si>
  <si>
    <t>Meadow to arable</t>
  </si>
  <si>
    <t>Specific information in case of Land Use Change or modified management practices</t>
  </si>
  <si>
    <t>Arable to arable land</t>
  </si>
  <si>
    <t>Other</t>
  </si>
  <si>
    <t>The soil organic carbon per unit area associated with the reference agricultural management practices (measured as mass of carbon per unit area, including both soil and vegetation) [ton C / ha]</t>
  </si>
  <si>
    <r>
      <t>K</t>
    </r>
    <r>
      <rPr>
        <vertAlign val="subscript"/>
        <sz val="10"/>
        <rFont val="Arial"/>
        <family val="2"/>
      </rPr>
      <t>2</t>
    </r>
    <r>
      <rPr>
        <sz val="10"/>
        <rFont val="Arial"/>
      </rPr>
      <t>SO</t>
    </r>
    <r>
      <rPr>
        <vertAlign val="subscript"/>
        <sz val="10"/>
        <rFont val="Arial"/>
        <family val="2"/>
      </rPr>
      <t>4</t>
    </r>
    <r>
      <rPr>
        <sz val="10"/>
        <rFont val="Arial"/>
      </rPr>
      <t xml:space="preserve"> is an output, no credit is taken into account</t>
    </r>
  </si>
  <si>
    <t>HFO for maritime transport</t>
  </si>
  <si>
    <t>Electricity (Straw ST)</t>
  </si>
  <si>
    <t>Macro's are disabled</t>
  </si>
  <si>
    <t>Definitions (taken from the Commission Decision and/or the Directive)</t>
  </si>
  <si>
    <r>
      <t>CS</t>
    </r>
    <r>
      <rPr>
        <vertAlign val="subscript"/>
        <sz val="10"/>
        <rFont val="Arial"/>
        <family val="2"/>
      </rPr>
      <t>R</t>
    </r>
  </si>
  <si>
    <t xml:space="preserve">: </t>
  </si>
  <si>
    <r>
      <t>CS</t>
    </r>
    <r>
      <rPr>
        <vertAlign val="subscript"/>
        <sz val="10"/>
        <rFont val="Arial"/>
        <family val="2"/>
      </rPr>
      <t>A</t>
    </r>
  </si>
  <si>
    <t xml:space="preserve">  or when the crop reaches maturity, whichever the earlier.</t>
  </si>
  <si>
    <t xml:space="preserve">Reference land use </t>
  </si>
  <si>
    <t>:</t>
  </si>
  <si>
    <t>per kg rapeseed</t>
  </si>
  <si>
    <r>
      <t>MJ</t>
    </r>
    <r>
      <rPr>
        <sz val="10"/>
        <rFont val="Arial"/>
      </rPr>
      <t xml:space="preserve"> / MJ</t>
    </r>
    <r>
      <rPr>
        <vertAlign val="subscript"/>
        <sz val="10"/>
        <rFont val="Arial"/>
        <family val="2"/>
      </rPr>
      <t>Rapeseed</t>
    </r>
  </si>
  <si>
    <t>Extraction of oil</t>
  </si>
  <si>
    <t>Rapeseed oil</t>
  </si>
  <si>
    <t>Chemicals</t>
  </si>
  <si>
    <t>Refining of vegetable oil</t>
  </si>
  <si>
    <r>
      <t>MJ</t>
    </r>
    <r>
      <rPr>
        <vertAlign val="subscript"/>
        <sz val="10"/>
        <rFont val="Arial"/>
        <family val="2"/>
      </rPr>
      <t>Oil</t>
    </r>
    <r>
      <rPr>
        <sz val="10"/>
        <rFont val="Arial"/>
      </rPr>
      <t xml:space="preserve"> / MJ</t>
    </r>
    <r>
      <rPr>
        <vertAlign val="subscript"/>
        <sz val="10"/>
        <rFont val="Arial"/>
        <family val="2"/>
      </rPr>
      <t>Rapeseed</t>
    </r>
  </si>
  <si>
    <r>
      <t>MJ / MJ</t>
    </r>
    <r>
      <rPr>
        <vertAlign val="subscript"/>
        <sz val="10"/>
        <rFont val="Arial"/>
        <family val="2"/>
      </rPr>
      <t>Oil</t>
    </r>
  </si>
  <si>
    <r>
      <t>MJ</t>
    </r>
    <r>
      <rPr>
        <vertAlign val="subscript"/>
        <sz val="10"/>
        <rFont val="Arial"/>
        <family val="2"/>
      </rPr>
      <t>Oil</t>
    </r>
    <r>
      <rPr>
        <sz val="10"/>
        <rFont val="Arial"/>
      </rPr>
      <t xml:space="preserve"> / MJ</t>
    </r>
    <r>
      <rPr>
        <vertAlign val="subscript"/>
        <sz val="10"/>
        <rFont val="Arial"/>
        <family val="2"/>
      </rPr>
      <t>Oil</t>
    </r>
  </si>
  <si>
    <r>
      <t>kg / MJ</t>
    </r>
    <r>
      <rPr>
        <vertAlign val="subscript"/>
        <sz val="10"/>
        <rFont val="Arial"/>
        <family val="2"/>
      </rPr>
      <t>Oil</t>
    </r>
  </si>
  <si>
    <t>Esterification</t>
  </si>
  <si>
    <r>
      <t>Sodium carbonate (Na</t>
    </r>
    <r>
      <rPr>
        <vertAlign val="subscript"/>
        <sz val="10"/>
        <rFont val="Arial"/>
        <family val="2"/>
      </rPr>
      <t>2</t>
    </r>
    <r>
      <rPr>
        <sz val="10"/>
        <rFont val="Arial"/>
        <family val="2"/>
      </rPr>
      <t>CO</t>
    </r>
    <r>
      <rPr>
        <vertAlign val="subscript"/>
        <sz val="10"/>
        <rFont val="Arial"/>
        <family val="2"/>
      </rPr>
      <t>3</t>
    </r>
    <r>
      <rPr>
        <sz val="10"/>
        <rFont val="Arial"/>
        <family val="2"/>
      </rPr>
      <t>)</t>
    </r>
  </si>
  <si>
    <r>
      <t>MJ</t>
    </r>
    <r>
      <rPr>
        <vertAlign val="subscript"/>
        <sz val="10"/>
        <rFont val="Arial"/>
        <family val="2"/>
      </rPr>
      <t>FAME</t>
    </r>
    <r>
      <rPr>
        <sz val="10"/>
        <rFont val="Arial"/>
      </rPr>
      <t xml:space="preserve"> / MJ</t>
    </r>
    <r>
      <rPr>
        <vertAlign val="subscript"/>
        <sz val="10"/>
        <rFont val="Arial"/>
        <family val="2"/>
      </rPr>
      <t>Oil</t>
    </r>
  </si>
  <si>
    <t>kg / ton FAME</t>
  </si>
  <si>
    <r>
      <t>MJ / MJ</t>
    </r>
    <r>
      <rPr>
        <vertAlign val="subscript"/>
        <sz val="10"/>
        <rFont val="Arial"/>
        <family val="2"/>
      </rPr>
      <t>FAME</t>
    </r>
  </si>
  <si>
    <r>
      <t>kg / MJ</t>
    </r>
    <r>
      <rPr>
        <vertAlign val="subscript"/>
        <sz val="10"/>
        <rFont val="Arial"/>
        <family val="2"/>
      </rPr>
      <t>FAME</t>
    </r>
  </si>
  <si>
    <r>
      <t>MJ</t>
    </r>
    <r>
      <rPr>
        <vertAlign val="subscript"/>
        <sz val="10"/>
        <rFont val="Arial"/>
        <family val="2"/>
      </rPr>
      <t>FAME</t>
    </r>
    <r>
      <rPr>
        <sz val="10"/>
        <rFont val="Arial"/>
      </rPr>
      <t xml:space="preserve"> / MJ</t>
    </r>
    <r>
      <rPr>
        <vertAlign val="subscript"/>
        <sz val="10"/>
        <rFont val="Arial"/>
        <family val="2"/>
      </rPr>
      <t>FAME</t>
    </r>
  </si>
  <si>
    <r>
      <t>MJ</t>
    </r>
    <r>
      <rPr>
        <vertAlign val="subscript"/>
        <sz val="10"/>
        <rFont val="Arial"/>
        <family val="2"/>
      </rPr>
      <t>Oil</t>
    </r>
    <r>
      <rPr>
        <sz val="10"/>
        <rFont val="Arial"/>
        <family val="2"/>
      </rPr>
      <t xml:space="preserve"> ha</t>
    </r>
    <r>
      <rPr>
        <vertAlign val="superscript"/>
        <sz val="10"/>
        <rFont val="Arial"/>
        <family val="2"/>
      </rPr>
      <t>-1</t>
    </r>
    <r>
      <rPr>
        <sz val="10"/>
        <rFont val="Arial"/>
        <family val="2"/>
      </rPr>
      <t xml:space="preserve"> year</t>
    </r>
    <r>
      <rPr>
        <vertAlign val="superscript"/>
        <sz val="10"/>
        <rFont val="Arial"/>
        <family val="2"/>
      </rPr>
      <t>-1</t>
    </r>
  </si>
  <si>
    <r>
      <t>MJ</t>
    </r>
    <r>
      <rPr>
        <vertAlign val="subscript"/>
        <sz val="10"/>
        <rFont val="Arial"/>
        <family val="2"/>
      </rPr>
      <t>FAME</t>
    </r>
    <r>
      <rPr>
        <sz val="10"/>
        <rFont val="Arial"/>
        <family val="2"/>
      </rPr>
      <t xml:space="preserve"> ha</t>
    </r>
    <r>
      <rPr>
        <vertAlign val="superscript"/>
        <sz val="10"/>
        <rFont val="Arial"/>
        <family val="2"/>
      </rPr>
      <t>-1</t>
    </r>
    <r>
      <rPr>
        <sz val="10"/>
        <rFont val="Arial"/>
        <family val="2"/>
      </rPr>
      <t xml:space="preserve"> year</t>
    </r>
    <r>
      <rPr>
        <vertAlign val="superscript"/>
        <sz val="10"/>
        <rFont val="Arial"/>
        <family val="2"/>
      </rPr>
      <t>-1</t>
    </r>
  </si>
  <si>
    <r>
      <t>MJ</t>
    </r>
    <r>
      <rPr>
        <vertAlign val="subscript"/>
        <sz val="10"/>
        <rFont val="Arial"/>
        <family val="2"/>
      </rPr>
      <t>Ethanol</t>
    </r>
    <r>
      <rPr>
        <sz val="10"/>
        <rFont val="Arial"/>
      </rPr>
      <t xml:space="preserve"> / MJ</t>
    </r>
    <r>
      <rPr>
        <vertAlign val="subscript"/>
        <sz val="10"/>
        <rFont val="Arial"/>
        <family val="2"/>
      </rPr>
      <t>Wheat, input</t>
    </r>
  </si>
  <si>
    <r>
      <t>MJ</t>
    </r>
    <r>
      <rPr>
        <vertAlign val="subscript"/>
        <sz val="10"/>
        <rFont val="Arial"/>
        <family val="2"/>
      </rPr>
      <t>FAME</t>
    </r>
    <r>
      <rPr>
        <sz val="10"/>
        <rFont val="Arial"/>
      </rPr>
      <t xml:space="preserve"> / MJ</t>
    </r>
    <r>
      <rPr>
        <vertAlign val="subscript"/>
        <sz val="10"/>
        <rFont val="Arial"/>
        <family val="2"/>
      </rPr>
      <t>Rapeseed, input</t>
    </r>
  </si>
  <si>
    <t>Rapeseed cake</t>
  </si>
  <si>
    <t>Energy content (based on 1 MJ)</t>
  </si>
  <si>
    <t>to Rapeseed oil</t>
  </si>
  <si>
    <t>to Rapeseed cake</t>
  </si>
  <si>
    <t>to FAME</t>
  </si>
  <si>
    <t>Energy content (0,1056 ton)</t>
  </si>
  <si>
    <r>
      <t>Field N</t>
    </r>
    <r>
      <rPr>
        <vertAlign val="subscript"/>
        <sz val="10"/>
        <color indexed="18"/>
        <rFont val="Arial"/>
        <family val="2"/>
      </rPr>
      <t>2</t>
    </r>
    <r>
      <rPr>
        <sz val="10"/>
        <color indexed="18"/>
        <rFont val="Arial"/>
        <family val="2"/>
      </rPr>
      <t>O emissions can be calculated in the sheet</t>
    </r>
  </si>
  <si>
    <t>N2O emissions IPCC</t>
  </si>
  <si>
    <r>
      <t>MJ</t>
    </r>
    <r>
      <rPr>
        <vertAlign val="subscript"/>
        <sz val="10"/>
        <rFont val="Arial"/>
        <family val="2"/>
      </rPr>
      <t>Rapeseed cake</t>
    </r>
    <r>
      <rPr>
        <sz val="10"/>
        <rFont val="Arial"/>
      </rPr>
      <t xml:space="preserve"> / MJ</t>
    </r>
    <r>
      <rPr>
        <vertAlign val="subscript"/>
        <sz val="10"/>
        <rFont val="Arial"/>
        <family val="2"/>
      </rPr>
      <t>Rapeseed</t>
    </r>
  </si>
  <si>
    <r>
      <t>E</t>
    </r>
    <r>
      <rPr>
        <sz val="10"/>
        <rFont val="Arial"/>
        <family val="2"/>
      </rPr>
      <t>missions up to and including this process step:</t>
    </r>
  </si>
  <si>
    <t>HVO</t>
  </si>
  <si>
    <r>
      <t>MJ</t>
    </r>
    <r>
      <rPr>
        <vertAlign val="subscript"/>
        <sz val="10"/>
        <rFont val="Arial"/>
        <family val="2"/>
      </rPr>
      <t>HVO</t>
    </r>
    <r>
      <rPr>
        <sz val="10"/>
        <rFont val="Arial"/>
      </rPr>
      <t xml:space="preserve"> / MJ</t>
    </r>
    <r>
      <rPr>
        <vertAlign val="subscript"/>
        <sz val="10"/>
        <rFont val="Arial"/>
        <family val="2"/>
      </rPr>
      <t>HVO</t>
    </r>
  </si>
  <si>
    <r>
      <t>MJ</t>
    </r>
    <r>
      <rPr>
        <sz val="10"/>
        <rFont val="Arial"/>
      </rPr>
      <t xml:space="preserve"> / MJ</t>
    </r>
    <r>
      <rPr>
        <vertAlign val="subscript"/>
        <sz val="10"/>
        <rFont val="Arial"/>
        <family val="2"/>
      </rPr>
      <t>HVO</t>
    </r>
  </si>
  <si>
    <r>
      <t>MJ</t>
    </r>
    <r>
      <rPr>
        <vertAlign val="subscript"/>
        <sz val="10"/>
        <rFont val="Arial"/>
        <family val="2"/>
      </rPr>
      <t>HVO</t>
    </r>
    <r>
      <rPr>
        <sz val="10"/>
        <rFont val="Arial"/>
        <family val="2"/>
      </rPr>
      <t xml:space="preserve"> ha</t>
    </r>
    <r>
      <rPr>
        <vertAlign val="superscript"/>
        <sz val="10"/>
        <rFont val="Arial"/>
        <family val="2"/>
      </rPr>
      <t>-1</t>
    </r>
    <r>
      <rPr>
        <sz val="10"/>
        <rFont val="Arial"/>
        <family val="2"/>
      </rPr>
      <t xml:space="preserve"> year</t>
    </r>
    <r>
      <rPr>
        <vertAlign val="superscript"/>
        <sz val="10"/>
        <rFont val="Arial"/>
        <family val="2"/>
      </rPr>
      <t>-1</t>
    </r>
  </si>
  <si>
    <r>
      <t>g CO</t>
    </r>
    <r>
      <rPr>
        <vertAlign val="subscript"/>
        <sz val="10"/>
        <rFont val="Arial"/>
        <family val="2"/>
      </rPr>
      <t>2,eq</t>
    </r>
    <r>
      <rPr>
        <sz val="10"/>
        <rFont val="Arial"/>
        <family val="2"/>
      </rPr>
      <t xml:space="preserve"> / MJ</t>
    </r>
    <r>
      <rPr>
        <vertAlign val="subscript"/>
        <sz val="10"/>
        <rFont val="Arial"/>
        <family val="2"/>
      </rPr>
      <t>FAME</t>
    </r>
  </si>
  <si>
    <r>
      <t>g CO</t>
    </r>
    <r>
      <rPr>
        <vertAlign val="subscript"/>
        <sz val="10"/>
        <rFont val="Arial"/>
        <family val="2"/>
      </rPr>
      <t>2,eq</t>
    </r>
    <r>
      <rPr>
        <sz val="10"/>
        <rFont val="Arial"/>
        <family val="2"/>
      </rPr>
      <t xml:space="preserve"> / MJ</t>
    </r>
    <r>
      <rPr>
        <vertAlign val="subscript"/>
        <sz val="10"/>
        <rFont val="Arial"/>
        <family val="2"/>
      </rPr>
      <t>HVO</t>
    </r>
  </si>
  <si>
    <t>Emissions per MJ HVO</t>
  </si>
  <si>
    <r>
      <t>g CO</t>
    </r>
    <r>
      <rPr>
        <b/>
        <vertAlign val="subscript"/>
        <sz val="10"/>
        <color indexed="9"/>
        <rFont val="Arial"/>
        <family val="2"/>
      </rPr>
      <t>2,eq</t>
    </r>
    <r>
      <rPr>
        <b/>
        <sz val="10"/>
        <color indexed="9"/>
        <rFont val="Arial"/>
        <family val="2"/>
      </rPr>
      <t xml:space="preserve"> / MJ</t>
    </r>
    <r>
      <rPr>
        <b/>
        <vertAlign val="subscript"/>
        <sz val="10"/>
        <color indexed="9"/>
        <rFont val="Arial"/>
        <family val="2"/>
      </rPr>
      <t>HVO</t>
    </r>
  </si>
  <si>
    <t>Steam (from CHP)</t>
  </si>
  <si>
    <r>
      <t>MJ</t>
    </r>
    <r>
      <rPr>
        <vertAlign val="subscript"/>
        <sz val="10"/>
        <rFont val="Arial"/>
        <family val="2"/>
      </rPr>
      <t>HVO</t>
    </r>
    <r>
      <rPr>
        <sz val="10"/>
        <rFont val="Arial"/>
      </rPr>
      <t xml:space="preserve"> / MJ</t>
    </r>
    <r>
      <rPr>
        <vertAlign val="subscript"/>
        <sz val="10"/>
        <rFont val="Arial"/>
        <family val="2"/>
      </rPr>
      <t>Rapeseed, input</t>
    </r>
  </si>
  <si>
    <t>Fatty Acid Methyl Esters</t>
  </si>
  <si>
    <t>Example 1 (diesel from standard values)</t>
  </si>
  <si>
    <t>Example 2 (methanol from standard values)</t>
  </si>
  <si>
    <t>Directory of pathways</t>
  </si>
  <si>
    <t>PVO</t>
  </si>
  <si>
    <t>Pure Vegetable Oil</t>
  </si>
  <si>
    <t>Abbreviations and definitions</t>
  </si>
  <si>
    <t>Production of Pure Vegetable Oil from Rapeseed (steam from natural gas boiler)</t>
  </si>
  <si>
    <t>Production of Biogas from wet manure as CNG</t>
  </si>
  <si>
    <t>Production of Biogas from dry manure as CNG</t>
  </si>
  <si>
    <r>
      <t>MJ</t>
    </r>
    <r>
      <rPr>
        <vertAlign val="subscript"/>
        <sz val="10"/>
        <rFont val="Arial"/>
        <family val="2"/>
      </rPr>
      <t>Biogas</t>
    </r>
    <r>
      <rPr>
        <sz val="10"/>
        <rFont val="Arial"/>
        <family val="2"/>
      </rPr>
      <t>/MJ</t>
    </r>
    <r>
      <rPr>
        <vertAlign val="subscript"/>
        <sz val="10"/>
        <rFont val="Arial"/>
        <family val="2"/>
      </rPr>
      <t>dry manure, input</t>
    </r>
  </si>
  <si>
    <t>Collection of dry manure</t>
  </si>
  <si>
    <r>
      <t>MJ</t>
    </r>
    <r>
      <rPr>
        <vertAlign val="subscript"/>
        <sz val="10"/>
        <rFont val="Arial"/>
        <family val="2"/>
      </rPr>
      <t>dry manure</t>
    </r>
    <r>
      <rPr>
        <sz val="10"/>
        <rFont val="Arial"/>
      </rPr>
      <t xml:space="preserve"> / MJ</t>
    </r>
    <r>
      <rPr>
        <vertAlign val="subscript"/>
        <sz val="10"/>
        <rFont val="Arial"/>
        <family val="2"/>
      </rPr>
      <t>dry manure</t>
    </r>
  </si>
  <si>
    <t>Input factor reflecting the difference in soil organic carbon associated with different levels of carbon input to soil compared to the standard soil organic carbon [-]</t>
  </si>
  <si>
    <t>Vegetation/crop (land use)</t>
  </si>
  <si>
    <t>Ecological zone (if relevant)</t>
  </si>
  <si>
    <t>Continent (if relevant)</t>
  </si>
  <si>
    <t>Look up in Tables 2 - 8 of Commission Decision</t>
  </si>
  <si>
    <t>Share</t>
  </si>
  <si>
    <t>Water channels</t>
  </si>
  <si>
    <t xml:space="preserve">Export terminal </t>
  </si>
  <si>
    <t>Import terminal</t>
  </si>
  <si>
    <t>Depot inland</t>
  </si>
  <si>
    <t>Sunflower</t>
  </si>
  <si>
    <t>Cultivation of sunflower</t>
  </si>
  <si>
    <t>Sunflowerseed drying</t>
  </si>
  <si>
    <t>Sunflower oil</t>
  </si>
  <si>
    <r>
      <t>MJ</t>
    </r>
    <r>
      <rPr>
        <vertAlign val="subscript"/>
        <sz val="10"/>
        <rFont val="Arial"/>
        <family val="2"/>
      </rPr>
      <t>Oil</t>
    </r>
    <r>
      <rPr>
        <sz val="10"/>
        <rFont val="Arial"/>
      </rPr>
      <t xml:space="preserve"> / MJ</t>
    </r>
    <r>
      <rPr>
        <vertAlign val="subscript"/>
        <sz val="10"/>
        <rFont val="Arial"/>
        <family val="2"/>
      </rPr>
      <t>Sunflowerseed</t>
    </r>
  </si>
  <si>
    <r>
      <t>MJ</t>
    </r>
    <r>
      <rPr>
        <vertAlign val="subscript"/>
        <sz val="10"/>
        <rFont val="Arial"/>
        <family val="2"/>
      </rPr>
      <t>Sunflowerseed cake</t>
    </r>
    <r>
      <rPr>
        <sz val="10"/>
        <rFont val="Arial"/>
      </rPr>
      <t xml:space="preserve"> / MJ</t>
    </r>
    <r>
      <rPr>
        <vertAlign val="subscript"/>
        <sz val="10"/>
        <rFont val="Arial"/>
        <family val="2"/>
      </rPr>
      <t>Sunflowerseed</t>
    </r>
  </si>
  <si>
    <r>
      <t>MJ / MJ</t>
    </r>
    <r>
      <rPr>
        <vertAlign val="subscript"/>
        <sz val="10"/>
        <rFont val="Arial"/>
        <family val="2"/>
      </rPr>
      <t>Sunflowerseed, input</t>
    </r>
  </si>
  <si>
    <r>
      <t>MJ</t>
    </r>
    <r>
      <rPr>
        <vertAlign val="subscript"/>
        <sz val="10"/>
        <rFont val="Arial"/>
        <family val="2"/>
      </rPr>
      <t>Sunflowerseed</t>
    </r>
    <r>
      <rPr>
        <sz val="10"/>
        <rFont val="Arial"/>
        <family val="2"/>
      </rPr>
      <t xml:space="preserve"> ha</t>
    </r>
    <r>
      <rPr>
        <vertAlign val="superscript"/>
        <sz val="10"/>
        <rFont val="Arial"/>
        <family val="2"/>
      </rPr>
      <t>-1</t>
    </r>
    <r>
      <rPr>
        <sz val="10"/>
        <rFont val="Arial"/>
        <family val="2"/>
      </rPr>
      <t xml:space="preserve"> year</t>
    </r>
    <r>
      <rPr>
        <vertAlign val="superscript"/>
        <sz val="10"/>
        <rFont val="Arial"/>
        <family val="2"/>
      </rPr>
      <t>-1</t>
    </r>
  </si>
  <si>
    <r>
      <t>kg</t>
    </r>
    <r>
      <rPr>
        <vertAlign val="subscript"/>
        <sz val="10"/>
        <rFont val="Arial"/>
        <family val="2"/>
      </rPr>
      <t>Sunflowerseed</t>
    </r>
    <r>
      <rPr>
        <sz val="10"/>
        <rFont val="Arial"/>
        <family val="2"/>
      </rPr>
      <t>/MJ</t>
    </r>
    <r>
      <rPr>
        <vertAlign val="subscript"/>
        <sz val="10"/>
        <rFont val="Arial"/>
        <family val="2"/>
      </rPr>
      <t>FAME</t>
    </r>
  </si>
  <si>
    <r>
      <t>MJ</t>
    </r>
    <r>
      <rPr>
        <vertAlign val="subscript"/>
        <sz val="10"/>
        <rFont val="Arial"/>
        <family val="2"/>
      </rPr>
      <t>Sunflowerseeed</t>
    </r>
    <r>
      <rPr>
        <sz val="10"/>
        <rFont val="Arial"/>
        <family val="2"/>
      </rPr>
      <t xml:space="preserve"> ha</t>
    </r>
    <r>
      <rPr>
        <vertAlign val="superscript"/>
        <sz val="10"/>
        <rFont val="Arial"/>
        <family val="2"/>
      </rPr>
      <t>-1</t>
    </r>
    <r>
      <rPr>
        <sz val="10"/>
        <rFont val="Arial"/>
        <family val="2"/>
      </rPr>
      <t xml:space="preserve"> year</t>
    </r>
    <r>
      <rPr>
        <vertAlign val="superscript"/>
        <sz val="10"/>
        <rFont val="Arial"/>
        <family val="2"/>
      </rPr>
      <t>-1</t>
    </r>
  </si>
  <si>
    <r>
      <t>ton km / MJ</t>
    </r>
    <r>
      <rPr>
        <vertAlign val="subscript"/>
        <sz val="10"/>
        <rFont val="Arial"/>
        <family val="2"/>
      </rPr>
      <t>Sunflowerseed, input</t>
    </r>
  </si>
  <si>
    <r>
      <t>MJ</t>
    </r>
    <r>
      <rPr>
        <vertAlign val="subscript"/>
        <sz val="10"/>
        <rFont val="Arial"/>
        <family val="2"/>
      </rPr>
      <t>FAME</t>
    </r>
    <r>
      <rPr>
        <sz val="10"/>
        <rFont val="Arial"/>
      </rPr>
      <t xml:space="preserve"> / MJ</t>
    </r>
    <r>
      <rPr>
        <vertAlign val="subscript"/>
        <sz val="10"/>
        <rFont val="Arial"/>
        <family val="2"/>
      </rPr>
      <t>Sunflowerseed, input</t>
    </r>
  </si>
  <si>
    <r>
      <t>MJ</t>
    </r>
    <r>
      <rPr>
        <vertAlign val="subscript"/>
        <sz val="10"/>
        <rFont val="Arial"/>
        <family val="2"/>
      </rPr>
      <t>Sunflowerseed</t>
    </r>
    <r>
      <rPr>
        <sz val="10"/>
        <rFont val="Arial"/>
      </rPr>
      <t xml:space="preserve"> / MJ</t>
    </r>
    <r>
      <rPr>
        <vertAlign val="subscript"/>
        <sz val="10"/>
        <rFont val="Arial"/>
        <family val="2"/>
      </rPr>
      <t>Sunflowerseed</t>
    </r>
  </si>
  <si>
    <t>per kg sunflowerseed</t>
  </si>
  <si>
    <t>CNG from biogas from wet manure</t>
  </si>
  <si>
    <t>CNG</t>
  </si>
  <si>
    <t>Compressed Natural Gas</t>
  </si>
  <si>
    <t>No GHG emissions or fossil energy input because it is a residue</t>
  </si>
  <si>
    <r>
      <t>MJ / MJ</t>
    </r>
    <r>
      <rPr>
        <vertAlign val="subscript"/>
        <sz val="10"/>
        <rFont val="Arial"/>
        <family val="2"/>
      </rPr>
      <t>Sunflowerseed</t>
    </r>
  </si>
  <si>
    <t>Sunflower cake</t>
  </si>
  <si>
    <t>to Sunflower oil</t>
  </si>
  <si>
    <t xml:space="preserve"> or the stock when the crop reaches maturity, whichever the earlier. These calculation rules are already taken into account in this sheet for the default calculation.</t>
  </si>
  <si>
    <t/>
  </si>
  <si>
    <r>
      <t>Bonus  or  e</t>
    </r>
    <r>
      <rPr>
        <b/>
        <vertAlign val="subscript"/>
        <sz val="12"/>
        <color indexed="9"/>
        <rFont val="Arial"/>
        <family val="2"/>
      </rPr>
      <t>sca</t>
    </r>
  </si>
  <si>
    <r>
      <t>e</t>
    </r>
    <r>
      <rPr>
        <b/>
        <vertAlign val="subscript"/>
        <sz val="12"/>
        <color indexed="9"/>
        <rFont val="Arial"/>
        <family val="2"/>
      </rPr>
      <t>ccr</t>
    </r>
    <r>
      <rPr>
        <b/>
        <sz val="12"/>
        <color indexed="9"/>
        <rFont val="Arial"/>
        <family val="2"/>
      </rPr>
      <t xml:space="preserve"> + e</t>
    </r>
    <r>
      <rPr>
        <b/>
        <vertAlign val="subscript"/>
        <sz val="12"/>
        <color indexed="9"/>
        <rFont val="Arial"/>
        <family val="2"/>
      </rPr>
      <t>ccs</t>
    </r>
  </si>
  <si>
    <t>(Official Journal of the European Union, 17.6.2010, L151/19), which is further referred to as "the Commission Decision".</t>
  </si>
  <si>
    <t>The carbon stock per unit area associated with the reference land use (measured as mass of carbon per unit area, including both soil and vegetation) [ton C / ha]</t>
  </si>
  <si>
    <t>The carbon stock per unit area associated with the actual land use (measured as mass of carbon per unit area, including both soil and vegetation) [ton C / ha]</t>
  </si>
  <si>
    <t>NG Boiler</t>
  </si>
  <si>
    <t>Lignite CHP</t>
  </si>
  <si>
    <t>Natural Gas CHP</t>
  </si>
  <si>
    <r>
      <t>CH</t>
    </r>
    <r>
      <rPr>
        <vertAlign val="subscript"/>
        <sz val="10"/>
        <rFont val="Arial"/>
        <family val="2"/>
      </rPr>
      <t>4</t>
    </r>
    <r>
      <rPr>
        <sz val="10"/>
        <rFont val="Arial"/>
        <family val="2"/>
      </rPr>
      <t xml:space="preserve"> and N</t>
    </r>
    <r>
      <rPr>
        <vertAlign val="subscript"/>
        <sz val="10"/>
        <rFont val="Arial"/>
        <family val="2"/>
      </rPr>
      <t>2</t>
    </r>
    <r>
      <rPr>
        <sz val="10"/>
        <rFont val="Arial"/>
        <family val="2"/>
      </rPr>
      <t>O emissions from NG CHP</t>
    </r>
  </si>
  <si>
    <t>NG input per MJ steam</t>
  </si>
  <si>
    <t>Straw input per MJ steam</t>
  </si>
  <si>
    <t>Data sources</t>
  </si>
  <si>
    <t>The numbers that companies in the biofuel production chain (farmers, transport organisations, traders, biofuel producers) can influence and measure.</t>
  </si>
  <si>
    <t>Cultivation of rapeseed</t>
  </si>
  <si>
    <t xml:space="preserve"> n/a </t>
  </si>
  <si>
    <r>
      <t>MJ</t>
    </r>
    <r>
      <rPr>
        <vertAlign val="subscript"/>
        <sz val="10"/>
        <rFont val="Arial"/>
        <family val="2"/>
      </rPr>
      <t>Rapeseeed</t>
    </r>
    <r>
      <rPr>
        <sz val="10"/>
        <rFont val="Arial"/>
        <family val="2"/>
      </rPr>
      <t xml:space="preserve"> ha</t>
    </r>
    <r>
      <rPr>
        <vertAlign val="superscript"/>
        <sz val="10"/>
        <rFont val="Arial"/>
        <family val="2"/>
      </rPr>
      <t>-1</t>
    </r>
    <r>
      <rPr>
        <sz val="10"/>
        <rFont val="Arial"/>
        <family val="2"/>
      </rPr>
      <t xml:space="preserve"> year</t>
    </r>
    <r>
      <rPr>
        <vertAlign val="superscript"/>
        <sz val="10"/>
        <rFont val="Arial"/>
        <family val="2"/>
      </rPr>
      <t>-1</t>
    </r>
  </si>
  <si>
    <r>
      <t>MJ / MJ</t>
    </r>
    <r>
      <rPr>
        <vertAlign val="subscript"/>
        <sz val="10"/>
        <rFont val="Arial"/>
        <family val="2"/>
      </rPr>
      <t>Rapeseed, input</t>
    </r>
  </si>
  <si>
    <r>
      <t>kg</t>
    </r>
    <r>
      <rPr>
        <vertAlign val="subscript"/>
        <sz val="10"/>
        <rFont val="Arial"/>
        <family val="2"/>
      </rPr>
      <t>Rapeseed</t>
    </r>
    <r>
      <rPr>
        <sz val="10"/>
        <rFont val="Arial"/>
        <family val="2"/>
      </rPr>
      <t>/MJ</t>
    </r>
    <r>
      <rPr>
        <vertAlign val="subscript"/>
        <sz val="10"/>
        <rFont val="Arial"/>
        <family val="2"/>
      </rPr>
      <t>FAME</t>
    </r>
  </si>
  <si>
    <t>Rapeseed drying</t>
  </si>
  <si>
    <t>Transport of rapeseed</t>
  </si>
  <si>
    <r>
      <t>MJ</t>
    </r>
    <r>
      <rPr>
        <vertAlign val="subscript"/>
        <sz val="10"/>
        <rFont val="Arial"/>
        <family val="2"/>
      </rPr>
      <t>Rapeseed</t>
    </r>
    <r>
      <rPr>
        <sz val="10"/>
        <rFont val="Arial"/>
      </rPr>
      <t xml:space="preserve"> / MJ</t>
    </r>
    <r>
      <rPr>
        <vertAlign val="subscript"/>
        <sz val="10"/>
        <rFont val="Arial"/>
        <family val="2"/>
      </rPr>
      <t>Rapeseed</t>
    </r>
  </si>
  <si>
    <r>
      <t>kg CaO ha</t>
    </r>
    <r>
      <rPr>
        <vertAlign val="superscript"/>
        <sz val="10"/>
        <rFont val="Arial"/>
        <family val="2"/>
      </rPr>
      <t xml:space="preserve">-1 </t>
    </r>
    <r>
      <rPr>
        <sz val="10"/>
        <rFont val="Arial"/>
      </rPr>
      <t>year</t>
    </r>
    <r>
      <rPr>
        <vertAlign val="superscript"/>
        <sz val="10"/>
        <rFont val="Arial"/>
        <family val="2"/>
      </rPr>
      <t>-1</t>
    </r>
  </si>
  <si>
    <t>Emissions per MJ FAME</t>
  </si>
  <si>
    <r>
      <t>g CO</t>
    </r>
    <r>
      <rPr>
        <b/>
        <vertAlign val="subscript"/>
        <sz val="10"/>
        <color indexed="9"/>
        <rFont val="Arial"/>
        <family val="2"/>
      </rPr>
      <t>2,eq</t>
    </r>
    <r>
      <rPr>
        <b/>
        <sz val="10"/>
        <color indexed="9"/>
        <rFont val="Arial"/>
        <family val="2"/>
      </rPr>
      <t xml:space="preserve"> / MJ</t>
    </r>
    <r>
      <rPr>
        <b/>
        <vertAlign val="subscript"/>
        <sz val="10"/>
        <color indexed="9"/>
        <rFont val="Arial"/>
        <family val="2"/>
      </rPr>
      <t>FAME</t>
    </r>
  </si>
  <si>
    <t>Again, LBST has provided us with the numbers that were actually used which for a number of standard values are slightly different as compared to those listed in version 2c of the WTT Appendix 1. Some of the (less important) values provided by LBST are not listed in the WTT Appendix 1 and are listed in the list of standard values.</t>
  </si>
  <si>
    <t>Electricity (taken from CHP)</t>
  </si>
  <si>
    <t>No emissions calculated as this electricity is taken from the steam plant</t>
  </si>
  <si>
    <t>Steam (from Lignite CHP)</t>
  </si>
  <si>
    <t>MJ diesel / kg vinasse</t>
  </si>
  <si>
    <r>
      <t>kg vinasse / MJ</t>
    </r>
    <r>
      <rPr>
        <vertAlign val="subscript"/>
        <sz val="10"/>
        <rFont val="Arial"/>
        <family val="2"/>
      </rPr>
      <t>Sugarcane, input</t>
    </r>
  </si>
  <si>
    <r>
      <t>MJ</t>
    </r>
    <r>
      <rPr>
        <vertAlign val="subscript"/>
        <sz val="10"/>
        <rFont val="Arial"/>
        <family val="2"/>
      </rPr>
      <t>Corn</t>
    </r>
    <r>
      <rPr>
        <sz val="10"/>
        <rFont val="Arial"/>
      </rPr>
      <t xml:space="preserve"> / MJ</t>
    </r>
    <r>
      <rPr>
        <vertAlign val="subscript"/>
        <sz val="10"/>
        <rFont val="Arial"/>
        <family val="2"/>
      </rPr>
      <t>Corn</t>
    </r>
  </si>
  <si>
    <r>
      <t>Calculation of N</t>
    </r>
    <r>
      <rPr>
        <b/>
        <vertAlign val="subscript"/>
        <sz val="10"/>
        <color indexed="18"/>
        <rFont val="Arial"/>
        <family val="2"/>
      </rPr>
      <t>2</t>
    </r>
    <r>
      <rPr>
        <b/>
        <sz val="10"/>
        <color indexed="18"/>
        <rFont val="Arial"/>
        <family val="2"/>
      </rPr>
      <t>O field emissions</t>
    </r>
  </si>
  <si>
    <t xml:space="preserve">Biogas generation </t>
  </si>
  <si>
    <t>via fermentation</t>
  </si>
  <si>
    <t>via pressurized water scrubbing</t>
  </si>
  <si>
    <t>to N-manure</t>
  </si>
  <si>
    <r>
      <t>ton km / MJ</t>
    </r>
    <r>
      <rPr>
        <vertAlign val="subscript"/>
        <sz val="10"/>
        <rFont val="Arial"/>
        <family val="2"/>
      </rPr>
      <t>Manure, input</t>
    </r>
  </si>
  <si>
    <t>Output from biogas plant, not yet taking own consumption into account</t>
  </si>
  <si>
    <t>Total biogas output</t>
  </si>
  <si>
    <t xml:space="preserve">Net biogas output </t>
  </si>
  <si>
    <r>
      <t>Calculation of Improved Agricultural Management  (</t>
    </r>
    <r>
      <rPr>
        <b/>
        <sz val="20"/>
        <color indexed="9"/>
        <rFont val="Arial"/>
        <family val="2"/>
      </rPr>
      <t>e</t>
    </r>
    <r>
      <rPr>
        <b/>
        <sz val="14"/>
        <color indexed="9"/>
        <rFont val="Arial"/>
        <family val="2"/>
      </rPr>
      <t>sca)</t>
    </r>
  </si>
  <si>
    <t>Determine using table 3  of Commission Decision</t>
  </si>
  <si>
    <t>In the top section the result of the calculation in this Excel sheet is shown as well as the RED Annex V default values.  Rounded numbers are shown, causing that sometimes the results do not change when changing from option a to b or vice versa, whereas in other cases the results start to differ for one or more of the desaggregated values when choosing option a.</t>
  </si>
  <si>
    <t xml:space="preserve">In the top part of the calculation sheets, the results are compared with the default values as listed in the RED. Two types of figures are given for comparison: </t>
  </si>
  <si>
    <t xml:space="preserve">  the minimum neccesary to supply the heat needed for the biofuel production</t>
  </si>
  <si>
    <r>
      <t>MJ / MJ</t>
    </r>
    <r>
      <rPr>
        <vertAlign val="subscript"/>
        <sz val="10"/>
        <rFont val="Arial"/>
        <family val="2"/>
      </rPr>
      <t>oil</t>
    </r>
  </si>
  <si>
    <t>Fuel input per MJ oil</t>
  </si>
  <si>
    <t>CHP net output / MJ oil</t>
  </si>
  <si>
    <t>Net production or consump- tion in oil extraction plant</t>
  </si>
  <si>
    <t>NG input per MJ biogas</t>
  </si>
  <si>
    <t>CHP net output / MJ Biogas</t>
  </si>
  <si>
    <t>Net production or consump- tion in biogas plant</t>
  </si>
  <si>
    <t>Output from steam plant, not yet taking own consumption biogas plant into account</t>
  </si>
  <si>
    <t>Output from steam plant, not yet taking own consumption oil extraction plant into account</t>
  </si>
  <si>
    <r>
      <t>kg</t>
    </r>
    <r>
      <rPr>
        <vertAlign val="subscript"/>
        <sz val="10"/>
        <rFont val="Arial"/>
        <family val="2"/>
      </rPr>
      <t>Raw waste oil, input</t>
    </r>
    <r>
      <rPr>
        <sz val="10"/>
        <rFont val="Arial"/>
        <family val="2"/>
      </rPr>
      <t>/MJ</t>
    </r>
    <r>
      <rPr>
        <vertAlign val="subscript"/>
        <sz val="10"/>
        <rFont val="Arial"/>
        <family val="2"/>
      </rPr>
      <t>FAME</t>
    </r>
  </si>
  <si>
    <r>
      <t>MJ / kg</t>
    </r>
    <r>
      <rPr>
        <vertAlign val="subscript"/>
        <sz val="10"/>
        <rFont val="Arial"/>
        <family val="2"/>
      </rPr>
      <t>Raw waste oil, input</t>
    </r>
  </si>
  <si>
    <t>per kg waste veg. / animal oil</t>
  </si>
  <si>
    <r>
      <t>kg</t>
    </r>
    <r>
      <rPr>
        <vertAlign val="subscript"/>
        <sz val="10"/>
        <rFont val="Arial"/>
        <family val="2"/>
      </rPr>
      <t>wet manure, input</t>
    </r>
    <r>
      <rPr>
        <sz val="10"/>
        <rFont val="Arial"/>
        <family val="2"/>
      </rPr>
      <t>/MJ</t>
    </r>
    <r>
      <rPr>
        <vertAlign val="subscript"/>
        <sz val="10"/>
        <rFont val="Arial"/>
        <family val="2"/>
      </rPr>
      <t>CNG</t>
    </r>
  </si>
  <si>
    <r>
      <t>MJ / kg</t>
    </r>
    <r>
      <rPr>
        <vertAlign val="subscript"/>
        <sz val="10"/>
        <rFont val="Arial"/>
        <family val="2"/>
      </rPr>
      <t>manure (dry)</t>
    </r>
  </si>
  <si>
    <r>
      <t>kg</t>
    </r>
    <r>
      <rPr>
        <vertAlign val="subscript"/>
        <sz val="10"/>
        <rFont val="Arial"/>
        <family val="2"/>
      </rPr>
      <t>dry manure, input</t>
    </r>
    <r>
      <rPr>
        <sz val="10"/>
        <rFont val="Arial"/>
        <family val="2"/>
      </rPr>
      <t>/MJ</t>
    </r>
    <r>
      <rPr>
        <vertAlign val="subscript"/>
        <sz val="10"/>
        <rFont val="Arial"/>
        <family val="2"/>
      </rPr>
      <t>CNG</t>
    </r>
  </si>
  <si>
    <t>The parameter Frac Renew(T) is fixed to 1 in Eq 11.6 and Eq 11.7 (cell L57) which is the value recommended for annual crops. For perennial pastures that are renewed on average every X years, FracRenew should be 1/X. When a perennial pasture is entered as a new crop the value in cell L57 should be changed accordingly. In the case of other perennial crops not appearing in table 11.2, similar calculations as those made for palm trees can be performed.</t>
  </si>
  <si>
    <t>Default value used by RED</t>
  </si>
  <si>
    <t>Is the soil water saturation high ?</t>
  </si>
  <si>
    <t>(1) Rainy season: period when rainfall &gt; 0.5 * Pan Evaporation</t>
  </si>
  <si>
    <t>data appears only when required</t>
  </si>
  <si>
    <r>
      <t>Calculated Direct N</t>
    </r>
    <r>
      <rPr>
        <vertAlign val="subscript"/>
        <sz val="10"/>
        <rFont val="Arial"/>
        <family val="2"/>
      </rPr>
      <t>2</t>
    </r>
    <r>
      <rPr>
        <sz val="10"/>
        <rFont val="Arial"/>
        <family val="2"/>
      </rPr>
      <t>O emissions</t>
    </r>
  </si>
  <si>
    <t xml:space="preserve">FAME from waste vegetable or animal oil </t>
  </si>
  <si>
    <t>In the case of sugar cane, emissions from trush burning are also considered. They are calculated -based on the assumptions in (8)- using input provided in cells C46 to C51.</t>
  </si>
  <si>
    <t>Tonne</t>
  </si>
  <si>
    <t>Specific information for some crops</t>
  </si>
  <si>
    <t xml:space="preserve">References </t>
  </si>
  <si>
    <t>Verde Leal, Centro de Tecnologiea Copersucar (CTC/Copersucar), Piracicaba; Joao Eduardo Azevedo Ramos da Silva - Centro de Tecnologia Copersucar</t>
  </si>
  <si>
    <t>Paulo; Geraldo Alckmin - Governor; Secretariat of the Environment José Goldemberg - Secretary; April 2004</t>
  </si>
  <si>
    <r>
      <t xml:space="preserve">Please, </t>
    </r>
    <r>
      <rPr>
        <b/>
        <u/>
        <sz val="10"/>
        <color indexed="62"/>
        <rFont val="Arial"/>
        <family val="2"/>
      </rPr>
      <t>fill in the white cells in column C</t>
    </r>
    <r>
      <rPr>
        <b/>
        <sz val="10"/>
        <color indexed="62"/>
        <rFont val="Arial"/>
        <family val="2"/>
      </rPr>
      <t xml:space="preserve"> and report the result obtained at the bottom of the page in your pathway.</t>
    </r>
  </si>
  <si>
    <r>
      <t xml:space="preserve">Please, fill in the following cells </t>
    </r>
    <r>
      <rPr>
        <u/>
        <sz val="10"/>
        <color indexed="62"/>
        <rFont val="Arial"/>
        <family val="2"/>
      </rPr>
      <t>only when a text appears</t>
    </r>
    <r>
      <rPr>
        <sz val="10"/>
        <color indexed="62"/>
        <rFont val="Arial"/>
        <family val="2"/>
      </rPr>
      <t xml:space="preserve">. </t>
    </r>
  </si>
  <si>
    <t xml:space="preserve">According to RED Annex V.C.16, the size of the CHP shall be assumed to be </t>
  </si>
  <si>
    <t>Lignite input per MJ ethanol</t>
  </si>
  <si>
    <t>Electricity generation in CHP plant</t>
  </si>
  <si>
    <t>Straw input per MJ ethanol</t>
  </si>
  <si>
    <r>
      <t>CH</t>
    </r>
    <r>
      <rPr>
        <vertAlign val="subscript"/>
        <sz val="10"/>
        <rFont val="Arial"/>
        <family val="2"/>
      </rPr>
      <t>4</t>
    </r>
    <r>
      <rPr>
        <sz val="10"/>
        <rFont val="Arial"/>
        <family val="2"/>
      </rPr>
      <t xml:space="preserve"> and N</t>
    </r>
    <r>
      <rPr>
        <vertAlign val="subscript"/>
        <sz val="10"/>
        <rFont val="Arial"/>
        <family val="2"/>
      </rPr>
      <t>2</t>
    </r>
    <r>
      <rPr>
        <sz val="10"/>
        <rFont val="Arial"/>
        <family val="2"/>
      </rPr>
      <t>O emissions from Straw CHP</t>
    </r>
  </si>
  <si>
    <t>Fuel input per MJ ethanol</t>
  </si>
  <si>
    <t xml:space="preserve">This sheet, similar to the LUC sheet, calculates the carbon stock accumulation thanks to improved agricultural management. </t>
  </si>
  <si>
    <t>The default calculation are based on the calculation of the Commission Decision, with the following assumptions</t>
  </si>
  <si>
    <t>Resulting soil carbon accumulation</t>
  </si>
  <si>
    <r>
      <t>ton CO</t>
    </r>
    <r>
      <rPr>
        <b/>
        <vertAlign val="subscript"/>
        <sz val="10"/>
        <rFont val="Arial"/>
        <family val="2"/>
      </rPr>
      <t>2</t>
    </r>
    <r>
      <rPr>
        <b/>
        <sz val="10"/>
        <rFont val="Arial"/>
        <family val="2"/>
      </rPr>
      <t xml:space="preserve"> ha</t>
    </r>
    <r>
      <rPr>
        <b/>
        <vertAlign val="superscript"/>
        <sz val="10"/>
        <rFont val="Arial"/>
        <family val="2"/>
      </rPr>
      <t>-1</t>
    </r>
    <r>
      <rPr>
        <b/>
        <sz val="10"/>
        <rFont val="Arial"/>
        <family val="2"/>
      </rPr>
      <t xml:space="preserve"> year</t>
    </r>
    <r>
      <rPr>
        <b/>
        <vertAlign val="superscript"/>
        <sz val="10"/>
        <rFont val="Arial"/>
        <family val="2"/>
      </rPr>
      <t>-1</t>
    </r>
  </si>
  <si>
    <t>Transport of ethanol to depot</t>
  </si>
  <si>
    <t>Transport to filling station</t>
  </si>
  <si>
    <t>from plant to Europe, then to depot</t>
  </si>
  <si>
    <t>Transport of FAME to depot</t>
  </si>
  <si>
    <t>Transport of HVO to depot</t>
  </si>
  <si>
    <t>Cultivation of corn</t>
  </si>
  <si>
    <r>
      <t>MJ</t>
    </r>
    <r>
      <rPr>
        <vertAlign val="subscript"/>
        <sz val="10"/>
        <rFont val="Arial"/>
        <family val="2"/>
      </rPr>
      <t>Corn</t>
    </r>
    <r>
      <rPr>
        <sz val="10"/>
        <rFont val="Arial"/>
      </rPr>
      <t xml:space="preserve"> ha</t>
    </r>
    <r>
      <rPr>
        <vertAlign val="superscript"/>
        <sz val="10"/>
        <rFont val="Arial"/>
        <family val="2"/>
      </rPr>
      <t>-1</t>
    </r>
    <r>
      <rPr>
        <sz val="10"/>
        <rFont val="Arial"/>
      </rPr>
      <t xml:space="preserve"> year</t>
    </r>
    <r>
      <rPr>
        <vertAlign val="superscript"/>
        <sz val="10"/>
        <rFont val="Arial"/>
        <family val="2"/>
      </rPr>
      <t>-1</t>
    </r>
  </si>
  <si>
    <r>
      <t>MJ / MJ</t>
    </r>
    <r>
      <rPr>
        <vertAlign val="subscript"/>
        <sz val="10"/>
        <rFont val="Arial"/>
        <family val="2"/>
      </rPr>
      <t>Corn, input</t>
    </r>
  </si>
  <si>
    <r>
      <t>kg</t>
    </r>
    <r>
      <rPr>
        <vertAlign val="subscript"/>
        <sz val="10"/>
        <rFont val="Arial"/>
        <family val="2"/>
      </rPr>
      <t>Corn</t>
    </r>
    <r>
      <rPr>
        <sz val="10"/>
        <rFont val="Arial"/>
        <family val="2"/>
      </rPr>
      <t>/MJ</t>
    </r>
    <r>
      <rPr>
        <vertAlign val="subscript"/>
        <sz val="10"/>
        <rFont val="Arial"/>
        <family val="2"/>
      </rPr>
      <t>ethanol</t>
    </r>
  </si>
  <si>
    <t>per kg corn</t>
  </si>
  <si>
    <t>Transport of corn</t>
  </si>
  <si>
    <r>
      <t>kg NO</t>
    </r>
    <r>
      <rPr>
        <b/>
        <vertAlign val="subscript"/>
        <sz val="10"/>
        <rFont val="Arial"/>
        <family val="2"/>
      </rPr>
      <t>3</t>
    </r>
    <r>
      <rPr>
        <b/>
        <sz val="10"/>
        <rFont val="Arial"/>
        <family val="2"/>
      </rPr>
      <t>_N/ha/year</t>
    </r>
  </si>
  <si>
    <t>kg/ha/year</t>
  </si>
  <si>
    <r>
      <t>kg N</t>
    </r>
    <r>
      <rPr>
        <b/>
        <vertAlign val="subscript"/>
        <sz val="10"/>
        <rFont val="Arial"/>
        <family val="2"/>
      </rPr>
      <t>2</t>
    </r>
    <r>
      <rPr>
        <b/>
        <sz val="10"/>
        <rFont val="Arial"/>
        <family val="2"/>
      </rPr>
      <t>O/ha/year</t>
    </r>
  </si>
  <si>
    <t>Collection of waste vegetable or animal oil</t>
  </si>
  <si>
    <r>
      <t>MJ</t>
    </r>
    <r>
      <rPr>
        <vertAlign val="subscript"/>
        <sz val="10"/>
        <rFont val="Arial"/>
        <family val="2"/>
      </rPr>
      <t>FAME</t>
    </r>
    <r>
      <rPr>
        <sz val="10"/>
        <rFont val="Arial"/>
      </rPr>
      <t xml:space="preserve"> / MJ</t>
    </r>
    <r>
      <rPr>
        <vertAlign val="subscript"/>
        <sz val="10"/>
        <rFont val="Arial"/>
        <family val="2"/>
      </rPr>
      <t>UCO, input</t>
    </r>
  </si>
  <si>
    <r>
      <t>kg</t>
    </r>
    <r>
      <rPr>
        <vertAlign val="subscript"/>
        <sz val="10"/>
        <rFont val="Arial"/>
        <family val="2"/>
      </rPr>
      <t>Rapeseed</t>
    </r>
    <r>
      <rPr>
        <sz val="10"/>
        <rFont val="Arial"/>
        <family val="2"/>
      </rPr>
      <t>/MJ</t>
    </r>
    <r>
      <rPr>
        <vertAlign val="subscript"/>
        <sz val="10"/>
        <rFont val="Arial"/>
        <family val="2"/>
      </rPr>
      <t>HVO</t>
    </r>
  </si>
  <si>
    <r>
      <t>CH</t>
    </r>
    <r>
      <rPr>
        <vertAlign val="subscript"/>
        <sz val="10"/>
        <rFont val="Arial"/>
        <family val="2"/>
      </rPr>
      <t>4</t>
    </r>
    <r>
      <rPr>
        <sz val="10"/>
        <rFont val="Arial"/>
        <family val="2"/>
      </rPr>
      <t xml:space="preserve"> and N</t>
    </r>
    <r>
      <rPr>
        <vertAlign val="subscript"/>
        <sz val="10"/>
        <rFont val="Arial"/>
        <family val="2"/>
      </rPr>
      <t>2</t>
    </r>
    <r>
      <rPr>
        <sz val="10"/>
        <rFont val="Arial"/>
        <family val="2"/>
      </rPr>
      <t>O emissions from NG boiler</t>
    </r>
  </si>
  <si>
    <t>Steam (from NG boiler)</t>
  </si>
  <si>
    <t>Natural gas input / MJ steam</t>
  </si>
  <si>
    <t>Electricity input / MJ steam</t>
  </si>
  <si>
    <t>Emissions from NG boiler</t>
  </si>
  <si>
    <r>
      <t>g CO</t>
    </r>
    <r>
      <rPr>
        <b/>
        <i/>
        <vertAlign val="subscript"/>
        <sz val="10"/>
        <color indexed="9"/>
        <rFont val="Arial"/>
        <family val="2"/>
      </rPr>
      <t>2,eq</t>
    </r>
    <r>
      <rPr>
        <b/>
        <i/>
        <sz val="10"/>
        <color indexed="9"/>
        <rFont val="Arial"/>
        <family val="2"/>
      </rPr>
      <t xml:space="preserve"> / MJ</t>
    </r>
    <r>
      <rPr>
        <b/>
        <i/>
        <vertAlign val="subscript"/>
        <sz val="10"/>
        <color indexed="9"/>
        <rFont val="Arial"/>
        <family val="2"/>
      </rPr>
      <t>PVO</t>
    </r>
  </si>
  <si>
    <t>Emissions per MJ PVO</t>
  </si>
  <si>
    <r>
      <t>g CO</t>
    </r>
    <r>
      <rPr>
        <b/>
        <vertAlign val="subscript"/>
        <sz val="10"/>
        <color indexed="9"/>
        <rFont val="Arial"/>
        <family val="2"/>
      </rPr>
      <t>2,eq</t>
    </r>
    <r>
      <rPr>
        <b/>
        <sz val="10"/>
        <color indexed="9"/>
        <rFont val="Arial"/>
        <family val="2"/>
      </rPr>
      <t xml:space="preserve"> / MJ</t>
    </r>
    <r>
      <rPr>
        <b/>
        <vertAlign val="subscript"/>
        <sz val="10"/>
        <color indexed="9"/>
        <rFont val="Arial"/>
        <family val="2"/>
      </rPr>
      <t>PVO</t>
    </r>
  </si>
  <si>
    <r>
      <t>MJ</t>
    </r>
    <r>
      <rPr>
        <vertAlign val="subscript"/>
        <sz val="10"/>
        <rFont val="Arial"/>
        <family val="2"/>
      </rPr>
      <t>PVO</t>
    </r>
    <r>
      <rPr>
        <sz val="10"/>
        <rFont val="Arial"/>
        <family val="2"/>
      </rPr>
      <t xml:space="preserve"> ha</t>
    </r>
    <r>
      <rPr>
        <vertAlign val="superscript"/>
        <sz val="10"/>
        <rFont val="Arial"/>
        <family val="2"/>
      </rPr>
      <t>-1</t>
    </r>
    <r>
      <rPr>
        <sz val="10"/>
        <rFont val="Arial"/>
        <family val="2"/>
      </rPr>
      <t xml:space="preserve"> year</t>
    </r>
    <r>
      <rPr>
        <vertAlign val="superscript"/>
        <sz val="10"/>
        <rFont val="Arial"/>
        <family val="2"/>
      </rPr>
      <t>-1</t>
    </r>
  </si>
  <si>
    <r>
      <t>MJ</t>
    </r>
    <r>
      <rPr>
        <vertAlign val="subscript"/>
        <sz val="10"/>
        <rFont val="Arial"/>
        <family val="2"/>
      </rPr>
      <t>PVO</t>
    </r>
    <r>
      <rPr>
        <sz val="10"/>
        <rFont val="Arial"/>
      </rPr>
      <t xml:space="preserve"> / MJ</t>
    </r>
    <r>
      <rPr>
        <vertAlign val="subscript"/>
        <sz val="10"/>
        <rFont val="Arial"/>
        <family val="2"/>
      </rPr>
      <t>Rapeseed, input</t>
    </r>
  </si>
  <si>
    <r>
      <t>g CO</t>
    </r>
    <r>
      <rPr>
        <vertAlign val="subscript"/>
        <sz val="10"/>
        <rFont val="Arial"/>
        <family val="2"/>
      </rPr>
      <t>2,eq</t>
    </r>
    <r>
      <rPr>
        <sz val="10"/>
        <rFont val="Arial"/>
        <family val="2"/>
      </rPr>
      <t xml:space="preserve"> / MJ</t>
    </r>
    <r>
      <rPr>
        <vertAlign val="subscript"/>
        <sz val="10"/>
        <rFont val="Arial"/>
        <family val="2"/>
      </rPr>
      <t>PVO</t>
    </r>
  </si>
  <si>
    <r>
      <t>MJ / MJ</t>
    </r>
    <r>
      <rPr>
        <vertAlign val="subscript"/>
        <sz val="10"/>
        <rFont val="Arial"/>
        <family val="2"/>
      </rPr>
      <t>PVO</t>
    </r>
  </si>
  <si>
    <r>
      <t>MJ</t>
    </r>
    <r>
      <rPr>
        <vertAlign val="subscript"/>
        <sz val="10"/>
        <rFont val="Arial"/>
        <family val="2"/>
      </rPr>
      <t>PVO</t>
    </r>
    <r>
      <rPr>
        <sz val="10"/>
        <rFont val="Arial"/>
      </rPr>
      <t xml:space="preserve"> / MJ</t>
    </r>
    <r>
      <rPr>
        <vertAlign val="subscript"/>
        <sz val="10"/>
        <rFont val="Arial"/>
        <family val="2"/>
      </rPr>
      <t>Oil</t>
    </r>
  </si>
  <si>
    <r>
      <t>kg / MJ</t>
    </r>
    <r>
      <rPr>
        <vertAlign val="subscript"/>
        <sz val="10"/>
        <rFont val="Arial"/>
        <family val="2"/>
      </rPr>
      <t>PVO</t>
    </r>
  </si>
  <si>
    <r>
      <t>MJ</t>
    </r>
    <r>
      <rPr>
        <vertAlign val="subscript"/>
        <sz val="10"/>
        <rFont val="Arial"/>
        <family val="2"/>
      </rPr>
      <t>PVO</t>
    </r>
    <r>
      <rPr>
        <sz val="10"/>
        <rFont val="Arial"/>
      </rPr>
      <t xml:space="preserve"> / MJ</t>
    </r>
    <r>
      <rPr>
        <vertAlign val="subscript"/>
        <sz val="10"/>
        <rFont val="Arial"/>
        <family val="2"/>
      </rPr>
      <t>PVO</t>
    </r>
  </si>
  <si>
    <r>
      <t>g CO</t>
    </r>
    <r>
      <rPr>
        <vertAlign val="subscript"/>
        <sz val="10"/>
        <rFont val="Arial"/>
        <family val="2"/>
      </rPr>
      <t>2,eq</t>
    </r>
    <r>
      <rPr>
        <sz val="10"/>
        <rFont val="Arial"/>
      </rPr>
      <t xml:space="preserve"> / MJ</t>
    </r>
    <r>
      <rPr>
        <vertAlign val="subscript"/>
        <sz val="10"/>
        <rFont val="Arial"/>
        <family val="2"/>
      </rPr>
      <t>PVO</t>
    </r>
  </si>
  <si>
    <r>
      <t>kg</t>
    </r>
    <r>
      <rPr>
        <vertAlign val="subscript"/>
        <sz val="10"/>
        <rFont val="Arial"/>
        <family val="2"/>
      </rPr>
      <t>Rapeseed</t>
    </r>
    <r>
      <rPr>
        <sz val="10"/>
        <rFont val="Arial"/>
        <family val="2"/>
      </rPr>
      <t>/MJ</t>
    </r>
    <r>
      <rPr>
        <vertAlign val="subscript"/>
        <sz val="10"/>
        <rFont val="Arial"/>
        <family val="2"/>
      </rPr>
      <t>PVO</t>
    </r>
  </si>
  <si>
    <r>
      <t>CH</t>
    </r>
    <r>
      <rPr>
        <vertAlign val="subscript"/>
        <sz val="10"/>
        <rFont val="Verdana"/>
        <family val="2"/>
      </rPr>
      <t>4</t>
    </r>
    <r>
      <rPr>
        <sz val="10"/>
        <rFont val="Verdana"/>
        <family val="2"/>
      </rPr>
      <t xml:space="preserve"> and N</t>
    </r>
    <r>
      <rPr>
        <vertAlign val="subscript"/>
        <sz val="10"/>
        <rFont val="Verdana"/>
        <family val="2"/>
      </rPr>
      <t>2</t>
    </r>
    <r>
      <rPr>
        <sz val="10"/>
        <rFont val="Verdana"/>
        <family val="2"/>
      </rPr>
      <t>O emissions from NG CHP</t>
    </r>
  </si>
  <si>
    <t>Ethanol from sugarcane</t>
  </si>
  <si>
    <t>Calculated percentages might not be the same as the RED Annex V default values</t>
  </si>
  <si>
    <r>
      <t>kg</t>
    </r>
    <r>
      <rPr>
        <vertAlign val="subscript"/>
        <sz val="10"/>
        <rFont val="Arial"/>
        <family val="2"/>
      </rPr>
      <t>FFB</t>
    </r>
    <r>
      <rPr>
        <sz val="10"/>
        <rFont val="Arial"/>
        <family val="2"/>
      </rPr>
      <t>/MJ</t>
    </r>
    <r>
      <rPr>
        <vertAlign val="subscript"/>
        <sz val="10"/>
        <rFont val="Arial"/>
        <family val="2"/>
      </rPr>
      <t>HVO</t>
    </r>
  </si>
  <si>
    <r>
      <t>g CO</t>
    </r>
    <r>
      <rPr>
        <vertAlign val="subscript"/>
        <sz val="10"/>
        <rFont val="Arial"/>
        <family val="2"/>
      </rPr>
      <t>2,eq</t>
    </r>
    <r>
      <rPr>
        <sz val="10"/>
        <rFont val="Arial"/>
      </rPr>
      <t xml:space="preserve"> / MJ</t>
    </r>
    <r>
      <rPr>
        <vertAlign val="subscript"/>
        <sz val="10"/>
        <rFont val="Arial"/>
        <family val="2"/>
      </rPr>
      <t>HVO</t>
    </r>
  </si>
  <si>
    <r>
      <t>MJ / MJ</t>
    </r>
    <r>
      <rPr>
        <vertAlign val="subscript"/>
        <sz val="10"/>
        <rFont val="Arial"/>
        <family val="2"/>
      </rPr>
      <t>HVO</t>
    </r>
  </si>
  <si>
    <r>
      <t>MJ</t>
    </r>
    <r>
      <rPr>
        <vertAlign val="subscript"/>
        <sz val="10"/>
        <rFont val="Arial"/>
        <family val="2"/>
      </rPr>
      <t>HVO</t>
    </r>
    <r>
      <rPr>
        <sz val="10"/>
        <rFont val="Arial"/>
      </rPr>
      <t xml:space="preserve"> / MJ</t>
    </r>
    <r>
      <rPr>
        <vertAlign val="subscript"/>
        <sz val="10"/>
        <rFont val="Arial"/>
        <family val="2"/>
      </rPr>
      <t>FFB, input</t>
    </r>
  </si>
  <si>
    <t>No allocation, LHV of N-fertiliser is assumed to be zero</t>
  </si>
  <si>
    <t>Electricity surplus from CHP</t>
  </si>
  <si>
    <t>Allocated</t>
  </si>
  <si>
    <t>results</t>
  </si>
  <si>
    <t xml:space="preserve">Non- allocated </t>
  </si>
  <si>
    <t>User Defined Standard Values</t>
  </si>
  <si>
    <t>Calculation of Improved Agricultural Management</t>
  </si>
  <si>
    <t>CNG from biogas from dry manure</t>
  </si>
  <si>
    <r>
      <t>Calculation of N</t>
    </r>
    <r>
      <rPr>
        <u/>
        <vertAlign val="subscript"/>
        <sz val="14"/>
        <color indexed="12"/>
        <rFont val="Arial"/>
        <family val="2"/>
      </rPr>
      <t>2</t>
    </r>
    <r>
      <rPr>
        <u/>
        <sz val="14"/>
        <color indexed="12"/>
        <rFont val="Arial"/>
        <family val="2"/>
      </rPr>
      <t>O field emissions according to IPCC Tier 1</t>
    </r>
  </si>
  <si>
    <r>
      <t xml:space="preserve">  When using this GHG calculation tool, </t>
    </r>
    <r>
      <rPr>
        <b/>
        <sz val="11"/>
        <rFont val="Arial"/>
        <family val="2"/>
      </rPr>
      <t xml:space="preserve">the BioGrace calculation rules must be respected. </t>
    </r>
  </si>
  <si>
    <t xml:space="preserve">  The rules are included in the zip file in which you downloaded this tool. The rules are also available at www.BioGrace.net</t>
  </si>
  <si>
    <t>All results in</t>
  </si>
  <si>
    <r>
      <t>g CO</t>
    </r>
    <r>
      <rPr>
        <b/>
        <i/>
        <vertAlign val="subscript"/>
        <sz val="10"/>
        <color indexed="9"/>
        <rFont val="Arial"/>
        <family val="2"/>
      </rPr>
      <t>2,eq</t>
    </r>
    <r>
      <rPr>
        <b/>
        <i/>
        <sz val="10"/>
        <color indexed="9"/>
        <rFont val="Arial"/>
        <family val="2"/>
      </rPr>
      <t xml:space="preserve"> / MJ</t>
    </r>
    <r>
      <rPr>
        <b/>
        <i/>
        <vertAlign val="subscript"/>
        <sz val="10"/>
        <color indexed="9"/>
        <rFont val="Arial"/>
        <family val="2"/>
      </rPr>
      <t>FAME</t>
    </r>
  </si>
  <si>
    <r>
      <t>g CO</t>
    </r>
    <r>
      <rPr>
        <b/>
        <i/>
        <vertAlign val="subscript"/>
        <sz val="10"/>
        <color indexed="9"/>
        <rFont val="Arial"/>
        <family val="2"/>
      </rPr>
      <t>2,eq</t>
    </r>
    <r>
      <rPr>
        <b/>
        <i/>
        <sz val="10"/>
        <color indexed="9"/>
        <rFont val="Arial"/>
        <family val="2"/>
      </rPr>
      <t xml:space="preserve"> / MJ</t>
    </r>
    <r>
      <rPr>
        <b/>
        <i/>
        <vertAlign val="subscript"/>
        <sz val="10"/>
        <color indexed="9"/>
        <rFont val="Arial"/>
        <family val="2"/>
      </rPr>
      <t>Ethanol</t>
    </r>
  </si>
  <si>
    <r>
      <t>g CO</t>
    </r>
    <r>
      <rPr>
        <b/>
        <i/>
        <vertAlign val="subscript"/>
        <sz val="10"/>
        <color indexed="9"/>
        <rFont val="Arial"/>
        <family val="2"/>
      </rPr>
      <t>2,eq</t>
    </r>
    <r>
      <rPr>
        <b/>
        <i/>
        <sz val="10"/>
        <color indexed="9"/>
        <rFont val="Arial"/>
        <family val="2"/>
      </rPr>
      <t xml:space="preserve"> / MJ</t>
    </r>
    <r>
      <rPr>
        <b/>
        <i/>
        <vertAlign val="subscript"/>
        <sz val="10"/>
        <color indexed="9"/>
        <rFont val="Arial"/>
        <family val="2"/>
      </rPr>
      <t>HVO</t>
    </r>
  </si>
  <si>
    <t>About</t>
  </si>
  <si>
    <t>RED Annex V.D</t>
  </si>
  <si>
    <r>
      <t xml:space="preserve"> 1. </t>
    </r>
    <r>
      <rPr>
        <b/>
        <sz val="10"/>
        <rFont val="Arial"/>
        <family val="2"/>
      </rPr>
      <t>List of input data</t>
    </r>
    <r>
      <rPr>
        <sz val="10"/>
        <rFont val="Arial"/>
      </rPr>
      <t xml:space="preserve"> provided by the JEC consortium (JRC, EUCAR and CONCAWE) following consultation with stakeholders</t>
    </r>
  </si>
  <si>
    <t>Inconsistent use of Global Warming Potentials (GWPs)</t>
  </si>
  <si>
    <t>Default values</t>
  </si>
  <si>
    <r>
      <t>Land use change, improved agriculture management, CO</t>
    </r>
    <r>
      <rPr>
        <b/>
        <vertAlign val="subscript"/>
        <sz val="10"/>
        <rFont val="Arial"/>
        <family val="2"/>
      </rPr>
      <t>2</t>
    </r>
    <r>
      <rPr>
        <b/>
        <sz val="10"/>
        <rFont val="Arial"/>
        <family val="2"/>
      </rPr>
      <t xml:space="preserve"> capture and geological storage, field N</t>
    </r>
    <r>
      <rPr>
        <b/>
        <vertAlign val="subscript"/>
        <sz val="10"/>
        <rFont val="Arial"/>
        <family val="2"/>
      </rPr>
      <t>2</t>
    </r>
    <r>
      <rPr>
        <b/>
        <sz val="10"/>
        <rFont val="Arial"/>
        <family val="2"/>
      </rPr>
      <t>O emissions</t>
    </r>
  </si>
  <si>
    <r>
      <t>MJ / MJ</t>
    </r>
    <r>
      <rPr>
        <vertAlign val="subscript"/>
        <sz val="10"/>
        <rFont val="Arial"/>
        <family val="2"/>
      </rPr>
      <t>Sugarbeet, input</t>
    </r>
  </si>
  <si>
    <t>Cultivation of sugarbeet</t>
  </si>
  <si>
    <t>Transport of sugarbeet</t>
  </si>
  <si>
    <r>
      <t>MJ</t>
    </r>
    <r>
      <rPr>
        <vertAlign val="subscript"/>
        <sz val="10"/>
        <rFont val="Arial"/>
        <family val="2"/>
      </rPr>
      <t>Sugarbeet</t>
    </r>
    <r>
      <rPr>
        <sz val="10"/>
        <rFont val="Arial"/>
      </rPr>
      <t xml:space="preserve"> / MJ</t>
    </r>
    <r>
      <rPr>
        <vertAlign val="subscript"/>
        <sz val="10"/>
        <rFont val="Arial"/>
        <family val="2"/>
      </rPr>
      <t>Sugarbeet</t>
    </r>
  </si>
  <si>
    <r>
      <t>MJ</t>
    </r>
    <r>
      <rPr>
        <vertAlign val="subscript"/>
        <sz val="10"/>
        <rFont val="Arial"/>
        <family val="2"/>
      </rPr>
      <t>Ethanol</t>
    </r>
    <r>
      <rPr>
        <sz val="10"/>
        <rFont val="Arial"/>
      </rPr>
      <t xml:space="preserve"> / MJ</t>
    </r>
    <r>
      <rPr>
        <vertAlign val="subscript"/>
        <sz val="10"/>
        <rFont val="Arial"/>
        <family val="2"/>
      </rPr>
      <t>Sugarbeet</t>
    </r>
  </si>
  <si>
    <t>Energy content</t>
  </si>
  <si>
    <r>
      <t>MJ</t>
    </r>
    <r>
      <rPr>
        <vertAlign val="subscript"/>
        <sz val="10"/>
        <rFont val="Arial"/>
        <family val="2"/>
      </rPr>
      <t>Sugar beet pulp</t>
    </r>
    <r>
      <rPr>
        <sz val="10"/>
        <rFont val="Arial"/>
      </rPr>
      <t xml:space="preserve"> / MJ</t>
    </r>
    <r>
      <rPr>
        <vertAlign val="subscript"/>
        <sz val="10"/>
        <rFont val="Arial"/>
        <family val="2"/>
      </rPr>
      <t>Sugar beet</t>
    </r>
  </si>
  <si>
    <t>per kg sugarbeet</t>
  </si>
  <si>
    <r>
      <t>MJ</t>
    </r>
    <r>
      <rPr>
        <vertAlign val="subscript"/>
        <sz val="10"/>
        <rFont val="Arial"/>
        <family val="2"/>
      </rPr>
      <t>Sugar beet</t>
    </r>
    <r>
      <rPr>
        <sz val="10"/>
        <rFont val="Arial"/>
      </rPr>
      <t xml:space="preserve"> ha</t>
    </r>
    <r>
      <rPr>
        <vertAlign val="superscript"/>
        <sz val="10"/>
        <rFont val="Arial"/>
        <family val="2"/>
      </rPr>
      <t>-1</t>
    </r>
    <r>
      <rPr>
        <sz val="10"/>
        <rFont val="Arial"/>
      </rPr>
      <t xml:space="preserve"> year</t>
    </r>
    <r>
      <rPr>
        <vertAlign val="superscript"/>
        <sz val="10"/>
        <rFont val="Arial"/>
        <family val="2"/>
      </rPr>
      <t>-1</t>
    </r>
  </si>
  <si>
    <r>
      <t>kg</t>
    </r>
    <r>
      <rPr>
        <vertAlign val="subscript"/>
        <sz val="10"/>
        <rFont val="Arial"/>
        <family val="2"/>
      </rPr>
      <t>Sugarbeet</t>
    </r>
    <r>
      <rPr>
        <sz val="10"/>
        <rFont val="Arial"/>
        <family val="2"/>
      </rPr>
      <t>/MJ</t>
    </r>
    <r>
      <rPr>
        <vertAlign val="subscript"/>
        <sz val="10"/>
        <rFont val="Arial"/>
        <family val="2"/>
      </rPr>
      <t>ethanol</t>
    </r>
  </si>
  <si>
    <t>Energy content (per MJ sugarbeet)</t>
  </si>
  <si>
    <r>
      <t>MJ</t>
    </r>
    <r>
      <rPr>
        <vertAlign val="subscript"/>
        <sz val="10"/>
        <rFont val="Arial"/>
        <family val="2"/>
      </rPr>
      <t>Ethanol</t>
    </r>
    <r>
      <rPr>
        <sz val="10"/>
        <rFont val="Arial"/>
      </rPr>
      <t xml:space="preserve"> / MJ</t>
    </r>
    <r>
      <rPr>
        <vertAlign val="subscript"/>
        <sz val="10"/>
        <rFont val="Arial"/>
        <family val="2"/>
      </rPr>
      <t>Sugarbeet, input</t>
    </r>
  </si>
  <si>
    <t>to Sugar beet pulp</t>
  </si>
  <si>
    <r>
      <t>CO</t>
    </r>
    <r>
      <rPr>
        <vertAlign val="subscript"/>
        <sz val="10"/>
        <rFont val="Arial"/>
        <family val="2"/>
      </rPr>
      <t>2,eq</t>
    </r>
  </si>
  <si>
    <r>
      <t>g CO</t>
    </r>
    <r>
      <rPr>
        <b/>
        <vertAlign val="subscript"/>
        <sz val="10"/>
        <color indexed="9"/>
        <rFont val="Arial"/>
        <family val="2"/>
      </rPr>
      <t>2,eq</t>
    </r>
    <r>
      <rPr>
        <b/>
        <sz val="10"/>
        <color indexed="9"/>
        <rFont val="Arial"/>
        <family val="2"/>
      </rPr>
      <t xml:space="preserve"> / MJ</t>
    </r>
    <r>
      <rPr>
        <b/>
        <vertAlign val="subscript"/>
        <sz val="10"/>
        <color indexed="9"/>
        <rFont val="Arial"/>
        <family val="2"/>
      </rPr>
      <t>Ethanol</t>
    </r>
  </si>
  <si>
    <r>
      <t>gCO</t>
    </r>
    <r>
      <rPr>
        <vertAlign val="subscript"/>
        <sz val="10"/>
        <color indexed="22"/>
        <rFont val="Verdana"/>
        <family val="2"/>
      </rPr>
      <t>2</t>
    </r>
    <r>
      <rPr>
        <sz val="10"/>
        <color indexed="22"/>
        <rFont val="Verdana"/>
        <family val="2"/>
      </rPr>
      <t>/kg</t>
    </r>
  </si>
  <si>
    <r>
      <t>gCH</t>
    </r>
    <r>
      <rPr>
        <vertAlign val="subscript"/>
        <sz val="10"/>
        <color indexed="22"/>
        <rFont val="Verdana"/>
        <family val="2"/>
      </rPr>
      <t>4</t>
    </r>
    <r>
      <rPr>
        <sz val="10"/>
        <color indexed="22"/>
        <rFont val="Verdana"/>
        <family val="2"/>
      </rPr>
      <t>/kg</t>
    </r>
  </si>
  <si>
    <r>
      <t>gN</t>
    </r>
    <r>
      <rPr>
        <vertAlign val="subscript"/>
        <sz val="10"/>
        <color indexed="22"/>
        <rFont val="Verdana"/>
        <family val="2"/>
      </rPr>
      <t>2</t>
    </r>
    <r>
      <rPr>
        <sz val="10"/>
        <color indexed="22"/>
        <rFont val="Verdana"/>
        <family val="2"/>
      </rPr>
      <t>O/kg</t>
    </r>
  </si>
  <si>
    <t xml:space="preserve">     biomass residues that are locally available</t>
  </si>
  <si>
    <t>It is assumed that the demand of heat and electricity is met by combusting</t>
  </si>
  <si>
    <r>
      <t xml:space="preserve">Tables are given in the right part of the sheet to give you intermediate data and calculation details from IPCC tier 1. </t>
    </r>
    <r>
      <rPr>
        <b/>
        <sz val="10"/>
        <rFont val="Arial"/>
        <family val="2"/>
      </rPr>
      <t>Eq 11.X</t>
    </r>
    <r>
      <rPr>
        <sz val="10"/>
        <rFont val="Arial"/>
        <family val="2"/>
      </rPr>
      <t xml:space="preserve"> gives you the number of the equation in the IPPC chapter 11 report.  </t>
    </r>
  </si>
  <si>
    <t>If model : name of the model, who runned it, main data sources, date of the modeling, etc</t>
  </si>
  <si>
    <t xml:space="preserve">Example :   </t>
  </si>
  <si>
    <t>For all : details about representativeness, proof of scientific validity, etc</t>
  </si>
  <si>
    <t>We used version 2c of March 2007 (file WTT_App_1_010307.pdf). Soon, a new version 3 of the WTT Appendix 1 is expected to become public.</t>
  </si>
  <si>
    <r>
      <t>F</t>
    </r>
    <r>
      <rPr>
        <vertAlign val="subscript"/>
        <sz val="10"/>
        <rFont val="Arial"/>
        <family val="2"/>
      </rPr>
      <t>I</t>
    </r>
  </si>
  <si>
    <r>
      <t>ton km / MJ</t>
    </r>
    <r>
      <rPr>
        <vertAlign val="subscript"/>
        <sz val="10"/>
        <rFont val="Arial"/>
        <family val="2"/>
      </rPr>
      <t>manure, input</t>
    </r>
  </si>
  <si>
    <r>
      <t>MJ</t>
    </r>
    <r>
      <rPr>
        <vertAlign val="subscript"/>
        <sz val="10"/>
        <rFont val="Arial"/>
        <family val="2"/>
      </rPr>
      <t>CNG</t>
    </r>
    <r>
      <rPr>
        <sz val="10"/>
        <rFont val="Arial"/>
      </rPr>
      <t xml:space="preserve"> / MJ</t>
    </r>
    <r>
      <rPr>
        <vertAlign val="subscript"/>
        <sz val="10"/>
        <rFont val="Arial"/>
        <family val="2"/>
      </rPr>
      <t>manure, input</t>
    </r>
  </si>
  <si>
    <t>Emissions per MJ CNG</t>
  </si>
  <si>
    <t>Methane leakages</t>
  </si>
  <si>
    <t>Methane</t>
  </si>
  <si>
    <r>
      <t>MJ</t>
    </r>
    <r>
      <rPr>
        <vertAlign val="subscript"/>
        <sz val="10"/>
        <rFont val="Arial"/>
        <family val="2"/>
      </rPr>
      <t>CH4</t>
    </r>
    <r>
      <rPr>
        <sz val="10"/>
        <rFont val="Arial"/>
      </rPr>
      <t>/MJ</t>
    </r>
    <r>
      <rPr>
        <vertAlign val="subscript"/>
        <sz val="10"/>
        <rFont val="Arial"/>
        <family val="2"/>
      </rPr>
      <t>wet manure, input</t>
    </r>
  </si>
  <si>
    <t>Resulting carbon stock</t>
  </si>
  <si>
    <r>
      <t>This sheet calculates the carbon stocks of the actual land use (CS</t>
    </r>
    <r>
      <rPr>
        <vertAlign val="subscript"/>
        <sz val="10"/>
        <rFont val="Arial"/>
        <family val="2"/>
      </rPr>
      <t>A</t>
    </r>
    <r>
      <rPr>
        <sz val="10"/>
        <rFont val="Arial"/>
        <family val="2"/>
      </rPr>
      <t>) and of the reference land use (CS</t>
    </r>
    <r>
      <rPr>
        <vertAlign val="subscript"/>
        <sz val="10"/>
        <rFont val="Arial"/>
        <family val="2"/>
      </rPr>
      <t>R</t>
    </r>
    <r>
      <rPr>
        <sz val="10"/>
        <rFont val="Arial"/>
        <family val="2"/>
      </rPr>
      <t>)</t>
    </r>
  </si>
  <si>
    <r>
      <t>CS</t>
    </r>
    <r>
      <rPr>
        <vertAlign val="subscript"/>
        <sz val="10"/>
        <rFont val="Arial"/>
        <family val="2"/>
      </rPr>
      <t>A</t>
    </r>
    <r>
      <rPr>
        <sz val="10"/>
        <rFont val="Arial"/>
        <family val="2"/>
      </rPr>
      <t xml:space="preserve"> = </t>
    </r>
  </si>
  <si>
    <r>
      <t>CS</t>
    </r>
    <r>
      <rPr>
        <vertAlign val="subscript"/>
        <sz val="10"/>
        <rFont val="Arial"/>
        <family val="2"/>
      </rPr>
      <t>R</t>
    </r>
    <r>
      <rPr>
        <sz val="10"/>
        <rFont val="Arial"/>
        <family val="2"/>
      </rPr>
      <t xml:space="preserve"> = </t>
    </r>
  </si>
  <si>
    <t>Calculation of direct land use change (LUC)</t>
  </si>
  <si>
    <t>Land use change</t>
  </si>
  <si>
    <t xml:space="preserve">The calculations make use of guidelines as published in the  </t>
  </si>
  <si>
    <t>Commission Decision of 10 June 2010 on guidelines for the calculation of land use carbon stocks for the purpose of Annex V of Directive 2009/28/EC</t>
  </si>
  <si>
    <t>For the crops that do not appear in this table 11.2, several assumptions have been made taking into account as far as possible the hypothesis used in the JRC calculations.</t>
  </si>
  <si>
    <t>Example 4 (Average electricity mix in Malta)</t>
  </si>
  <si>
    <r>
      <t>kg</t>
    </r>
    <r>
      <rPr>
        <vertAlign val="subscript"/>
        <sz val="10"/>
        <rFont val="Arial"/>
        <family val="2"/>
      </rPr>
      <t>N-fertilizer</t>
    </r>
    <r>
      <rPr>
        <sz val="10"/>
        <rFont val="Arial"/>
      </rPr>
      <t xml:space="preserve"> / MJ</t>
    </r>
    <r>
      <rPr>
        <vertAlign val="subscript"/>
        <sz val="10"/>
        <rFont val="Arial"/>
        <family val="2"/>
      </rPr>
      <t>Biogas</t>
    </r>
  </si>
  <si>
    <r>
      <t>CH</t>
    </r>
    <r>
      <rPr>
        <vertAlign val="subscript"/>
        <sz val="10"/>
        <rFont val="Verdana"/>
        <family val="2"/>
      </rPr>
      <t>4</t>
    </r>
    <r>
      <rPr>
        <sz val="10"/>
        <rFont val="Verdana"/>
        <family val="2"/>
      </rPr>
      <t xml:space="preserve"> and N</t>
    </r>
    <r>
      <rPr>
        <vertAlign val="subscript"/>
        <sz val="10"/>
        <rFont val="Verdana"/>
        <family val="2"/>
      </rPr>
      <t>2</t>
    </r>
    <r>
      <rPr>
        <sz val="10"/>
        <rFont val="Verdana"/>
        <family val="2"/>
      </rPr>
      <t>O emissions from Lignite CHP</t>
    </r>
  </si>
  <si>
    <r>
      <t>CH</t>
    </r>
    <r>
      <rPr>
        <vertAlign val="subscript"/>
        <sz val="10"/>
        <rFont val="Verdana"/>
        <family val="2"/>
      </rPr>
      <t>4</t>
    </r>
    <r>
      <rPr>
        <sz val="10"/>
        <rFont val="Verdana"/>
        <family val="2"/>
      </rPr>
      <t xml:space="preserve"> and N</t>
    </r>
    <r>
      <rPr>
        <vertAlign val="subscript"/>
        <sz val="10"/>
        <rFont val="Verdana"/>
        <family val="2"/>
      </rPr>
      <t>2</t>
    </r>
    <r>
      <rPr>
        <sz val="10"/>
        <rFont val="Verdana"/>
        <family val="2"/>
      </rPr>
      <t>O emissions from Straw CHP</t>
    </r>
  </si>
  <si>
    <t>Lignite input per MJ steam</t>
  </si>
  <si>
    <t>(4) Marc Corbeels, M.; Hofman, G. and Van Cleemput, O (2000): Nitrogen cycling associated with the decomposition of sunflower stalks and wheat straw in a Vertisol. Plant and Soil 218: 71–82</t>
  </si>
  <si>
    <t>(6)(S&amp;T)2 Consultants Inc., Canada: "The addition of palm oil diesel and coal derived FT distillate to GHGENIUS"; prepared for National Resources Canada Office of Energy Efficiency; 2006</t>
  </si>
  <si>
    <t>(7) Sugar Cane’s Energy – Twelve studies on Brasilian sugar cane agribusiness and its sustainability / Isaias de Carvalho Macedo. UNICA – União da Agroindústria Canavieira do Estado de São Paulo, 2005.</t>
  </si>
  <si>
    <t>Isaias de Carvalho Macedo, Núcleo Interdisciplinar de Planajamento Energético da Universidade Estadual d Campinas - NIPE/UNICAMP; Manoel Regis Lima</t>
  </si>
  <si>
    <t>to Sunflower cake</t>
  </si>
  <si>
    <t>Refining of rapeseed oil</t>
  </si>
  <si>
    <t>Cultivation of soybean</t>
  </si>
  <si>
    <t>Transport of soybeans</t>
  </si>
  <si>
    <t>Soya cake</t>
  </si>
  <si>
    <r>
      <t>MJ</t>
    </r>
    <r>
      <rPr>
        <vertAlign val="subscript"/>
        <sz val="10"/>
        <rFont val="Arial"/>
        <family val="2"/>
      </rPr>
      <t>Soybean</t>
    </r>
    <r>
      <rPr>
        <sz val="10"/>
        <rFont val="Arial"/>
        <family val="2"/>
      </rPr>
      <t xml:space="preserve"> ha</t>
    </r>
    <r>
      <rPr>
        <vertAlign val="superscript"/>
        <sz val="10"/>
        <rFont val="Arial"/>
        <family val="2"/>
      </rPr>
      <t>-1</t>
    </r>
    <r>
      <rPr>
        <sz val="10"/>
        <rFont val="Arial"/>
        <family val="2"/>
      </rPr>
      <t xml:space="preserve"> year</t>
    </r>
    <r>
      <rPr>
        <vertAlign val="superscript"/>
        <sz val="10"/>
        <rFont val="Arial"/>
        <family val="2"/>
      </rPr>
      <t>-1</t>
    </r>
  </si>
  <si>
    <r>
      <t>MJ / MJ</t>
    </r>
    <r>
      <rPr>
        <vertAlign val="subscript"/>
        <sz val="10"/>
        <rFont val="Arial"/>
        <family val="2"/>
      </rPr>
      <t>Soybean, input</t>
    </r>
  </si>
  <si>
    <r>
      <t>kg</t>
    </r>
    <r>
      <rPr>
        <vertAlign val="subscript"/>
        <sz val="10"/>
        <rFont val="Arial"/>
        <family val="2"/>
      </rPr>
      <t>Soybean</t>
    </r>
    <r>
      <rPr>
        <sz val="10"/>
        <rFont val="Arial"/>
        <family val="2"/>
      </rPr>
      <t>/MJ</t>
    </r>
    <r>
      <rPr>
        <vertAlign val="subscript"/>
        <sz val="10"/>
        <rFont val="Arial"/>
        <family val="2"/>
      </rPr>
      <t>FAME</t>
    </r>
  </si>
  <si>
    <r>
      <t>MJ</t>
    </r>
    <r>
      <rPr>
        <vertAlign val="subscript"/>
        <sz val="10"/>
        <rFont val="Arial"/>
        <family val="2"/>
      </rPr>
      <t>Soybean</t>
    </r>
    <r>
      <rPr>
        <sz val="10"/>
        <rFont val="Arial"/>
      </rPr>
      <t xml:space="preserve"> / MJ</t>
    </r>
    <r>
      <rPr>
        <vertAlign val="subscript"/>
        <sz val="10"/>
        <rFont val="Arial"/>
        <family val="2"/>
      </rPr>
      <t>Soybean</t>
    </r>
  </si>
  <si>
    <r>
      <t>gCO</t>
    </r>
    <r>
      <rPr>
        <vertAlign val="subscript"/>
        <sz val="10"/>
        <color indexed="22"/>
        <rFont val="Verdana"/>
        <family val="2"/>
      </rPr>
      <t>2-eq</t>
    </r>
    <r>
      <rPr>
        <sz val="10"/>
        <color indexed="22"/>
        <rFont val="Verdana"/>
        <family val="2"/>
      </rPr>
      <t>/kg</t>
    </r>
  </si>
  <si>
    <r>
      <t>gCO</t>
    </r>
    <r>
      <rPr>
        <vertAlign val="subscript"/>
        <sz val="10"/>
        <color indexed="22"/>
        <rFont val="Verdana"/>
        <family val="2"/>
      </rPr>
      <t>2</t>
    </r>
    <r>
      <rPr>
        <sz val="10"/>
        <color indexed="22"/>
        <rFont val="Verdana"/>
        <family val="2"/>
      </rPr>
      <t>/MJ</t>
    </r>
  </si>
  <si>
    <r>
      <t>gCH</t>
    </r>
    <r>
      <rPr>
        <vertAlign val="subscript"/>
        <sz val="10"/>
        <color indexed="22"/>
        <rFont val="Verdana"/>
        <family val="2"/>
      </rPr>
      <t>4</t>
    </r>
    <r>
      <rPr>
        <sz val="10"/>
        <color indexed="22"/>
        <rFont val="Verdana"/>
        <family val="2"/>
      </rPr>
      <t>/MJ</t>
    </r>
  </si>
  <si>
    <r>
      <t>gN</t>
    </r>
    <r>
      <rPr>
        <vertAlign val="subscript"/>
        <sz val="10"/>
        <color indexed="22"/>
        <rFont val="Verdana"/>
        <family val="2"/>
      </rPr>
      <t>2</t>
    </r>
    <r>
      <rPr>
        <sz val="10"/>
        <color indexed="22"/>
        <rFont val="Verdana"/>
        <family val="2"/>
      </rPr>
      <t>O/MJ</t>
    </r>
  </si>
  <si>
    <r>
      <t>gCO</t>
    </r>
    <r>
      <rPr>
        <vertAlign val="subscript"/>
        <sz val="10"/>
        <color indexed="22"/>
        <rFont val="Verdana"/>
        <family val="2"/>
      </rPr>
      <t>2-eq</t>
    </r>
    <r>
      <rPr>
        <sz val="10"/>
        <color indexed="22"/>
        <rFont val="Verdana"/>
        <family val="2"/>
      </rPr>
      <t>/MJ</t>
    </r>
  </si>
  <si>
    <t>Emissions from CHP</t>
  </si>
  <si>
    <t>Fuel input / MJ steam</t>
  </si>
  <si>
    <t>over main- and co-product</t>
  </si>
  <si>
    <t>Fuels / feedstock / co-products - solids</t>
  </si>
  <si>
    <t>BioOil (co-product FAME from waste oil)</t>
  </si>
  <si>
    <r>
      <t>CH</t>
    </r>
    <r>
      <rPr>
        <vertAlign val="subscript"/>
        <sz val="10"/>
        <rFont val="Arial"/>
        <family val="2"/>
      </rPr>
      <t>4</t>
    </r>
    <r>
      <rPr>
        <sz val="10"/>
        <rFont val="Arial"/>
        <family val="2"/>
      </rPr>
      <t xml:space="preserve"> and N</t>
    </r>
    <r>
      <rPr>
        <vertAlign val="subscript"/>
        <sz val="10"/>
        <rFont val="Arial"/>
        <family val="2"/>
      </rPr>
      <t>2</t>
    </r>
    <r>
      <rPr>
        <sz val="10"/>
        <rFont val="Arial"/>
        <family val="2"/>
      </rPr>
      <t>O emissions from CHP  (to be further specified - give GHG emission coefficients for fuel used (e.g. fibres) in "user defined standard values")</t>
    </r>
  </si>
  <si>
    <r>
      <t>MJ</t>
    </r>
    <r>
      <rPr>
        <vertAlign val="subscript"/>
        <sz val="10"/>
        <color indexed="22"/>
        <rFont val="Verdana"/>
        <family val="2"/>
      </rPr>
      <t>fossil</t>
    </r>
    <r>
      <rPr>
        <sz val="10"/>
        <color indexed="22"/>
        <rFont val="Verdana"/>
        <family val="2"/>
      </rPr>
      <t>/kg</t>
    </r>
  </si>
  <si>
    <r>
      <t>MJ</t>
    </r>
    <r>
      <rPr>
        <vertAlign val="subscript"/>
        <sz val="10"/>
        <color indexed="22"/>
        <rFont val="Verdana"/>
        <family val="2"/>
      </rPr>
      <t>fossil</t>
    </r>
    <r>
      <rPr>
        <sz val="10"/>
        <color indexed="22"/>
        <rFont val="Verdana"/>
        <family val="2"/>
      </rPr>
      <t>/MJ</t>
    </r>
  </si>
  <si>
    <r>
      <t>gCH</t>
    </r>
    <r>
      <rPr>
        <vertAlign val="subscript"/>
        <sz val="10"/>
        <color indexed="22"/>
        <rFont val="Verdana"/>
        <family val="2"/>
      </rPr>
      <t>4</t>
    </r>
    <r>
      <rPr>
        <sz val="10"/>
        <color indexed="22"/>
        <rFont val="Verdana"/>
        <family val="2"/>
      </rPr>
      <t>/t.km</t>
    </r>
  </si>
  <si>
    <r>
      <t>gN</t>
    </r>
    <r>
      <rPr>
        <vertAlign val="subscript"/>
        <sz val="10"/>
        <color indexed="22"/>
        <rFont val="Verdana"/>
        <family val="2"/>
      </rPr>
      <t>2</t>
    </r>
    <r>
      <rPr>
        <sz val="10"/>
        <color indexed="22"/>
        <rFont val="Verdana"/>
        <family val="2"/>
      </rPr>
      <t>O/t.km</t>
    </r>
  </si>
  <si>
    <t>Production of Ethanol from Wheat (process fuel not specified)</t>
  </si>
  <si>
    <t>Production of Ethanol from Wheat (steam from lignite CHP)</t>
  </si>
  <si>
    <t>Production of Ethanol from Wheat (steam from natural gas boiler)</t>
  </si>
  <si>
    <t>Production of Ethanol from Wheat (steam from natural gas CHP)</t>
  </si>
  <si>
    <t>Production of Ethanol from Wheat (steam from straw CHP)</t>
  </si>
  <si>
    <t>Production of Ethanol from Corn (Community produced) (steam from natural gas CHP)</t>
  </si>
  <si>
    <t>Production of Ethanol from Sugarcane</t>
  </si>
  <si>
    <t>Production of FAME from Rapeseed (steam from natural gas boiler)</t>
  </si>
  <si>
    <t>Production of FAME from Sunflower (steam from natural gas boiler)</t>
  </si>
  <si>
    <t>Production of FAME from Soybean (steam from natural gas boiler)</t>
  </si>
  <si>
    <t>Production of FAME from Oil Palm (process not specfied)</t>
  </si>
  <si>
    <r>
      <t xml:space="preserve"> These numbers include GWP values of 23 for CH</t>
    </r>
    <r>
      <rPr>
        <vertAlign val="subscript"/>
        <sz val="10"/>
        <rFont val="Arial"/>
        <family val="2"/>
      </rPr>
      <t>4</t>
    </r>
    <r>
      <rPr>
        <sz val="10"/>
        <rFont val="Arial"/>
      </rPr>
      <t xml:space="preserve"> and 296 for N</t>
    </r>
    <r>
      <rPr>
        <vertAlign val="subscript"/>
        <sz val="10"/>
        <rFont val="Arial"/>
        <family val="2"/>
      </rPr>
      <t>2</t>
    </r>
    <r>
      <rPr>
        <sz val="10"/>
        <rFont val="Arial"/>
      </rPr>
      <t>O, plus rounded LHV values.</t>
    </r>
  </si>
  <si>
    <r>
      <t xml:space="preserve"> In order to come to these results, the GWP values of 25 for CH</t>
    </r>
    <r>
      <rPr>
        <vertAlign val="subscript"/>
        <sz val="10"/>
        <rFont val="Arial"/>
        <family val="2"/>
      </rPr>
      <t>4</t>
    </r>
    <r>
      <rPr>
        <sz val="10"/>
        <rFont val="Arial"/>
      </rPr>
      <t xml:space="preserve"> and 298 for N</t>
    </r>
    <r>
      <rPr>
        <vertAlign val="subscript"/>
        <sz val="10"/>
        <rFont val="Arial"/>
        <family val="2"/>
      </rPr>
      <t>2</t>
    </r>
    <r>
      <rPr>
        <sz val="10"/>
        <rFont val="Arial"/>
      </rPr>
      <t>O are used, as well as non-rounded LHV values</t>
    </r>
  </si>
  <si>
    <t>Fuel</t>
  </si>
  <si>
    <t>efficiency</t>
  </si>
  <si>
    <t>CNG from biogas from municipal organic waste</t>
  </si>
  <si>
    <t>Production of Biogas from municipal organic waste as CNG</t>
  </si>
  <si>
    <t>Global Warming Potentials (GWP's)</t>
  </si>
  <si>
    <t>Syn diesel (BtL)</t>
  </si>
  <si>
    <t>-</t>
  </si>
  <si>
    <t>Ethanol from wheat (natural gas steam boiler)</t>
  </si>
  <si>
    <t>Ethanol from wheat (natural gas CHP)</t>
  </si>
  <si>
    <t>Ethanol from wheat (straw CHP)</t>
  </si>
  <si>
    <t>Ethanol from sugar beet</t>
  </si>
  <si>
    <t xml:space="preserve">PVO from rape seed  </t>
  </si>
  <si>
    <t>HVO from rape seed</t>
  </si>
  <si>
    <t xml:space="preserve">HVO from sunflower  </t>
  </si>
  <si>
    <t>CHP</t>
  </si>
  <si>
    <t>Combined Heat and Power</t>
  </si>
  <si>
    <t>Dried Distillers Grains with Solubles</t>
  </si>
  <si>
    <t>per kg palm oil</t>
  </si>
  <si>
    <t>per kg refined palm oil</t>
  </si>
  <si>
    <t>per kg FAME</t>
  </si>
  <si>
    <r>
      <t>kg</t>
    </r>
    <r>
      <rPr>
        <vertAlign val="subscript"/>
        <sz val="10"/>
        <rFont val="Arial"/>
        <family val="2"/>
      </rPr>
      <t xml:space="preserve">Oil </t>
    </r>
    <r>
      <rPr>
        <sz val="10"/>
        <rFont val="Arial"/>
        <family val="2"/>
      </rPr>
      <t>/ MJ</t>
    </r>
    <r>
      <rPr>
        <vertAlign val="subscript"/>
        <sz val="10"/>
        <rFont val="Arial"/>
        <family val="2"/>
      </rPr>
      <t>FAME</t>
    </r>
    <r>
      <rPr>
        <vertAlign val="superscript"/>
        <sz val="10"/>
        <rFont val="Arial"/>
        <family val="2"/>
      </rPr>
      <t/>
    </r>
  </si>
  <si>
    <t>Fresh Fruit Bunches</t>
  </si>
  <si>
    <t>NG</t>
  </si>
  <si>
    <t>Natural Gas</t>
  </si>
  <si>
    <t>ST</t>
  </si>
  <si>
    <t>Steam Turbine</t>
  </si>
  <si>
    <t>For organic soils, refer to paragraph 4.2 of the guidelines published by the Commission (see above for the link). Where carbon stock affected by soil drainage is concerned, use an appropriate method, for instance</t>
  </si>
  <si>
    <t>Actual calculation</t>
  </si>
  <si>
    <t>- or you should calculated them following the rules set out in point 5 of Commission Decision. Use the module right to this section for that.</t>
  </si>
  <si>
    <r>
      <t>C</t>
    </r>
    <r>
      <rPr>
        <vertAlign val="subscript"/>
        <sz val="10"/>
        <rFont val="Arial"/>
        <family val="2"/>
      </rPr>
      <t>BM</t>
    </r>
  </si>
  <si>
    <t>+</t>
  </si>
  <si>
    <t>=</t>
  </si>
  <si>
    <r>
      <t xml:space="preserve">  C</t>
    </r>
    <r>
      <rPr>
        <vertAlign val="subscript"/>
        <sz val="10"/>
        <rFont val="Arial"/>
        <family val="2"/>
      </rPr>
      <t>AGB</t>
    </r>
  </si>
  <si>
    <r>
      <t>CF</t>
    </r>
    <r>
      <rPr>
        <vertAlign val="subscript"/>
        <sz val="10"/>
        <rFont val="Arial"/>
        <family val="2"/>
      </rPr>
      <t>B</t>
    </r>
  </si>
  <si>
    <r>
      <t>B</t>
    </r>
    <r>
      <rPr>
        <vertAlign val="subscript"/>
        <sz val="10"/>
        <rFont val="Arial"/>
        <family val="2"/>
      </rPr>
      <t>AGD</t>
    </r>
  </si>
  <si>
    <r>
      <t>C</t>
    </r>
    <r>
      <rPr>
        <vertAlign val="subscript"/>
        <sz val="10"/>
        <rFont val="Arial"/>
        <family val="2"/>
      </rPr>
      <t>DOM</t>
    </r>
  </si>
  <si>
    <r>
      <t>DOM</t>
    </r>
    <r>
      <rPr>
        <vertAlign val="subscript"/>
        <sz val="10"/>
        <rFont val="Arial"/>
        <family val="2"/>
      </rPr>
      <t>DW</t>
    </r>
  </si>
  <si>
    <r>
      <t>C</t>
    </r>
    <r>
      <rPr>
        <vertAlign val="subscript"/>
        <sz val="10"/>
        <rFont val="Arial"/>
        <family val="2"/>
      </rPr>
      <t>BW</t>
    </r>
  </si>
  <si>
    <r>
      <t>C</t>
    </r>
    <r>
      <rPr>
        <vertAlign val="subscript"/>
        <sz val="10"/>
        <rFont val="Arial"/>
        <family val="2"/>
      </rPr>
      <t>BGD</t>
    </r>
  </si>
  <si>
    <r>
      <t>CF</t>
    </r>
    <r>
      <rPr>
        <vertAlign val="subscript"/>
        <sz val="10"/>
        <rFont val="Arial"/>
        <family val="2"/>
      </rPr>
      <t>DW</t>
    </r>
  </si>
  <si>
    <r>
      <t>DOM</t>
    </r>
    <r>
      <rPr>
        <vertAlign val="subscript"/>
        <sz val="10"/>
        <rFont val="Arial"/>
        <family val="2"/>
      </rPr>
      <t>LI</t>
    </r>
  </si>
  <si>
    <r>
      <t>CF</t>
    </r>
    <r>
      <rPr>
        <vertAlign val="subscript"/>
        <sz val="10"/>
        <rFont val="Arial"/>
        <family val="2"/>
      </rPr>
      <t>LI</t>
    </r>
  </si>
  <si>
    <r>
      <t>C</t>
    </r>
    <r>
      <rPr>
        <vertAlign val="subscript"/>
        <sz val="10"/>
        <rFont val="Arial"/>
        <family val="2"/>
      </rPr>
      <t>LI</t>
    </r>
  </si>
  <si>
    <r>
      <t>C</t>
    </r>
    <r>
      <rPr>
        <vertAlign val="subscript"/>
        <sz val="10"/>
        <rFont val="Arial"/>
        <family val="2"/>
      </rPr>
      <t>veg</t>
    </r>
  </si>
  <si>
    <t>t carbon / ha</t>
  </si>
  <si>
    <t xml:space="preserve">Reference land use : </t>
  </si>
  <si>
    <r>
      <t>To be reported in C</t>
    </r>
    <r>
      <rPr>
        <vertAlign val="subscript"/>
        <sz val="10"/>
        <rFont val="Arial"/>
        <family val="2"/>
      </rPr>
      <t>VEG</t>
    </r>
    <r>
      <rPr>
        <sz val="10"/>
        <rFont val="Arial"/>
        <family val="2"/>
      </rPr>
      <t xml:space="preserve"> for reference land use</t>
    </r>
  </si>
  <si>
    <t xml:space="preserve">Actual land use : </t>
  </si>
  <si>
    <r>
      <t>To be reported in C</t>
    </r>
    <r>
      <rPr>
        <vertAlign val="subscript"/>
        <sz val="10"/>
        <rFont val="Arial"/>
        <family val="2"/>
      </rPr>
      <t>VEG</t>
    </r>
    <r>
      <rPr>
        <sz val="10"/>
        <rFont val="Arial"/>
        <family val="2"/>
      </rPr>
      <t xml:space="preserve"> for Actual land use</t>
    </r>
  </si>
  <si>
    <t>A file with input data that has been prepared by the JRC consortium and is available on the JEC website at</t>
  </si>
  <si>
    <t>These are numbers that can be taken from the Well-to-Wheel study, WTT Appendix 1, available at</t>
  </si>
  <si>
    <r>
      <t>kg</t>
    </r>
    <r>
      <rPr>
        <vertAlign val="subscript"/>
        <sz val="10"/>
        <rFont val="Arial"/>
        <family val="2"/>
      </rPr>
      <t>Ethanol/</t>
    </r>
    <r>
      <rPr>
        <sz val="10"/>
        <rFont val="Arial"/>
        <family val="2"/>
      </rPr>
      <t>MJ</t>
    </r>
    <r>
      <rPr>
        <vertAlign val="subscript"/>
        <sz val="10"/>
        <rFont val="Arial"/>
        <family val="2"/>
      </rPr>
      <t>Ethanol</t>
    </r>
  </si>
  <si>
    <t>per kg ethanol</t>
  </si>
  <si>
    <t xml:space="preserve">Crop data. </t>
  </si>
  <si>
    <t>Please enter the data for your crop in the blue cells</t>
  </si>
  <si>
    <t>Crop name</t>
  </si>
  <si>
    <t>Palm</t>
  </si>
  <si>
    <t>Crop yield (fresh matter)</t>
  </si>
  <si>
    <t>Humidity(%)</t>
  </si>
  <si>
    <t>Crop yield (dry matter)</t>
  </si>
  <si>
    <t>Carbon loss due to land use change</t>
  </si>
  <si>
    <t xml:space="preserve">Please enter the N additions in the form of synthetic or organic fertilizer in the blue cells </t>
  </si>
  <si>
    <t>N in crop residues</t>
  </si>
  <si>
    <t>slope</t>
  </si>
  <si>
    <t>intercept</t>
  </si>
  <si>
    <t>LHV (MJ/kg)</t>
  </si>
  <si>
    <t>kg N/ha</t>
  </si>
  <si>
    <t>N in synthetic fertilizer</t>
  </si>
  <si>
    <t>In this case, you should use "Actual calculation" module because no predefined SOC values are given.</t>
  </si>
  <si>
    <t>Organic soils</t>
  </si>
  <si>
    <t>http://www.ipcc-nggip.iges.or.jp/public/2006gl/pdf/4_Volume4/V4_02_Ch2_Generic.pdf</t>
  </si>
  <si>
    <t>the basic methodology described by IPCC starting from the equation 2.26 on page 2.35 of</t>
  </si>
  <si>
    <r>
      <t>MJ</t>
    </r>
    <r>
      <rPr>
        <vertAlign val="subscript"/>
        <sz val="10"/>
        <rFont val="Arial"/>
        <family val="2"/>
      </rPr>
      <t>Ethanol</t>
    </r>
    <r>
      <rPr>
        <sz val="10"/>
        <rFont val="Arial"/>
      </rPr>
      <t xml:space="preserve"> ha</t>
    </r>
    <r>
      <rPr>
        <vertAlign val="superscript"/>
        <sz val="10"/>
        <rFont val="Arial"/>
        <family val="2"/>
      </rPr>
      <t>-1</t>
    </r>
    <r>
      <rPr>
        <sz val="10"/>
        <rFont val="Arial"/>
      </rPr>
      <t xml:space="preserve"> year</t>
    </r>
    <r>
      <rPr>
        <vertAlign val="superscript"/>
        <sz val="10"/>
        <rFont val="Arial"/>
        <family val="2"/>
      </rPr>
      <t>-1</t>
    </r>
  </si>
  <si>
    <t>Transport of ethanol</t>
  </si>
  <si>
    <t>to ethanol</t>
  </si>
  <si>
    <t>to DDGS</t>
  </si>
  <si>
    <t>Wheat</t>
  </si>
  <si>
    <r>
      <t>MJ</t>
    </r>
    <r>
      <rPr>
        <sz val="10"/>
        <rFont val="Arial"/>
      </rPr>
      <t xml:space="preserve"> / MJ</t>
    </r>
    <r>
      <rPr>
        <vertAlign val="subscript"/>
        <sz val="10"/>
        <rFont val="Arial"/>
        <family val="2"/>
      </rPr>
      <t>Wheat</t>
    </r>
  </si>
  <si>
    <r>
      <t>g CO</t>
    </r>
    <r>
      <rPr>
        <vertAlign val="subscript"/>
        <sz val="10"/>
        <rFont val="Arial"/>
        <family val="2"/>
      </rPr>
      <t>2,eq</t>
    </r>
    <r>
      <rPr>
        <sz val="10"/>
        <rFont val="Arial"/>
        <family val="2"/>
      </rPr>
      <t xml:space="preserve"> / MJ</t>
    </r>
    <r>
      <rPr>
        <vertAlign val="subscript"/>
        <sz val="10"/>
        <rFont val="Arial"/>
        <family val="2"/>
      </rPr>
      <t>Ethanol</t>
    </r>
  </si>
  <si>
    <t>Glycerol</t>
  </si>
  <si>
    <t>Lignite</t>
  </si>
  <si>
    <t>Crude vegetable oil</t>
  </si>
  <si>
    <t>Soybean oil</t>
  </si>
  <si>
    <t>Soybeans</t>
  </si>
  <si>
    <t>FFB</t>
  </si>
  <si>
    <t>Palm oil</t>
  </si>
  <si>
    <t>Palm kernel meal</t>
  </si>
  <si>
    <t>Agro chemicals</t>
  </si>
  <si>
    <r>
      <t>Field N</t>
    </r>
    <r>
      <rPr>
        <b/>
        <vertAlign val="subscript"/>
        <sz val="10"/>
        <rFont val="Arial"/>
        <family val="2"/>
      </rPr>
      <t>2</t>
    </r>
    <r>
      <rPr>
        <b/>
        <sz val="10"/>
        <rFont val="Arial"/>
        <family val="2"/>
      </rPr>
      <t>O emissions</t>
    </r>
  </si>
  <si>
    <t>Total</t>
  </si>
  <si>
    <r>
      <t>g CO</t>
    </r>
    <r>
      <rPr>
        <b/>
        <vertAlign val="subscript"/>
        <sz val="10"/>
        <color indexed="9"/>
        <rFont val="Arial"/>
        <family val="2"/>
      </rPr>
      <t>2,eq</t>
    </r>
    <r>
      <rPr>
        <b/>
        <sz val="10"/>
        <color indexed="9"/>
        <rFont val="Arial"/>
        <family val="2"/>
      </rPr>
      <t xml:space="preserve"> / MJ</t>
    </r>
    <r>
      <rPr>
        <b/>
        <vertAlign val="subscript"/>
        <sz val="10"/>
        <color indexed="9"/>
        <rFont val="Arial"/>
        <family val="2"/>
      </rPr>
      <t>Ethanol</t>
    </r>
  </si>
  <si>
    <t>Totals</t>
  </si>
  <si>
    <t>Overview Results</t>
  </si>
  <si>
    <t>Calculation per phase</t>
  </si>
  <si>
    <r>
      <t>MJ</t>
    </r>
    <r>
      <rPr>
        <vertAlign val="subscript"/>
        <sz val="10"/>
        <rFont val="Arial"/>
        <family val="2"/>
      </rPr>
      <t>Wheat</t>
    </r>
    <r>
      <rPr>
        <sz val="10"/>
        <rFont val="Arial"/>
        <family val="2"/>
      </rPr>
      <t xml:space="preserve"> ha</t>
    </r>
    <r>
      <rPr>
        <vertAlign val="superscript"/>
        <sz val="10"/>
        <rFont val="Arial"/>
        <family val="2"/>
      </rPr>
      <t>-1</t>
    </r>
    <r>
      <rPr>
        <sz val="10"/>
        <rFont val="Arial"/>
        <family val="2"/>
      </rPr>
      <t xml:space="preserve"> year</t>
    </r>
    <r>
      <rPr>
        <vertAlign val="superscript"/>
        <sz val="10"/>
        <rFont val="Arial"/>
        <family val="2"/>
      </rPr>
      <t>-1</t>
    </r>
  </si>
  <si>
    <r>
      <t>g CO</t>
    </r>
    <r>
      <rPr>
        <vertAlign val="subscript"/>
        <sz val="10"/>
        <rFont val="Arial"/>
        <family val="2"/>
      </rPr>
      <t>2</t>
    </r>
  </si>
  <si>
    <r>
      <t>g CH</t>
    </r>
    <r>
      <rPr>
        <vertAlign val="subscript"/>
        <sz val="10"/>
        <rFont val="Arial"/>
        <family val="2"/>
      </rPr>
      <t>4</t>
    </r>
  </si>
  <si>
    <r>
      <t>g N</t>
    </r>
    <r>
      <rPr>
        <vertAlign val="subscript"/>
        <sz val="10"/>
        <rFont val="Arial"/>
        <family val="2"/>
      </rPr>
      <t>2</t>
    </r>
    <r>
      <rPr>
        <sz val="10"/>
        <rFont val="Arial"/>
        <family val="2"/>
      </rPr>
      <t>O</t>
    </r>
  </si>
  <si>
    <r>
      <t>g CO</t>
    </r>
    <r>
      <rPr>
        <vertAlign val="subscript"/>
        <sz val="10"/>
        <rFont val="Arial"/>
        <family val="2"/>
      </rPr>
      <t>2, eq</t>
    </r>
  </si>
  <si>
    <t>Allocation</t>
  </si>
  <si>
    <t>Total emission after allocation:</t>
  </si>
  <si>
    <t>Total emission without allocation:</t>
  </si>
  <si>
    <t>Total emission with allocation:</t>
  </si>
  <si>
    <t>Emission Reduction:</t>
  </si>
  <si>
    <t>factor</t>
  </si>
  <si>
    <t>Allocation factors</t>
  </si>
  <si>
    <t>STANDARD VALUES</t>
  </si>
  <si>
    <t xml:space="preserve">parameter: </t>
  </si>
  <si>
    <t>GHG emission coefficient</t>
  </si>
  <si>
    <t>Fossil energy input</t>
  </si>
  <si>
    <t>Source</t>
  </si>
  <si>
    <t>Remark / question</t>
  </si>
  <si>
    <t xml:space="preserve">unit: </t>
  </si>
  <si>
    <t>MJ/t.km</t>
  </si>
  <si>
    <t xml:space="preserve"> (at 0% water)</t>
  </si>
  <si>
    <t xml:space="preserve">Agro inputs </t>
  </si>
  <si>
    <t>Seeds- corn</t>
  </si>
  <si>
    <t>Seeds- rapeseed</t>
  </si>
  <si>
    <t>Seeds- soy bean</t>
  </si>
  <si>
    <t>Seeds- sugarbeet</t>
  </si>
  <si>
    <t>Seeds- sugarcane</t>
  </si>
  <si>
    <t>Seeds- sunflower</t>
  </si>
  <si>
    <t>Seeds- wheat</t>
  </si>
  <si>
    <t>EFB compost (palm oil)</t>
  </si>
  <si>
    <t xml:space="preserve">Fuels- gasses </t>
  </si>
  <si>
    <t xml:space="preserve">(3) Scarlat, N.; Martinov, M. and Dallemand, J.-F. (2010): Assessment of the availability of agricultural crop residues in the European Union: Potential and limitations for bioenergy use. Waste Management 30, pp 1189 - 1897 </t>
  </si>
  <si>
    <t>Resulting carbon stock in vegetation</t>
  </si>
  <si>
    <t>Resulting carbon stock in soils</t>
  </si>
  <si>
    <r>
      <t>C</t>
    </r>
    <r>
      <rPr>
        <vertAlign val="subscript"/>
        <sz val="10"/>
        <rFont val="Arial"/>
        <family val="2"/>
      </rPr>
      <t>veg-R</t>
    </r>
    <r>
      <rPr>
        <sz val="10"/>
        <rFont val="Arial"/>
        <family val="2"/>
      </rPr>
      <t>=</t>
    </r>
  </si>
  <si>
    <r>
      <t>C</t>
    </r>
    <r>
      <rPr>
        <vertAlign val="subscript"/>
        <sz val="10"/>
        <rFont val="Arial"/>
        <family val="2"/>
      </rPr>
      <t>veg-A</t>
    </r>
    <r>
      <rPr>
        <sz val="10"/>
        <rFont val="Arial"/>
        <family val="2"/>
      </rPr>
      <t>=</t>
    </r>
  </si>
  <si>
    <t xml:space="preserve">LUC : value that will be used in calculations : </t>
  </si>
  <si>
    <t>Reference management practices</t>
  </si>
  <si>
    <t>The reference practices shall be the practices in use on January 2008 or 20 years before the raw material was obtained, whichever was the later.</t>
  </si>
  <si>
    <t>POME</t>
  </si>
  <si>
    <t>Palm Oil Mill Effluent</t>
  </si>
  <si>
    <t>WTT Appendix 1 (v3) paragraph 2.1 &amp; 6.1 (GA1)</t>
  </si>
  <si>
    <t>FAME</t>
  </si>
  <si>
    <r>
      <t>MJ</t>
    </r>
    <r>
      <rPr>
        <vertAlign val="subscript"/>
        <sz val="10"/>
        <rFont val="Arial"/>
        <family val="2"/>
      </rPr>
      <t>CNG</t>
    </r>
    <r>
      <rPr>
        <sz val="10"/>
        <rFont val="Arial"/>
      </rPr>
      <t>/MJ</t>
    </r>
    <r>
      <rPr>
        <vertAlign val="subscript"/>
        <sz val="10"/>
        <rFont val="Arial"/>
        <family val="2"/>
      </rPr>
      <t>wet manure, input</t>
    </r>
  </si>
  <si>
    <t>or "XME" which is RME, PME, SME etc</t>
  </si>
  <si>
    <t>Hard coal</t>
  </si>
  <si>
    <t>Sugar beet</t>
  </si>
  <si>
    <t>Sunflowerseed</t>
  </si>
  <si>
    <t>Rapeseed meal</t>
  </si>
  <si>
    <t>Soy bean meal</t>
  </si>
  <si>
    <t>Sugar beet pulp</t>
  </si>
  <si>
    <t>Sugar beet slops</t>
  </si>
  <si>
    <t>Electricity</t>
  </si>
  <si>
    <t xml:space="preserve">Conversion inputs </t>
  </si>
  <si>
    <t>n-Hexane</t>
  </si>
  <si>
    <t>Sodium Hydroxide (NaOH)</t>
  </si>
  <si>
    <t>Potassium hydroxide (KOH)</t>
  </si>
  <si>
    <t>Hydrogen (for HVO)</t>
  </si>
  <si>
    <t xml:space="preserve">Transport efficiencies </t>
  </si>
  <si>
    <t>Truck for dry product (Diesel)</t>
  </si>
  <si>
    <t>Truck for FFB transport (Diesel)</t>
  </si>
  <si>
    <t>others</t>
  </si>
  <si>
    <t>More detail information</t>
  </si>
  <si>
    <t xml:space="preserve">Ex : </t>
  </si>
  <si>
    <t xml:space="preserve">If using data from other methods than measurements : </t>
  </si>
  <si>
    <t xml:space="preserve">Please confirm that they take into account : </t>
  </si>
  <si>
    <t>climate</t>
  </si>
  <si>
    <t>land cover</t>
  </si>
  <si>
    <t>land management and inputs.</t>
  </si>
  <si>
    <t>If measurements : where were they made, who carried them out, years of measurements,</t>
  </si>
  <si>
    <r>
      <t xml:space="preserve"> In cases where the carbon stock accumulates over more than one year, the value attributed to CS</t>
    </r>
    <r>
      <rPr>
        <i/>
        <vertAlign val="subscript"/>
        <sz val="10"/>
        <rFont val="Arial"/>
        <family val="2"/>
      </rPr>
      <t>A</t>
    </r>
    <r>
      <rPr>
        <i/>
        <sz val="10"/>
        <rFont val="Arial"/>
        <family val="2"/>
      </rPr>
      <t xml:space="preserve"> shall be the estimated stock per unit area after 20 years, </t>
    </r>
  </si>
  <si>
    <t>Comments</t>
  </si>
  <si>
    <t>It should be noted that this Tier 1 method gives rise to large uncertainties. An indication of the uncertainty is the -70%, +300% uncertainty range given for the direct emissions default factors provided by IPCC for the Tier 1 approach. Even this range does not capture some field measurements made.</t>
  </si>
  <si>
    <t>Actual/</t>
  </si>
  <si>
    <t>Default</t>
  </si>
  <si>
    <t>A</t>
  </si>
  <si>
    <t>N in organic fertilizer</t>
  </si>
  <si>
    <t xml:space="preserve">N mineralized </t>
  </si>
  <si>
    <t>Eq 11.6</t>
  </si>
  <si>
    <t>Eq 11.7A</t>
  </si>
  <si>
    <t>min</t>
  </si>
  <si>
    <t>max</t>
  </si>
  <si>
    <t>per ha</t>
  </si>
  <si>
    <r>
      <t>The calculations make use of IPCC methodology Tier 1 on the estimation of N</t>
    </r>
    <r>
      <rPr>
        <vertAlign val="subscript"/>
        <sz val="10"/>
        <rFont val="Arial"/>
        <family val="2"/>
      </rPr>
      <t>2</t>
    </r>
    <r>
      <rPr>
        <sz val="10"/>
        <rFont val="Arial"/>
      </rPr>
      <t>O emissions from managed soils (1).</t>
    </r>
  </si>
  <si>
    <r>
      <t>F</t>
    </r>
    <r>
      <rPr>
        <b/>
        <vertAlign val="subscript"/>
        <sz val="10"/>
        <rFont val="Arial"/>
        <family val="2"/>
      </rPr>
      <t>CR</t>
    </r>
  </si>
  <si>
    <r>
      <t>F</t>
    </r>
    <r>
      <rPr>
        <b/>
        <vertAlign val="subscript"/>
        <sz val="10"/>
        <rFont val="Arial"/>
        <family val="2"/>
      </rPr>
      <t>SOM</t>
    </r>
  </si>
  <si>
    <r>
      <t>N</t>
    </r>
    <r>
      <rPr>
        <vertAlign val="subscript"/>
        <sz val="10"/>
        <rFont val="Arial"/>
        <family val="2"/>
      </rPr>
      <t>AG</t>
    </r>
  </si>
  <si>
    <r>
      <t>AG</t>
    </r>
    <r>
      <rPr>
        <b/>
        <vertAlign val="subscript"/>
        <sz val="10"/>
        <rFont val="Arial"/>
        <family val="2"/>
      </rPr>
      <t>DM(T)</t>
    </r>
  </si>
  <si>
    <r>
      <t>R</t>
    </r>
    <r>
      <rPr>
        <vertAlign val="subscript"/>
        <sz val="10"/>
        <rFont val="Arial"/>
        <family val="2"/>
      </rPr>
      <t>AG(T)</t>
    </r>
  </si>
  <si>
    <r>
      <t>R</t>
    </r>
    <r>
      <rPr>
        <vertAlign val="subscript"/>
        <sz val="10"/>
        <rFont val="Arial"/>
        <family val="2"/>
      </rPr>
      <t>BG-BIO(T)</t>
    </r>
  </si>
  <si>
    <r>
      <t>N</t>
    </r>
    <r>
      <rPr>
        <vertAlign val="subscript"/>
        <sz val="10"/>
        <rFont val="Arial"/>
        <family val="2"/>
      </rPr>
      <t>BG</t>
    </r>
  </si>
  <si>
    <r>
      <t>R</t>
    </r>
    <r>
      <rPr>
        <vertAlign val="subscript"/>
        <sz val="10"/>
        <rFont val="Arial"/>
        <family val="2"/>
      </rPr>
      <t>BG(T)</t>
    </r>
  </si>
  <si>
    <r>
      <t xml:space="preserve"> BG</t>
    </r>
    <r>
      <rPr>
        <vertAlign val="subscript"/>
        <sz val="10"/>
        <rFont val="Arial"/>
        <family val="2"/>
      </rPr>
      <t>DM(T)</t>
    </r>
  </si>
  <si>
    <r>
      <t>F</t>
    </r>
    <r>
      <rPr>
        <vertAlign val="subscript"/>
        <sz val="10"/>
        <rFont val="Arial"/>
        <family val="2"/>
      </rPr>
      <t>SN</t>
    </r>
  </si>
  <si>
    <r>
      <t>AG</t>
    </r>
    <r>
      <rPr>
        <vertAlign val="subscript"/>
        <sz val="10"/>
        <rFont val="Arial"/>
        <family val="2"/>
      </rPr>
      <t>DM(T)</t>
    </r>
  </si>
  <si>
    <r>
      <t>F</t>
    </r>
    <r>
      <rPr>
        <vertAlign val="subscript"/>
        <sz val="10"/>
        <rFont val="Arial"/>
        <family val="2"/>
      </rPr>
      <t>ON</t>
    </r>
  </si>
  <si>
    <r>
      <t xml:space="preserve">Frac </t>
    </r>
    <r>
      <rPr>
        <vertAlign val="subscript"/>
        <sz val="10"/>
        <rFont val="Arial"/>
        <family val="2"/>
      </rPr>
      <t>Renew(T)</t>
    </r>
  </si>
  <si>
    <r>
      <t>F</t>
    </r>
    <r>
      <rPr>
        <vertAlign val="subscript"/>
        <sz val="10"/>
        <rFont val="Arial"/>
        <family val="2"/>
      </rPr>
      <t>CR</t>
    </r>
  </si>
  <si>
    <r>
      <t>F</t>
    </r>
    <r>
      <rPr>
        <vertAlign val="subscript"/>
        <sz val="10"/>
        <rFont val="Arial"/>
        <family val="2"/>
      </rPr>
      <t>SOM</t>
    </r>
  </si>
  <si>
    <r>
      <t>N</t>
    </r>
    <r>
      <rPr>
        <vertAlign val="subscript"/>
        <sz val="10"/>
        <rFont val="Arial"/>
        <family val="2"/>
      </rPr>
      <t>AG(T)</t>
    </r>
  </si>
  <si>
    <r>
      <t xml:space="preserve">Frac </t>
    </r>
    <r>
      <rPr>
        <vertAlign val="subscript"/>
        <sz val="10"/>
        <rFont val="Arial"/>
        <family val="2"/>
      </rPr>
      <t>Remove(T)</t>
    </r>
  </si>
  <si>
    <r>
      <t>N</t>
    </r>
    <r>
      <rPr>
        <vertAlign val="subscript"/>
        <sz val="10"/>
        <rFont val="Arial"/>
        <family val="2"/>
      </rPr>
      <t>BG(T)</t>
    </r>
  </si>
  <si>
    <r>
      <t>N</t>
    </r>
    <r>
      <rPr>
        <vertAlign val="subscript"/>
        <sz val="10"/>
        <rFont val="Arial"/>
        <family val="2"/>
      </rPr>
      <t>2</t>
    </r>
    <r>
      <rPr>
        <sz val="10"/>
        <rFont val="Arial"/>
        <family val="2"/>
      </rPr>
      <t xml:space="preserve">O_N </t>
    </r>
    <r>
      <rPr>
        <vertAlign val="subscript"/>
        <sz val="10"/>
        <rFont val="Arial"/>
        <family val="2"/>
      </rPr>
      <t>N inputs</t>
    </r>
  </si>
  <si>
    <r>
      <t>N</t>
    </r>
    <r>
      <rPr>
        <b/>
        <vertAlign val="subscript"/>
        <sz val="10"/>
        <rFont val="Arial"/>
        <family val="2"/>
      </rPr>
      <t>2</t>
    </r>
    <r>
      <rPr>
        <b/>
        <sz val="10"/>
        <rFont val="Arial"/>
        <family val="2"/>
      </rPr>
      <t>O</t>
    </r>
    <r>
      <rPr>
        <b/>
        <vertAlign val="subscript"/>
        <sz val="10"/>
        <rFont val="Arial"/>
        <family val="2"/>
      </rPr>
      <t>(ATD)</t>
    </r>
    <r>
      <rPr>
        <b/>
        <sz val="10"/>
        <rFont val="Arial"/>
        <family val="2"/>
      </rPr>
      <t>-N</t>
    </r>
  </si>
  <si>
    <r>
      <t>N</t>
    </r>
    <r>
      <rPr>
        <b/>
        <vertAlign val="subscript"/>
        <sz val="10"/>
        <rFont val="Arial"/>
        <family val="2"/>
      </rPr>
      <t>2</t>
    </r>
    <r>
      <rPr>
        <b/>
        <sz val="10"/>
        <rFont val="Arial"/>
        <family val="2"/>
      </rPr>
      <t>O</t>
    </r>
    <r>
      <rPr>
        <b/>
        <vertAlign val="subscript"/>
        <sz val="10"/>
        <rFont val="Arial"/>
        <family val="2"/>
      </rPr>
      <t>(L)</t>
    </r>
    <r>
      <rPr>
        <b/>
        <sz val="10"/>
        <rFont val="Arial"/>
        <family val="2"/>
      </rPr>
      <t>-N</t>
    </r>
  </si>
  <si>
    <r>
      <t xml:space="preserve">Frac </t>
    </r>
    <r>
      <rPr>
        <vertAlign val="subscript"/>
        <sz val="10"/>
        <rFont val="Arial"/>
        <family val="2"/>
      </rPr>
      <t>GASM</t>
    </r>
  </si>
  <si>
    <r>
      <t xml:space="preserve">Frac </t>
    </r>
    <r>
      <rPr>
        <vertAlign val="subscript"/>
        <sz val="10"/>
        <rFont val="Arial"/>
        <family val="2"/>
      </rPr>
      <t>GASF</t>
    </r>
  </si>
  <si>
    <r>
      <t>EF</t>
    </r>
    <r>
      <rPr>
        <vertAlign val="subscript"/>
        <sz val="10"/>
        <rFont val="Arial"/>
        <family val="2"/>
      </rPr>
      <t>4</t>
    </r>
  </si>
  <si>
    <r>
      <t xml:space="preserve">Frac </t>
    </r>
    <r>
      <rPr>
        <vertAlign val="subscript"/>
        <sz val="10"/>
        <rFont val="Arial"/>
        <family val="2"/>
      </rPr>
      <t>LEACH(H)</t>
    </r>
  </si>
  <si>
    <r>
      <t>EF</t>
    </r>
    <r>
      <rPr>
        <vertAlign val="subscript"/>
        <sz val="10"/>
        <rFont val="Arial"/>
        <family val="2"/>
      </rPr>
      <t>5</t>
    </r>
  </si>
  <si>
    <t>LBST, which is a consultant to the JEC consortium and a subcontractor to the BioGrace project, uses the LCA tool and database E3database to perform their GHG calculations.</t>
  </si>
  <si>
    <r>
      <t>MJ</t>
    </r>
    <r>
      <rPr>
        <vertAlign val="subscript"/>
        <sz val="10"/>
        <rFont val="Arial"/>
        <family val="2"/>
      </rPr>
      <t>CH4</t>
    </r>
    <r>
      <rPr>
        <sz val="10"/>
        <rFont val="Arial"/>
      </rPr>
      <t>/MJ</t>
    </r>
    <r>
      <rPr>
        <vertAlign val="subscript"/>
        <sz val="10"/>
        <rFont val="Arial"/>
        <family val="2"/>
      </rPr>
      <t>organic waste, input</t>
    </r>
  </si>
  <si>
    <t>About this Excel tool</t>
  </si>
  <si>
    <t xml:space="preserve">This excel tool shows transparant greenhouse gas (GHG) calculations using the methodology as given in the Directives 2009/28/EC and 2009/30/EC. Directive 2009/28/EC is the "directive on the promotion and the use of energy from renewable energy sources …" and will in this document be referred to as "RED" (Renewable Energy Directive). Directive 2009/30/EC is further referred to as the "FQD" (Fuel Quality Directive). </t>
  </si>
  <si>
    <t>Use of this Excel tool</t>
  </si>
  <si>
    <r>
      <t>Standard values</t>
    </r>
    <r>
      <rPr>
        <sz val="10"/>
        <rFont val="Arial"/>
      </rPr>
      <t xml:space="preserve"> used are listed in the sheet "Standard values" in this Excel tool. This sheet is protected.</t>
    </r>
  </si>
  <si>
    <t>Use of this BioGrace Excel tool to show compliance with RED / FQD sustainability criteria on GHG emission savings</t>
  </si>
  <si>
    <t>Build modified or completely new pathways</t>
  </si>
  <si>
    <t>5. The pathway – without any prefilled input values – (as disaggregated default values cannot be used for such a modified pathway) will be made available on www.BioGrace.net.</t>
  </si>
  <si>
    <t xml:space="preserve">    need to check the modifications made to the pathway.</t>
  </si>
  <si>
    <t xml:space="preserve">    financed. This might be different for BioGrace-I as compared to BioGrace-II.</t>
  </si>
  <si>
    <t>Annual input</t>
  </si>
  <si>
    <t>Annual output</t>
  </si>
  <si>
    <t>Lower heating value (on dry basis)</t>
  </si>
  <si>
    <t>Amount</t>
  </si>
  <si>
    <t>Mass percentage of water</t>
  </si>
  <si>
    <t>Energy</t>
  </si>
  <si>
    <t>Input fuels</t>
  </si>
  <si>
    <t>[MJ/kg]</t>
  </si>
  <si>
    <t>[ton]</t>
  </si>
  <si>
    <t>[%]</t>
  </si>
  <si>
    <t>[MWh]</t>
  </si>
  <si>
    <t>Gross electricity production</t>
  </si>
  <si>
    <t>Internal usage electricity</t>
  </si>
  <si>
    <t>Electricity losses</t>
  </si>
  <si>
    <t>Net electricity production</t>
  </si>
  <si>
    <t>Gross heat production</t>
  </si>
  <si>
    <t>Internal usage heat</t>
  </si>
  <si>
    <t>Heat losses</t>
  </si>
  <si>
    <t>Heat quality (average)</t>
  </si>
  <si>
    <t>Net heat production</t>
  </si>
  <si>
    <t>[C]</t>
  </si>
  <si>
    <t>Total nett heat production</t>
  </si>
  <si>
    <t>Total annual input of fuel</t>
  </si>
  <si>
    <t>Results</t>
  </si>
  <si>
    <t>Heat quality</t>
  </si>
  <si>
    <r>
      <t>n</t>
    </r>
    <r>
      <rPr>
        <vertAlign val="subscript"/>
        <sz val="11"/>
        <color indexed="8"/>
        <rFont val="Calibri"/>
        <family val="2"/>
      </rPr>
      <t>el</t>
    </r>
  </si>
  <si>
    <t>Efficiency electricity</t>
  </si>
  <si>
    <t>(average)</t>
  </si>
  <si>
    <r>
      <t>n</t>
    </r>
    <r>
      <rPr>
        <vertAlign val="subscript"/>
        <sz val="11"/>
        <color indexed="8"/>
        <rFont val="Calibri"/>
        <family val="2"/>
      </rPr>
      <t>h1</t>
    </r>
  </si>
  <si>
    <r>
      <t>n</t>
    </r>
    <r>
      <rPr>
        <vertAlign val="subscript"/>
        <sz val="11"/>
        <color indexed="8"/>
        <rFont val="Calibri"/>
        <family val="2"/>
      </rPr>
      <t>h2</t>
    </r>
  </si>
  <si>
    <r>
      <t>n</t>
    </r>
    <r>
      <rPr>
        <vertAlign val="subscript"/>
        <sz val="11"/>
        <color indexed="8"/>
        <rFont val="Calibri"/>
        <family val="2"/>
      </rPr>
      <t>h3</t>
    </r>
  </si>
  <si>
    <r>
      <t>n</t>
    </r>
    <r>
      <rPr>
        <vertAlign val="subscript"/>
        <sz val="11"/>
        <color indexed="8"/>
        <rFont val="Calibri"/>
        <family val="2"/>
      </rPr>
      <t>h4</t>
    </r>
  </si>
  <si>
    <t>Total thermal efficiency</t>
  </si>
  <si>
    <t>Total efficiency</t>
  </si>
  <si>
    <t>Calculate electrical and/or thermal efficiencies</t>
  </si>
  <si>
    <t>Transport of rapeseed oil</t>
  </si>
  <si>
    <t>Transport of refined vegetable oil</t>
  </si>
  <si>
    <t>Refined vegetable oil</t>
  </si>
  <si>
    <t>Transport of soybean oil</t>
  </si>
  <si>
    <t>Transport of refined palm oil</t>
  </si>
  <si>
    <t>Transport of waste vegetable or animal oil</t>
  </si>
  <si>
    <t>Transport of refined oil</t>
  </si>
  <si>
    <t>Transport sunflower oil</t>
  </si>
  <si>
    <t>Transport refined oil</t>
  </si>
  <si>
    <t>1. Users can make a request to the BioGrace scheme holder to make a modified or completely new pathway.</t>
  </si>
  <si>
    <t>2. The BioGrace scheme holder will decide whether this pathway will be made (and at which costs, see point 6. below) and communicate this back to the user making the request.</t>
  </si>
  <si>
    <t>3. If the user and the scheme holder come to an agreement, the modified or new pathway will be made by or on behalf of the BioGrace scheme holder. Modifications will be made with</t>
  </si>
  <si>
    <t xml:space="preserve">    “Track changes” set to “off”. After all modifications have been made, the BioGrace scheme holder will put “Track changes” to “on” again.</t>
  </si>
  <si>
    <t>4. The BioGrace scheme holder is responsible for making a correct pathway, a double-check will be performed to make sure that the pathway is correct. As a result, a verifier does not</t>
  </si>
  <si>
    <t>7. Once the modified pathway has been build, the BioGrace scheme holder will inform the European Commission about the addition of the pathway.</t>
  </si>
  <si>
    <t>Users of this tool might find that it is difficult to make extensive changes to pathways in this Excel tool when keeping the “Track changes” to “on” as this will mark all changes causing that lay-out gets lost. The BioGrace scheme holder cannot make a version of the Excel tool in which the track changes can be turned to “off” and later (after making changes to the pathway configuration) back to “on”, because this would cause that some changes to the input numbers in the tool can also be made with track changes set temporarily to “off”. The BioGrace scheme holder does not want to allow this as a verifier should be sure that all changes made to the input numbers are marked by “track changes”.</t>
  </si>
  <si>
    <t>The scheme holders of the BioGrace-I and BioGrace-II GHG calculation tools propose the following solution when modified or completely new pathways need to be made:</t>
  </si>
  <si>
    <t>6. The BioGrace scheme holder can ask to pay for the costs to make the modified pathway. Whether or not such a fee will be requested for will depend on how the scheme holdership is</t>
  </si>
  <si>
    <r>
      <t xml:space="preserve">project (for more information see </t>
    </r>
    <r>
      <rPr>
        <u/>
        <sz val="10"/>
        <color indexed="12"/>
        <rFont val="Arial"/>
        <family val="2"/>
      </rPr>
      <t>www.biograce.net</t>
    </r>
    <r>
      <rPr>
        <sz val="10"/>
        <rFont val="Arial"/>
        <family val="2"/>
      </rPr>
      <t>). Per April 2015, IFEU is the BioGrace-I scheme holder.</t>
    </r>
  </si>
  <si>
    <t>The results of the calculations are expressed as "default values". This means that for reproducing the RED Annex V default values, the input data for emissions of the processing steps (as were taken from the first data source as mentioned below) have been multiplied by 1.4 as is explained in the Communication "voluntary schemes and default values". In some steps in some pathways (eg. biogas generation via fermentation" in the three CNG from biogas production pathways) the factor 1,4 has been inserted in a different way as multiplying the input numbers with 1,4 is not possible for all input numbers in these steps.</t>
  </si>
  <si>
    <t>Version 4d for Testing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</si>
</sst>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164" formatCode="_-&quot;€&quot;\ * #,##0.00_-;_-&quot;€&quot;\ * #,##0.00\-;_-&quot;€&quot;\ * &quot;-&quot;??_-;_-@_-"/>
    <numFmt numFmtId="165" formatCode="_-* #,##0.00_-;_-* #,##0.00\-;_-* &quot;-&quot;??_-;_-@_-"/>
    <numFmt numFmtId="166" formatCode="0.0"/>
    <numFmt numFmtId="167" formatCode="_-* #,##0_-;_-* #,##0\-;_-* &quot;-&quot;??_-;_-@_-"/>
    <numFmt numFmtId="168" formatCode="0.000"/>
    <numFmt numFmtId="169" formatCode="0.0%"/>
    <numFmt numFmtId="170" formatCode="0.0000"/>
    <numFmt numFmtId="171" formatCode="0.00000"/>
    <numFmt numFmtId="172" formatCode="_-* #,##0.0000_-;_-* #,##0.0000\-;_-* &quot;-&quot;??_-;_-@_-"/>
    <numFmt numFmtId="173" formatCode="_-* #,##0.00000_-;_-* #,##0.00000\-;_-* &quot;-&quot;?_-;_-@_-"/>
    <numFmt numFmtId="174" formatCode="0.000000"/>
    <numFmt numFmtId="175" formatCode="_-* #,##0.0_-;_-* #,##0.0\-;_-* &quot;-&quot;??_-;_-@_-"/>
    <numFmt numFmtId="176" formatCode="_-* #,##0.000_-;_-* #,##0.000\-;_-* &quot;-&quot;??_-;_-@_-"/>
    <numFmt numFmtId="177" formatCode="#,##0.000_ ;\-#,##0.000\ "/>
    <numFmt numFmtId="178" formatCode="#,##0.00_ ;\-#,##0.00\ "/>
    <numFmt numFmtId="179" formatCode="#,##0.000"/>
  </numFmts>
  <fonts count="138" x14ac:knownFonts="1">
    <font>
      <sz val="10"/>
      <name val="Arial"/>
    </font>
    <font>
      <sz val="10"/>
      <name val="Arial"/>
    </font>
    <font>
      <vertAlign val="subscript"/>
      <sz val="10"/>
      <name val="Arial"/>
      <family val="2"/>
    </font>
    <font>
      <vertAlign val="superscript"/>
      <sz val="10"/>
      <name val="Arial"/>
      <family val="2"/>
    </font>
    <font>
      <b/>
      <sz val="12"/>
      <color indexed="21"/>
      <name val="Arial"/>
      <family val="2"/>
    </font>
    <font>
      <b/>
      <sz val="10"/>
      <name val="Arial"/>
      <family val="2"/>
    </font>
    <font>
      <b/>
      <vertAlign val="subscript"/>
      <sz val="10"/>
      <name val="Arial"/>
      <family val="2"/>
    </font>
    <font>
      <sz val="10"/>
      <name val="Arial"/>
      <family val="2"/>
    </font>
    <font>
      <u/>
      <sz val="10"/>
      <color indexed="12"/>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10"/>
      <color indexed="12"/>
      <name val="Arial"/>
      <family val="2"/>
    </font>
    <font>
      <sz val="8"/>
      <name val="Arial"/>
      <family val="2"/>
    </font>
    <font>
      <b/>
      <sz val="12"/>
      <color indexed="9"/>
      <name val="Arial"/>
      <family val="2"/>
    </font>
    <font>
      <sz val="10"/>
      <color indexed="9"/>
      <name val="Arial"/>
      <family val="2"/>
    </font>
    <font>
      <b/>
      <sz val="14"/>
      <color indexed="9"/>
      <name val="Arial"/>
      <family val="2"/>
    </font>
    <font>
      <b/>
      <sz val="10"/>
      <color indexed="9"/>
      <name val="Arial"/>
      <family val="2"/>
    </font>
    <font>
      <b/>
      <vertAlign val="subscript"/>
      <sz val="10"/>
      <color indexed="9"/>
      <name val="Arial"/>
      <family val="2"/>
    </font>
    <font>
      <sz val="10"/>
      <color indexed="9"/>
      <name val="Arial"/>
      <family val="2"/>
    </font>
    <font>
      <sz val="14"/>
      <color indexed="9"/>
      <name val="Arial"/>
      <family val="2"/>
    </font>
    <font>
      <b/>
      <sz val="14"/>
      <name val="Arial"/>
      <family val="2"/>
    </font>
    <font>
      <b/>
      <sz val="9"/>
      <name val="Arial"/>
      <family val="2"/>
    </font>
    <font>
      <b/>
      <sz val="10"/>
      <color indexed="9"/>
      <name val="Arial"/>
      <family val="2"/>
    </font>
    <font>
      <sz val="10"/>
      <name val="Verdana"/>
      <family val="2"/>
    </font>
    <font>
      <b/>
      <sz val="10"/>
      <name val="Verdana"/>
      <family val="2"/>
    </font>
    <font>
      <b/>
      <sz val="10"/>
      <color indexed="18"/>
      <name val="Verdana"/>
      <family val="2"/>
    </font>
    <font>
      <vertAlign val="subscript"/>
      <sz val="10"/>
      <name val="Verdana"/>
      <family val="2"/>
    </font>
    <font>
      <i/>
      <sz val="10"/>
      <name val="Verdana"/>
      <family val="2"/>
    </font>
    <font>
      <sz val="10"/>
      <color indexed="55"/>
      <name val="Verdana"/>
      <family val="2"/>
    </font>
    <font>
      <b/>
      <i/>
      <sz val="10"/>
      <name val="Verdana"/>
      <family val="2"/>
    </font>
    <font>
      <i/>
      <sz val="10"/>
      <name val="Arial"/>
      <family val="2"/>
    </font>
    <font>
      <b/>
      <sz val="10"/>
      <color indexed="10"/>
      <name val="Arial"/>
      <family val="2"/>
    </font>
    <font>
      <b/>
      <vertAlign val="subscript"/>
      <sz val="12"/>
      <color indexed="9"/>
      <name val="Arial"/>
      <family val="2"/>
    </font>
    <font>
      <sz val="9"/>
      <name val="Arial"/>
      <family val="2"/>
    </font>
    <font>
      <b/>
      <sz val="10"/>
      <color indexed="18"/>
      <name val="Arial"/>
      <family val="2"/>
    </font>
    <font>
      <b/>
      <i/>
      <sz val="10"/>
      <color indexed="9"/>
      <name val="Arial"/>
      <family val="2"/>
    </font>
    <font>
      <b/>
      <i/>
      <vertAlign val="subscript"/>
      <sz val="10"/>
      <color indexed="9"/>
      <name val="Arial"/>
      <family val="2"/>
    </font>
    <font>
      <b/>
      <sz val="12"/>
      <color indexed="22"/>
      <name val="Arial"/>
      <family val="2"/>
    </font>
    <font>
      <b/>
      <u/>
      <sz val="12"/>
      <color indexed="22"/>
      <name val="Arial"/>
      <family val="2"/>
    </font>
    <font>
      <i/>
      <sz val="10"/>
      <name val="Arial"/>
      <family val="2"/>
    </font>
    <font>
      <b/>
      <sz val="14"/>
      <color indexed="8"/>
      <name val="Arial"/>
      <family val="2"/>
    </font>
    <font>
      <sz val="14"/>
      <color indexed="8"/>
      <name val="Arial"/>
      <family val="2"/>
    </font>
    <font>
      <sz val="10"/>
      <color indexed="26"/>
      <name val="Arial"/>
      <family val="2"/>
    </font>
    <font>
      <b/>
      <sz val="10"/>
      <color indexed="26"/>
      <name val="Arial"/>
      <family val="2"/>
    </font>
    <font>
      <b/>
      <sz val="10"/>
      <color indexed="26"/>
      <name val="Arial"/>
      <family val="2"/>
    </font>
    <font>
      <sz val="10"/>
      <color indexed="26"/>
      <name val="Arial"/>
      <family val="2"/>
    </font>
    <font>
      <b/>
      <sz val="10"/>
      <color indexed="9"/>
      <name val="Verdana"/>
      <family val="2"/>
    </font>
    <font>
      <sz val="10"/>
      <color indexed="9"/>
      <name val="Verdana"/>
      <family val="2"/>
    </font>
    <font>
      <b/>
      <sz val="10"/>
      <color indexed="22"/>
      <name val="Verdana"/>
      <family val="2"/>
    </font>
    <font>
      <sz val="10"/>
      <color indexed="22"/>
      <name val="Verdana"/>
      <family val="2"/>
    </font>
    <font>
      <i/>
      <sz val="10"/>
      <color indexed="22"/>
      <name val="Verdana"/>
      <family val="2"/>
    </font>
    <font>
      <b/>
      <sz val="10"/>
      <color indexed="27"/>
      <name val="Verdana"/>
      <family val="2"/>
    </font>
    <font>
      <vertAlign val="subscript"/>
      <sz val="10"/>
      <color indexed="22"/>
      <name val="Verdana"/>
      <family val="2"/>
    </font>
    <font>
      <b/>
      <sz val="16"/>
      <color indexed="9"/>
      <name val="Verdana"/>
      <family val="2"/>
    </font>
    <font>
      <b/>
      <i/>
      <sz val="10"/>
      <color indexed="27"/>
      <name val="Verdana"/>
      <family val="2"/>
    </font>
    <font>
      <i/>
      <sz val="10"/>
      <color indexed="27"/>
      <name val="Arial"/>
      <family val="2"/>
    </font>
    <font>
      <sz val="12"/>
      <name val="Arial"/>
      <family val="2"/>
    </font>
    <font>
      <vertAlign val="superscript"/>
      <sz val="10"/>
      <color indexed="22"/>
      <name val="Verdana"/>
      <family val="2"/>
    </font>
    <font>
      <sz val="14"/>
      <name val="Arial"/>
      <family val="2"/>
    </font>
    <font>
      <u/>
      <sz val="14"/>
      <color indexed="12"/>
      <name val="Arial"/>
      <family val="2"/>
    </font>
    <font>
      <sz val="10"/>
      <color indexed="41"/>
      <name val="Verdana"/>
      <family val="2"/>
    </font>
    <font>
      <u/>
      <sz val="10"/>
      <name val="Arial"/>
      <family val="2"/>
    </font>
    <font>
      <sz val="10"/>
      <color indexed="22"/>
      <name val="Arial"/>
      <family val="2"/>
    </font>
    <font>
      <b/>
      <sz val="10"/>
      <name val="Arial"/>
      <family val="2"/>
    </font>
    <font>
      <sz val="10"/>
      <color indexed="18"/>
      <name val="Arial"/>
      <family val="2"/>
    </font>
    <font>
      <b/>
      <vertAlign val="subscript"/>
      <sz val="10"/>
      <color indexed="18"/>
      <name val="Arial"/>
      <family val="2"/>
    </font>
    <font>
      <b/>
      <sz val="20"/>
      <color indexed="9"/>
      <name val="Arial"/>
      <family val="2"/>
    </font>
    <font>
      <i/>
      <vertAlign val="subscript"/>
      <sz val="10"/>
      <name val="Arial"/>
      <family val="2"/>
    </font>
    <font>
      <b/>
      <vertAlign val="superscript"/>
      <sz val="10"/>
      <name val="Arial"/>
      <family val="2"/>
    </font>
    <font>
      <b/>
      <sz val="10"/>
      <color indexed="62"/>
      <name val="Arial"/>
      <family val="2"/>
    </font>
    <font>
      <b/>
      <vertAlign val="subscript"/>
      <sz val="10"/>
      <color indexed="62"/>
      <name val="Arial"/>
      <family val="2"/>
    </font>
    <font>
      <b/>
      <vertAlign val="superscript"/>
      <sz val="10"/>
      <color indexed="62"/>
      <name val="Arial"/>
      <family val="2"/>
    </font>
    <font>
      <b/>
      <sz val="11"/>
      <name val="Arial"/>
      <family val="2"/>
    </font>
    <font>
      <b/>
      <vertAlign val="subscript"/>
      <sz val="11"/>
      <name val="Arial"/>
      <family val="2"/>
    </font>
    <font>
      <sz val="10"/>
      <color indexed="60"/>
      <name val="Arial"/>
      <family val="2"/>
    </font>
    <font>
      <sz val="10"/>
      <color indexed="62"/>
      <name val="Arial"/>
      <family val="2"/>
    </font>
    <font>
      <b/>
      <sz val="10"/>
      <color indexed="62"/>
      <name val="Arial"/>
      <family val="2"/>
    </font>
    <font>
      <sz val="8"/>
      <name val="Arial"/>
      <family val="2"/>
    </font>
    <font>
      <sz val="10"/>
      <color indexed="41"/>
      <name val="Arial"/>
      <family val="2"/>
    </font>
    <font>
      <sz val="10"/>
      <name val="Calibri"/>
      <family val="2"/>
    </font>
    <font>
      <sz val="10"/>
      <color indexed="55"/>
      <name val="Arial"/>
      <family val="2"/>
    </font>
    <font>
      <sz val="10"/>
      <color indexed="40"/>
      <name val="Arial"/>
      <family val="2"/>
    </font>
    <font>
      <b/>
      <u/>
      <sz val="10"/>
      <name val="Arial"/>
      <family val="2"/>
    </font>
    <font>
      <b/>
      <vertAlign val="subscript"/>
      <sz val="14"/>
      <color indexed="9"/>
      <name val="Arial"/>
      <family val="2"/>
    </font>
    <font>
      <b/>
      <u/>
      <vertAlign val="subscript"/>
      <sz val="10"/>
      <name val="Arial"/>
      <family val="2"/>
    </font>
    <font>
      <b/>
      <sz val="12"/>
      <color indexed="19"/>
      <name val="Arial"/>
      <family val="2"/>
    </font>
    <font>
      <u/>
      <sz val="10"/>
      <color indexed="62"/>
      <name val="Arial"/>
      <family val="2"/>
    </font>
    <font>
      <b/>
      <vertAlign val="subscript"/>
      <sz val="12"/>
      <color indexed="19"/>
      <name val="Arial"/>
      <family val="2"/>
    </font>
    <font>
      <u/>
      <vertAlign val="subscript"/>
      <sz val="10"/>
      <color indexed="12"/>
      <name val="Arial"/>
      <family val="2"/>
    </font>
    <font>
      <sz val="10"/>
      <color indexed="16"/>
      <name val="Arial"/>
      <family val="2"/>
    </font>
    <font>
      <b/>
      <sz val="10"/>
      <color indexed="16"/>
      <name val="Arial"/>
      <family val="2"/>
    </font>
    <font>
      <b/>
      <vertAlign val="subscript"/>
      <sz val="10"/>
      <color indexed="16"/>
      <name val="Arial"/>
      <family val="2"/>
    </font>
    <font>
      <vertAlign val="subscript"/>
      <sz val="10"/>
      <color indexed="16"/>
      <name val="Arial"/>
      <family val="2"/>
    </font>
    <font>
      <b/>
      <u/>
      <sz val="10"/>
      <color indexed="62"/>
      <name val="Arial"/>
      <family val="2"/>
    </font>
    <font>
      <i/>
      <sz val="10"/>
      <color indexed="62"/>
      <name val="Arial"/>
      <family val="2"/>
    </font>
    <font>
      <sz val="10"/>
      <color indexed="27"/>
      <name val="Arial"/>
      <family val="2"/>
    </font>
    <font>
      <sz val="10"/>
      <color indexed="19"/>
      <name val="Arial"/>
      <family val="2"/>
    </font>
    <font>
      <sz val="9"/>
      <color indexed="19"/>
      <name val="Arial"/>
      <family val="2"/>
    </font>
    <font>
      <b/>
      <sz val="10"/>
      <color indexed="27"/>
      <name val="Arial"/>
      <family val="2"/>
    </font>
    <font>
      <u/>
      <vertAlign val="subscript"/>
      <sz val="14"/>
      <color indexed="12"/>
      <name val="Arial"/>
      <family val="2"/>
    </font>
    <font>
      <sz val="8"/>
      <color indexed="81"/>
      <name val="Tahoma"/>
      <family val="2"/>
    </font>
    <font>
      <b/>
      <sz val="8"/>
      <color indexed="81"/>
      <name val="Tahoma"/>
      <family val="2"/>
    </font>
    <font>
      <b/>
      <sz val="8"/>
      <color indexed="9"/>
      <name val="Arial"/>
      <family val="2"/>
    </font>
    <font>
      <i/>
      <sz val="10"/>
      <color indexed="54"/>
      <name val="Arial"/>
      <family val="2"/>
    </font>
    <font>
      <sz val="10"/>
      <color indexed="54"/>
      <name val="Arial"/>
      <family val="2"/>
    </font>
    <font>
      <b/>
      <sz val="10"/>
      <color indexed="54"/>
      <name val="Arial"/>
      <family val="2"/>
    </font>
    <font>
      <b/>
      <sz val="12"/>
      <name val="Arial"/>
      <family val="2"/>
    </font>
    <font>
      <sz val="8"/>
      <name val="Arial"/>
      <family val="2"/>
    </font>
    <font>
      <b/>
      <sz val="8"/>
      <name val="Arial"/>
      <family val="2"/>
    </font>
    <font>
      <b/>
      <sz val="18"/>
      <color indexed="19"/>
      <name val="Arial"/>
      <family val="2"/>
    </font>
    <font>
      <vertAlign val="subscript"/>
      <sz val="10"/>
      <color indexed="18"/>
      <name val="Arial"/>
      <family val="2"/>
    </font>
    <font>
      <sz val="10"/>
      <color indexed="10"/>
      <name val="Arial"/>
      <family val="2"/>
    </font>
    <font>
      <sz val="10"/>
      <color indexed="41"/>
      <name val="Arial"/>
      <family val="2"/>
    </font>
    <font>
      <u/>
      <sz val="10"/>
      <name val="Arial"/>
      <family val="2"/>
    </font>
    <font>
      <sz val="8"/>
      <color indexed="41"/>
      <name val="Arial"/>
      <family val="2"/>
    </font>
    <font>
      <sz val="10"/>
      <color indexed="9"/>
      <name val="Arial"/>
      <family val="2"/>
    </font>
    <font>
      <vertAlign val="subscript"/>
      <sz val="11"/>
      <color indexed="8"/>
      <name val="Calibri"/>
      <family val="2"/>
    </font>
    <font>
      <sz val="11"/>
      <color theme="1"/>
      <name val="Calibri"/>
      <family val="2"/>
      <scheme val="minor"/>
    </font>
    <font>
      <sz val="11"/>
      <color theme="0"/>
      <name val="Calibri"/>
      <family val="2"/>
      <scheme val="minor"/>
    </font>
    <font>
      <b/>
      <sz val="11"/>
      <color theme="1"/>
      <name val="Calibri"/>
      <family val="2"/>
      <scheme val="minor"/>
    </font>
    <font>
      <sz val="10"/>
      <color theme="1"/>
      <name val="Arial"/>
      <family val="2"/>
    </font>
    <font>
      <b/>
      <sz val="12"/>
      <color rgb="FF000000"/>
      <name val="Arial"/>
      <family val="2"/>
    </font>
    <font>
      <sz val="9"/>
      <color indexed="81"/>
      <name val="Segoe UI"/>
      <family val="2"/>
    </font>
  </fonts>
  <fills count="65">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6"/>
      </patternFill>
    </fill>
    <fill>
      <patternFill patternType="solid">
        <fgColor indexed="43"/>
      </patternFill>
    </fill>
    <fill>
      <patternFill patternType="solid">
        <fgColor indexed="18"/>
        <bgColor indexed="64"/>
      </patternFill>
    </fill>
    <fill>
      <patternFill patternType="solid">
        <fgColor indexed="26"/>
        <bgColor indexed="64"/>
      </patternFill>
    </fill>
    <fill>
      <patternFill patternType="solid">
        <fgColor indexed="50"/>
        <bgColor indexed="64"/>
      </patternFill>
    </fill>
    <fill>
      <patternFill patternType="solid">
        <fgColor indexed="9"/>
        <bgColor indexed="64"/>
      </patternFill>
    </fill>
    <fill>
      <patternFill patternType="solid">
        <fgColor indexed="22"/>
        <bgColor indexed="64"/>
      </patternFill>
    </fill>
    <fill>
      <patternFill patternType="solid">
        <fgColor indexed="41"/>
        <bgColor indexed="64"/>
      </patternFill>
    </fill>
    <fill>
      <patternFill patternType="solid">
        <fgColor indexed="40"/>
        <bgColor indexed="64"/>
      </patternFill>
    </fill>
    <fill>
      <patternFill patternType="solid">
        <fgColor indexed="19"/>
        <bgColor indexed="64"/>
      </patternFill>
    </fill>
    <fill>
      <patternFill patternType="solid">
        <fgColor indexed="43"/>
        <bgColor indexed="64"/>
      </patternFill>
    </fill>
    <fill>
      <patternFill patternType="solid">
        <fgColor indexed="24"/>
        <bgColor indexed="64"/>
      </patternFill>
    </fill>
    <fill>
      <patternFill patternType="solid">
        <fgColor indexed="27"/>
        <bgColor indexed="64"/>
      </patternFill>
    </fill>
    <fill>
      <patternFill patternType="solid">
        <fgColor indexed="25"/>
        <bgColor indexed="64"/>
      </patternFill>
    </fill>
    <fill>
      <patternFill patternType="solid">
        <fgColor indexed="13"/>
        <bgColor indexed="64"/>
      </patternFill>
    </fill>
    <fill>
      <patternFill patternType="solid">
        <fgColor indexed="34"/>
        <bgColor indexed="64"/>
      </patternFill>
    </fill>
    <fill>
      <patternFill patternType="solid">
        <fgColor theme="9"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0"/>
        <bgColor indexed="64"/>
      </patternFill>
    </fill>
    <fill>
      <patternFill patternType="solid">
        <fgColor rgb="FFBFBFBF"/>
        <bgColor indexed="64"/>
      </patternFill>
    </fill>
    <fill>
      <patternFill patternType="solid">
        <fgColor rgb="FFA0BE91"/>
        <bgColor indexed="64"/>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59999389629810485"/>
        <bgColor indexed="65"/>
      </patternFill>
    </fill>
    <fill>
      <patternFill patternType="solid">
        <fgColor theme="9" tint="0.39997558519241921"/>
        <bgColor indexed="65"/>
      </patternFill>
    </fill>
  </fills>
  <borders count="200">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thick">
        <color indexed="51"/>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dashed">
        <color indexed="27"/>
      </left>
      <right style="dashed">
        <color indexed="27"/>
      </right>
      <top style="dashed">
        <color indexed="27"/>
      </top>
      <bottom style="dashed">
        <color indexed="27"/>
      </bottom>
      <diagonal/>
    </border>
    <border>
      <left/>
      <right style="dashed">
        <color indexed="27"/>
      </right>
      <top style="dashed">
        <color indexed="27"/>
      </top>
      <bottom style="dashed">
        <color indexed="27"/>
      </bottom>
      <diagonal/>
    </border>
    <border>
      <left style="dashed">
        <color indexed="27"/>
      </left>
      <right style="dashed">
        <color indexed="27"/>
      </right>
      <top/>
      <bottom style="dashed">
        <color indexed="27"/>
      </bottom>
      <diagonal/>
    </border>
    <border>
      <left/>
      <right/>
      <top/>
      <bottom style="thin">
        <color indexed="64"/>
      </bottom>
      <diagonal/>
    </border>
    <border>
      <left/>
      <right style="thin">
        <color indexed="64"/>
      </right>
      <top/>
      <bottom/>
      <diagonal/>
    </border>
    <border>
      <left style="thin">
        <color indexed="64"/>
      </left>
      <right style="thin">
        <color indexed="64"/>
      </right>
      <top/>
      <bottom style="thin">
        <color indexed="64"/>
      </bottom>
      <diagonal/>
    </border>
    <border>
      <left/>
      <right style="medium">
        <color indexed="64"/>
      </right>
      <top/>
      <bottom/>
      <diagonal/>
    </border>
    <border>
      <left/>
      <right style="medium">
        <color indexed="64"/>
      </right>
      <top/>
      <bottom style="thin">
        <color indexed="64"/>
      </bottom>
      <diagonal/>
    </border>
    <border>
      <left/>
      <right style="thick">
        <color indexed="64"/>
      </right>
      <top/>
      <bottom/>
      <diagonal/>
    </border>
    <border>
      <left/>
      <right style="dashed">
        <color indexed="27"/>
      </right>
      <top/>
      <bottom style="dashed">
        <color indexed="27"/>
      </bottom>
      <diagonal/>
    </border>
    <border>
      <left/>
      <right style="medium">
        <color indexed="64"/>
      </right>
      <top style="dashed">
        <color indexed="27"/>
      </top>
      <bottom style="dashed">
        <color indexed="27"/>
      </bottom>
      <diagonal/>
    </border>
    <border>
      <left/>
      <right/>
      <top style="medium">
        <color indexed="64"/>
      </top>
      <bottom/>
      <diagonal/>
    </border>
    <border>
      <left style="thin">
        <color indexed="64"/>
      </left>
      <right style="medium">
        <color indexed="64"/>
      </right>
      <top/>
      <bottom/>
      <diagonal/>
    </border>
    <border>
      <left style="medium">
        <color indexed="64"/>
      </left>
      <right style="medium">
        <color indexed="64"/>
      </right>
      <top/>
      <bottom/>
      <diagonal/>
    </border>
    <border>
      <left/>
      <right style="medium">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thin">
        <color indexed="64"/>
      </right>
      <top/>
      <bottom style="thin">
        <color indexed="64"/>
      </bottom>
      <diagonal/>
    </border>
    <border>
      <left style="medium">
        <color indexed="64"/>
      </left>
      <right/>
      <top/>
      <bottom/>
      <diagonal/>
    </border>
    <border>
      <left style="medium">
        <color indexed="64"/>
      </left>
      <right style="dashed">
        <color indexed="27"/>
      </right>
      <top style="dashed">
        <color indexed="27"/>
      </top>
      <bottom style="dashed">
        <color indexed="27"/>
      </bottom>
      <diagonal/>
    </border>
    <border>
      <left style="medium">
        <color indexed="64"/>
      </left>
      <right style="dashed">
        <color indexed="27"/>
      </right>
      <top style="dashed">
        <color indexed="27"/>
      </top>
      <bottom style="medium">
        <color indexed="64"/>
      </bottom>
      <diagonal/>
    </border>
    <border>
      <left/>
      <right style="dashed">
        <color indexed="27"/>
      </right>
      <top style="dashed">
        <color indexed="27"/>
      </top>
      <bottom style="medium">
        <color indexed="64"/>
      </bottom>
      <diagonal/>
    </border>
    <border>
      <left style="dashed">
        <color indexed="27"/>
      </left>
      <right style="dashed">
        <color indexed="27"/>
      </right>
      <top style="dashed">
        <color indexed="27"/>
      </top>
      <bottom style="medium">
        <color indexed="64"/>
      </bottom>
      <diagonal/>
    </border>
    <border>
      <left style="dashed">
        <color indexed="27"/>
      </left>
      <right style="medium">
        <color indexed="64"/>
      </right>
      <top style="dashed">
        <color indexed="27"/>
      </top>
      <bottom style="medium">
        <color indexed="64"/>
      </bottom>
      <diagonal/>
    </border>
    <border>
      <left style="dashed">
        <color indexed="27"/>
      </left>
      <right style="medium">
        <color indexed="64"/>
      </right>
      <top style="dashed">
        <color indexed="27"/>
      </top>
      <bottom style="dashed">
        <color indexed="27"/>
      </bottom>
      <diagonal/>
    </border>
    <border>
      <left style="dashed">
        <color indexed="27"/>
      </left>
      <right style="medium">
        <color indexed="64"/>
      </right>
      <top/>
      <bottom style="dashed">
        <color indexed="27"/>
      </bottom>
      <diagonal/>
    </border>
    <border>
      <left style="medium">
        <color indexed="64"/>
      </left>
      <right style="medium">
        <color indexed="64"/>
      </right>
      <top/>
      <bottom style="dashed">
        <color indexed="27"/>
      </bottom>
      <diagonal/>
    </border>
    <border>
      <left style="medium">
        <color indexed="64"/>
      </left>
      <right style="medium">
        <color indexed="64"/>
      </right>
      <top style="dashed">
        <color indexed="27"/>
      </top>
      <bottom style="dashed">
        <color indexed="27"/>
      </bottom>
      <diagonal/>
    </border>
    <border>
      <left style="medium">
        <color indexed="64"/>
      </left>
      <right style="medium">
        <color indexed="64"/>
      </right>
      <top style="dashed">
        <color indexed="27"/>
      </top>
      <bottom style="medium">
        <color indexed="64"/>
      </bottom>
      <diagonal/>
    </border>
    <border>
      <left/>
      <right style="medium">
        <color indexed="64"/>
      </right>
      <top/>
      <bottom style="dashed">
        <color indexed="27"/>
      </bottom>
      <diagonal/>
    </border>
    <border>
      <left/>
      <right style="medium">
        <color indexed="64"/>
      </right>
      <top/>
      <bottom style="thin">
        <color indexed="8"/>
      </bottom>
      <diagonal/>
    </border>
    <border>
      <left style="thin">
        <color indexed="64"/>
      </left>
      <right/>
      <top/>
      <bottom style="thin">
        <color indexed="8"/>
      </bottom>
      <diagonal/>
    </border>
    <border>
      <left/>
      <right style="medium">
        <color indexed="64"/>
      </right>
      <top style="medium">
        <color indexed="64"/>
      </top>
      <bottom style="medium">
        <color indexed="64"/>
      </bottom>
      <diagonal/>
    </border>
    <border>
      <left style="medium">
        <color indexed="64"/>
      </left>
      <right style="dashed">
        <color indexed="27"/>
      </right>
      <top/>
      <bottom style="dashed">
        <color indexed="27"/>
      </bottom>
      <diagonal/>
    </border>
    <border>
      <left/>
      <right/>
      <top style="thin">
        <color indexed="64"/>
      </top>
      <bottom style="thin">
        <color indexed="64"/>
      </bottom>
      <diagonal/>
    </border>
    <border>
      <left/>
      <right style="dashed">
        <color indexed="64"/>
      </right>
      <top style="dashed">
        <color indexed="64"/>
      </top>
      <bottom/>
      <diagonal/>
    </border>
    <border>
      <left style="dashed">
        <color indexed="64"/>
      </left>
      <right style="medium">
        <color indexed="64"/>
      </right>
      <top style="dashed">
        <color indexed="64"/>
      </top>
      <bottom/>
      <diagonal/>
    </border>
    <border>
      <left/>
      <right style="medium">
        <color indexed="64"/>
      </right>
      <top style="dashed">
        <color indexed="64"/>
      </top>
      <bottom/>
      <diagonal/>
    </border>
    <border>
      <left/>
      <right style="dashed">
        <color indexed="64"/>
      </right>
      <top style="dashed">
        <color indexed="64"/>
      </top>
      <bottom style="dashed">
        <color indexed="64"/>
      </bottom>
      <diagonal/>
    </border>
    <border>
      <left style="dashed">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medium">
        <color indexed="64"/>
      </right>
      <top/>
      <bottom style="medium">
        <color indexed="64"/>
      </bottom>
      <diagonal/>
    </border>
    <border>
      <left style="dashed">
        <color indexed="64"/>
      </left>
      <right style="dashed">
        <color indexed="64"/>
      </right>
      <top/>
      <bottom style="dashed">
        <color indexed="64"/>
      </bottom>
      <diagonal/>
    </border>
    <border>
      <left style="dashed">
        <color indexed="64"/>
      </left>
      <right style="medium">
        <color indexed="64"/>
      </right>
      <top/>
      <bottom style="dashed">
        <color indexed="64"/>
      </bottom>
      <diagonal/>
    </border>
    <border>
      <left/>
      <right style="dashed">
        <color indexed="64"/>
      </right>
      <top/>
      <bottom style="dashed">
        <color indexed="64"/>
      </bottom>
      <diagonal/>
    </border>
    <border>
      <left style="dashed">
        <color indexed="64"/>
      </left>
      <right style="dashed">
        <color indexed="64"/>
      </right>
      <top/>
      <bottom/>
      <diagonal/>
    </border>
    <border>
      <left style="dashed">
        <color indexed="64"/>
      </left>
      <right style="medium">
        <color indexed="64"/>
      </right>
      <top/>
      <bottom/>
      <diagonal/>
    </border>
    <border>
      <left/>
      <right style="dashed">
        <color indexed="64"/>
      </right>
      <top style="dotted">
        <color indexed="64"/>
      </top>
      <bottom style="dotted">
        <color indexed="64"/>
      </bottom>
      <diagonal/>
    </border>
    <border>
      <left/>
      <right style="dashed">
        <color indexed="64"/>
      </right>
      <top style="dashed">
        <color indexed="64"/>
      </top>
      <bottom style="dotted">
        <color indexed="64"/>
      </bottom>
      <diagonal/>
    </border>
    <border>
      <left style="dashed">
        <color indexed="64"/>
      </left>
      <right style="medium">
        <color indexed="64"/>
      </right>
      <top style="dashed">
        <color indexed="64"/>
      </top>
      <bottom style="dotted">
        <color indexed="64"/>
      </bottom>
      <diagonal/>
    </border>
    <border>
      <left style="dashed">
        <color indexed="64"/>
      </left>
      <right style="dashed">
        <color indexed="64"/>
      </right>
      <top style="dashed">
        <color indexed="64"/>
      </top>
      <bottom style="dotted">
        <color indexed="64"/>
      </bottom>
      <diagonal/>
    </border>
    <border>
      <left style="dashed">
        <color indexed="64"/>
      </left>
      <right style="medium">
        <color indexed="64"/>
      </right>
      <top style="dotted">
        <color indexed="64"/>
      </top>
      <bottom style="dotted">
        <color indexed="64"/>
      </bottom>
      <diagonal/>
    </border>
    <border>
      <left style="dashed">
        <color indexed="64"/>
      </left>
      <right style="dashed">
        <color indexed="64"/>
      </right>
      <top style="dotted">
        <color indexed="64"/>
      </top>
      <bottom style="dotted">
        <color indexed="64"/>
      </bottom>
      <diagonal/>
    </border>
    <border>
      <left style="dashed">
        <color indexed="64"/>
      </left>
      <right style="dashed">
        <color indexed="64"/>
      </right>
      <top style="dotted">
        <color indexed="64"/>
      </top>
      <bottom style="dashed">
        <color indexed="64"/>
      </bottom>
      <diagonal/>
    </border>
    <border>
      <left style="dashed">
        <color indexed="64"/>
      </left>
      <right style="medium">
        <color indexed="64"/>
      </right>
      <top style="dotted">
        <color indexed="64"/>
      </top>
      <bottom style="dashed">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style="dashed">
        <color indexed="64"/>
      </bottom>
      <diagonal/>
    </border>
    <border>
      <left style="medium">
        <color indexed="64"/>
      </left>
      <right style="dashed">
        <color indexed="64"/>
      </right>
      <top style="dashed">
        <color indexed="64"/>
      </top>
      <bottom style="dashed">
        <color indexed="64"/>
      </bottom>
      <diagonal/>
    </border>
    <border>
      <left style="medium">
        <color indexed="64"/>
      </left>
      <right style="dashed">
        <color indexed="64"/>
      </right>
      <top/>
      <bottom style="dashed">
        <color indexed="64"/>
      </bottom>
      <diagonal/>
    </border>
    <border>
      <left style="medium">
        <color indexed="64"/>
      </left>
      <right style="dashed">
        <color indexed="64"/>
      </right>
      <top style="dashed">
        <color indexed="64"/>
      </top>
      <bottom/>
      <diagonal/>
    </border>
    <border>
      <left style="medium">
        <color indexed="64"/>
      </left>
      <right/>
      <top style="dashed">
        <color indexed="64"/>
      </top>
      <bottom/>
      <diagonal/>
    </border>
    <border>
      <left/>
      <right style="dotted">
        <color indexed="64"/>
      </right>
      <top style="dashed">
        <color indexed="64"/>
      </top>
      <bottom style="dotted">
        <color indexed="64"/>
      </bottom>
      <diagonal/>
    </border>
    <border>
      <left/>
      <right style="dotted">
        <color indexed="64"/>
      </right>
      <top style="dotted">
        <color indexed="64"/>
      </top>
      <bottom style="dotted">
        <color indexed="64"/>
      </bottom>
      <diagonal/>
    </border>
    <border>
      <left/>
      <right style="dotted">
        <color indexed="64"/>
      </right>
      <top style="dotted">
        <color indexed="64"/>
      </top>
      <bottom style="dashed">
        <color indexed="64"/>
      </bottom>
      <diagonal/>
    </border>
    <border>
      <left style="dashed">
        <color indexed="64"/>
      </left>
      <right style="dashed">
        <color indexed="64"/>
      </right>
      <top style="dashed">
        <color indexed="64"/>
      </top>
      <bottom/>
      <diagonal/>
    </border>
    <border>
      <left style="dotted">
        <color indexed="64"/>
      </left>
      <right style="dotted">
        <color indexed="64"/>
      </right>
      <top style="dashed">
        <color indexed="64"/>
      </top>
      <bottom style="dotted">
        <color indexed="64"/>
      </bottom>
      <diagonal/>
    </border>
    <border>
      <left style="dotted">
        <color indexed="64"/>
      </left>
      <right style="dotted">
        <color indexed="64"/>
      </right>
      <top style="dotted">
        <color indexed="64"/>
      </top>
      <bottom style="dotted">
        <color indexed="64"/>
      </bottom>
      <diagonal/>
    </border>
    <border>
      <left style="dotted">
        <color indexed="64"/>
      </left>
      <right style="dotted">
        <color indexed="64"/>
      </right>
      <top style="dotted">
        <color indexed="64"/>
      </top>
      <bottom style="dashed">
        <color indexed="64"/>
      </bottom>
      <diagonal/>
    </border>
    <border>
      <left style="dotted">
        <color indexed="64"/>
      </left>
      <right style="medium">
        <color indexed="64"/>
      </right>
      <top style="dashed">
        <color indexed="64"/>
      </top>
      <bottom style="dotted">
        <color indexed="64"/>
      </bottom>
      <diagonal/>
    </border>
    <border>
      <left style="dotted">
        <color indexed="64"/>
      </left>
      <right style="medium">
        <color indexed="64"/>
      </right>
      <top style="dotted">
        <color indexed="64"/>
      </top>
      <bottom style="dotted">
        <color indexed="64"/>
      </bottom>
      <diagonal/>
    </border>
    <border>
      <left style="dotted">
        <color indexed="64"/>
      </left>
      <right style="medium">
        <color indexed="64"/>
      </right>
      <top style="dotted">
        <color indexed="64"/>
      </top>
      <bottom style="dashed">
        <color indexed="64"/>
      </bottom>
      <diagonal/>
    </border>
    <border>
      <left/>
      <right style="dashed">
        <color indexed="64"/>
      </right>
      <top style="dotted">
        <color indexed="64"/>
      </top>
      <bottom style="dashed">
        <color indexed="64"/>
      </bottom>
      <diagonal/>
    </border>
    <border>
      <left style="thin">
        <color indexed="64"/>
      </left>
      <right/>
      <top/>
      <bottom/>
      <diagonal/>
    </border>
    <border>
      <left style="medium">
        <color indexed="64"/>
      </left>
      <right style="thin">
        <color indexed="64"/>
      </right>
      <top/>
      <bottom/>
      <diagonal/>
    </border>
    <border>
      <left/>
      <right style="dashed">
        <color indexed="64"/>
      </right>
      <top/>
      <bottom/>
      <diagonal/>
    </border>
    <border>
      <left style="medium">
        <color indexed="64"/>
      </left>
      <right style="medium">
        <color indexed="64"/>
      </right>
      <top style="medium">
        <color indexed="64"/>
      </top>
      <bottom style="medium">
        <color indexed="64"/>
      </bottom>
      <diagonal/>
    </border>
    <border>
      <left/>
      <right/>
      <top style="dashed">
        <color indexed="64"/>
      </top>
      <bottom/>
      <diagonal/>
    </border>
    <border>
      <left style="dotted">
        <color indexed="64"/>
      </left>
      <right style="dashed">
        <color indexed="64"/>
      </right>
      <top style="dashed">
        <color indexed="64"/>
      </top>
      <bottom/>
      <diagonal/>
    </border>
    <border>
      <left style="medium">
        <color indexed="64"/>
      </left>
      <right style="dashed">
        <color indexed="64"/>
      </right>
      <top style="dashed">
        <color indexed="64"/>
      </top>
      <bottom style="medium">
        <color indexed="64"/>
      </bottom>
      <diagonal/>
    </border>
    <border>
      <left style="dashed">
        <color indexed="64"/>
      </left>
      <right style="medium">
        <color indexed="64"/>
      </right>
      <top style="dashed">
        <color indexed="64"/>
      </top>
      <bottom style="medium">
        <color indexed="64"/>
      </bottom>
      <diagonal/>
    </border>
    <border>
      <left/>
      <right/>
      <top style="dashed">
        <color indexed="64"/>
      </top>
      <bottom style="medium">
        <color indexed="64"/>
      </bottom>
      <diagonal/>
    </border>
    <border>
      <left style="dotted">
        <color indexed="64"/>
      </left>
      <right style="dashed">
        <color indexed="64"/>
      </right>
      <top style="dashed">
        <color indexed="64"/>
      </top>
      <bottom style="medium">
        <color indexed="64"/>
      </bottom>
      <diagonal/>
    </border>
    <border>
      <left style="dashed">
        <color indexed="64"/>
      </left>
      <right style="dashed">
        <color indexed="64"/>
      </right>
      <top style="dashed">
        <color indexed="64"/>
      </top>
      <bottom style="medium">
        <color indexed="64"/>
      </bottom>
      <diagonal/>
    </border>
    <border>
      <left/>
      <right style="dashed">
        <color indexed="64"/>
      </right>
      <top style="dashed">
        <color indexed="64"/>
      </top>
      <bottom style="medium">
        <color indexed="64"/>
      </bottom>
      <diagonal/>
    </border>
    <border>
      <left/>
      <right style="medium">
        <color indexed="64"/>
      </right>
      <top/>
      <bottom style="medium">
        <color indexed="64"/>
      </bottom>
      <diagonal/>
    </border>
    <border>
      <left/>
      <right style="medium">
        <color indexed="64"/>
      </right>
      <top style="medium">
        <color indexed="64"/>
      </top>
      <bottom style="dashed">
        <color indexed="64"/>
      </bottom>
      <diagonal/>
    </border>
    <border>
      <left style="dotted">
        <color indexed="64"/>
      </left>
      <right style="dashed">
        <color indexed="64"/>
      </right>
      <top style="medium">
        <color indexed="64"/>
      </top>
      <bottom/>
      <diagonal/>
    </border>
    <border>
      <left style="dashed">
        <color indexed="64"/>
      </left>
      <right style="dashed">
        <color indexed="64"/>
      </right>
      <top style="medium">
        <color indexed="64"/>
      </top>
      <bottom/>
      <diagonal/>
    </border>
    <border>
      <left style="dashed">
        <color indexed="64"/>
      </left>
      <right style="medium">
        <color indexed="64"/>
      </right>
      <top style="medium">
        <color indexed="64"/>
      </top>
      <bottom style="dashed">
        <color indexed="64"/>
      </bottom>
      <diagonal/>
    </border>
    <border>
      <left/>
      <right style="dashed">
        <color indexed="64"/>
      </right>
      <top style="medium">
        <color indexed="64"/>
      </top>
      <bottom/>
      <diagonal/>
    </border>
    <border>
      <left style="dashed">
        <color indexed="64"/>
      </left>
      <right style="medium">
        <color indexed="64"/>
      </right>
      <top style="medium">
        <color indexed="64"/>
      </top>
      <bottom/>
      <diagonal/>
    </border>
    <border>
      <left/>
      <right style="dashed">
        <color indexed="64"/>
      </right>
      <top style="medium">
        <color indexed="64"/>
      </top>
      <bottom style="dashed">
        <color indexed="64"/>
      </bottom>
      <diagonal/>
    </border>
    <border>
      <left style="dashed">
        <color indexed="64"/>
      </left>
      <right style="dashed">
        <color indexed="64"/>
      </right>
      <top style="medium">
        <color indexed="64"/>
      </top>
      <bottom style="dashed">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top style="medium">
        <color indexed="64"/>
      </top>
      <bottom style="medium">
        <color indexed="64"/>
      </bottom>
      <diagonal/>
    </border>
    <border>
      <left/>
      <right style="thin">
        <color indexed="22"/>
      </right>
      <top style="thin">
        <color indexed="22"/>
      </top>
      <bottom style="thin">
        <color indexed="22"/>
      </bottom>
      <diagonal/>
    </border>
    <border>
      <left style="thin">
        <color indexed="62"/>
      </left>
      <right/>
      <top style="thin">
        <color indexed="62"/>
      </top>
      <bottom/>
      <diagonal/>
    </border>
    <border>
      <left/>
      <right/>
      <top style="thin">
        <color indexed="62"/>
      </top>
      <bottom/>
      <diagonal/>
    </border>
    <border>
      <left style="thin">
        <color indexed="62"/>
      </left>
      <right/>
      <top/>
      <bottom/>
      <diagonal/>
    </border>
    <border>
      <left/>
      <right style="thin">
        <color indexed="62"/>
      </right>
      <top/>
      <bottom/>
      <diagonal/>
    </border>
    <border>
      <left/>
      <right/>
      <top/>
      <bottom style="thin">
        <color indexed="18"/>
      </bottom>
      <diagonal/>
    </border>
    <border>
      <left/>
      <right style="thin">
        <color indexed="62"/>
      </right>
      <top/>
      <bottom style="thin">
        <color indexed="18"/>
      </bottom>
      <diagonal/>
    </border>
    <border>
      <left style="thin">
        <color indexed="62"/>
      </left>
      <right/>
      <top style="thin">
        <color indexed="62"/>
      </top>
      <bottom style="thin">
        <color indexed="62"/>
      </bottom>
      <diagonal/>
    </border>
    <border>
      <left/>
      <right/>
      <top style="thin">
        <color indexed="62"/>
      </top>
      <bottom style="thin">
        <color indexed="62"/>
      </bottom>
      <diagonal/>
    </border>
    <border>
      <left/>
      <right style="thin">
        <color indexed="62"/>
      </right>
      <top style="thin">
        <color indexed="62"/>
      </top>
      <bottom style="thin">
        <color indexed="62"/>
      </bottom>
      <diagonal/>
    </border>
    <border>
      <left/>
      <right style="thin">
        <color indexed="62"/>
      </right>
      <top style="thin">
        <color indexed="62"/>
      </top>
      <bottom/>
      <diagonal/>
    </border>
    <border>
      <left style="thin">
        <color indexed="12"/>
      </left>
      <right style="thin">
        <color indexed="12"/>
      </right>
      <top style="thin">
        <color indexed="12"/>
      </top>
      <bottom style="thin">
        <color indexed="12"/>
      </bottom>
      <diagonal/>
    </border>
    <border>
      <left style="thin">
        <color indexed="12"/>
      </left>
      <right style="thin">
        <color indexed="12"/>
      </right>
      <top/>
      <bottom style="thin">
        <color indexed="12"/>
      </bottom>
      <diagonal/>
    </border>
    <border>
      <left style="thin">
        <color indexed="62"/>
      </left>
      <right/>
      <top/>
      <bottom style="thin">
        <color indexed="62"/>
      </bottom>
      <diagonal/>
    </border>
    <border>
      <left/>
      <right/>
      <top/>
      <bottom style="thin">
        <color indexed="62"/>
      </bottom>
      <diagonal/>
    </border>
    <border>
      <left/>
      <right style="thin">
        <color indexed="62"/>
      </right>
      <top/>
      <bottom style="thin">
        <color indexed="62"/>
      </bottom>
      <diagonal/>
    </border>
    <border>
      <left/>
      <right/>
      <top style="thin">
        <color indexed="12"/>
      </top>
      <bottom/>
      <diagonal/>
    </border>
    <border>
      <left style="thin">
        <color indexed="62"/>
      </left>
      <right style="thin">
        <color indexed="62"/>
      </right>
      <top style="thin">
        <color indexed="62"/>
      </top>
      <bottom/>
      <diagonal/>
    </border>
    <border>
      <left style="thin">
        <color indexed="62"/>
      </left>
      <right style="thin">
        <color indexed="62"/>
      </right>
      <top style="thin">
        <color indexed="62"/>
      </top>
      <bottom style="thin">
        <color indexed="62"/>
      </bottom>
      <diagonal/>
    </border>
    <border>
      <left/>
      <right/>
      <top style="thin">
        <color indexed="18"/>
      </top>
      <bottom/>
      <diagonal/>
    </border>
    <border>
      <left/>
      <right style="thin">
        <color indexed="18"/>
      </right>
      <top style="thin">
        <color indexed="18"/>
      </top>
      <bottom/>
      <diagonal/>
    </border>
    <border>
      <left/>
      <right style="thin">
        <color indexed="18"/>
      </right>
      <top/>
      <bottom/>
      <diagonal/>
    </border>
    <border>
      <left style="thin">
        <color indexed="30"/>
      </left>
      <right/>
      <top style="thin">
        <color indexed="30"/>
      </top>
      <bottom style="thin">
        <color indexed="30"/>
      </bottom>
      <diagonal/>
    </border>
    <border>
      <left/>
      <right/>
      <top style="thin">
        <color indexed="30"/>
      </top>
      <bottom style="thin">
        <color indexed="30"/>
      </bottom>
      <diagonal/>
    </border>
    <border>
      <left/>
      <right style="thin">
        <color indexed="30"/>
      </right>
      <top style="thin">
        <color indexed="30"/>
      </top>
      <bottom style="thin">
        <color indexed="30"/>
      </bottom>
      <diagonal/>
    </border>
    <border>
      <left/>
      <right/>
      <top/>
      <bottom style="thin">
        <color indexed="30"/>
      </bottom>
      <diagonal/>
    </border>
    <border>
      <left style="thin">
        <color indexed="30"/>
      </left>
      <right style="thin">
        <color indexed="30"/>
      </right>
      <top style="thin">
        <color indexed="30"/>
      </top>
      <bottom style="thin">
        <color indexed="30"/>
      </bottom>
      <diagonal/>
    </border>
    <border>
      <left style="thin">
        <color indexed="30"/>
      </left>
      <right/>
      <top/>
      <bottom/>
      <diagonal/>
    </border>
    <border>
      <left style="thin">
        <color indexed="54"/>
      </left>
      <right style="thin">
        <color indexed="54"/>
      </right>
      <top style="thin">
        <color indexed="54"/>
      </top>
      <bottom style="thin">
        <color indexed="54"/>
      </bottom>
      <diagonal/>
    </border>
    <border>
      <left style="thin">
        <color indexed="30"/>
      </left>
      <right style="thin">
        <color indexed="30"/>
      </right>
      <top/>
      <bottom style="thin">
        <color indexed="30"/>
      </bottom>
      <diagonal/>
    </border>
    <border>
      <left style="thin">
        <color indexed="64"/>
      </left>
      <right style="thin">
        <color indexed="64"/>
      </right>
      <top style="thin">
        <color indexed="22"/>
      </top>
      <bottom style="thin">
        <color indexed="22"/>
      </bottom>
      <diagonal/>
    </border>
    <border>
      <left style="thin">
        <color indexed="64"/>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right/>
      <top style="thin">
        <color indexed="64"/>
      </top>
      <bottom style="thin">
        <color indexed="22"/>
      </bottom>
      <diagonal/>
    </border>
    <border>
      <left style="thin">
        <color indexed="64"/>
      </left>
      <right style="thin">
        <color indexed="22"/>
      </right>
      <top style="thin">
        <color indexed="22"/>
      </top>
      <bottom style="thin">
        <color indexed="22"/>
      </bottom>
      <diagonal/>
    </border>
    <border>
      <left/>
      <right/>
      <top style="thin">
        <color indexed="22"/>
      </top>
      <bottom style="thin">
        <color indexed="22"/>
      </bottom>
      <diagonal/>
    </border>
    <border>
      <left style="thin">
        <color indexed="22"/>
      </left>
      <right/>
      <top style="thin">
        <color indexed="64"/>
      </top>
      <bottom style="thin">
        <color indexed="22"/>
      </bottom>
      <diagonal/>
    </border>
    <border>
      <left style="thin">
        <color indexed="22"/>
      </left>
      <right/>
      <top style="thin">
        <color indexed="22"/>
      </top>
      <bottom style="thin">
        <color indexed="22"/>
      </bottom>
      <diagonal/>
    </border>
    <border>
      <left style="thin">
        <color indexed="64"/>
      </left>
      <right style="thin">
        <color indexed="22"/>
      </right>
      <top style="thin">
        <color indexed="22"/>
      </top>
      <bottom style="thin">
        <color indexed="64"/>
      </bottom>
      <diagonal/>
    </border>
    <border>
      <left style="thin">
        <color indexed="22"/>
      </left>
      <right style="thin">
        <color indexed="22"/>
      </right>
      <top style="thin">
        <color indexed="22"/>
      </top>
      <bottom style="thin">
        <color indexed="64"/>
      </bottom>
      <diagonal/>
    </border>
    <border>
      <left style="thin">
        <color indexed="22"/>
      </left>
      <right/>
      <top style="thin">
        <color indexed="22"/>
      </top>
      <bottom style="thin">
        <color indexed="64"/>
      </bottom>
      <diagonal/>
    </border>
    <border>
      <left/>
      <right/>
      <top style="thin">
        <color indexed="22"/>
      </top>
      <bottom style="thin">
        <color indexed="64"/>
      </bottom>
      <diagonal/>
    </border>
    <border>
      <left style="thin">
        <color indexed="22"/>
      </left>
      <right style="thin">
        <color indexed="64"/>
      </right>
      <top style="thin">
        <color indexed="64"/>
      </top>
      <bottom style="thin">
        <color indexed="22"/>
      </bottom>
      <diagonal/>
    </border>
    <border>
      <left style="thin">
        <color indexed="22"/>
      </left>
      <right style="thin">
        <color indexed="64"/>
      </right>
      <top style="thin">
        <color indexed="22"/>
      </top>
      <bottom style="thin">
        <color indexed="22"/>
      </bottom>
      <diagonal/>
    </border>
    <border>
      <left style="thin">
        <color indexed="22"/>
      </left>
      <right style="thin">
        <color indexed="64"/>
      </right>
      <top style="thin">
        <color indexed="22"/>
      </top>
      <bottom style="thin">
        <color indexed="64"/>
      </bottom>
      <diagonal/>
    </border>
    <border>
      <left style="thin">
        <color indexed="30"/>
      </left>
      <right/>
      <top/>
      <bottom style="thin">
        <color indexed="30"/>
      </bottom>
      <diagonal/>
    </border>
    <border>
      <left/>
      <right style="thin">
        <color indexed="30"/>
      </right>
      <top/>
      <bottom style="thin">
        <color indexed="30"/>
      </bottom>
      <diagonal/>
    </border>
    <border>
      <left style="thin">
        <color indexed="30"/>
      </left>
      <right/>
      <top style="thin">
        <color indexed="30"/>
      </top>
      <bottom/>
      <diagonal/>
    </border>
    <border>
      <left/>
      <right/>
      <top style="thin">
        <color indexed="30"/>
      </top>
      <bottom/>
      <diagonal/>
    </border>
    <border>
      <left/>
      <right style="thin">
        <color indexed="30"/>
      </right>
      <top style="thin">
        <color indexed="30"/>
      </top>
      <bottom/>
      <diagonal/>
    </border>
    <border>
      <left/>
      <right style="thin">
        <color indexed="30"/>
      </right>
      <top/>
      <bottom/>
      <diagonal/>
    </border>
    <border>
      <left style="thin">
        <color indexed="19"/>
      </left>
      <right/>
      <top style="thin">
        <color indexed="19"/>
      </top>
      <bottom/>
      <diagonal/>
    </border>
    <border>
      <left/>
      <right/>
      <top style="thin">
        <color indexed="19"/>
      </top>
      <bottom/>
      <diagonal/>
    </border>
    <border>
      <left/>
      <right style="thin">
        <color indexed="19"/>
      </right>
      <top style="thin">
        <color indexed="19"/>
      </top>
      <bottom/>
      <diagonal/>
    </border>
    <border>
      <left style="thin">
        <color indexed="19"/>
      </left>
      <right/>
      <top/>
      <bottom/>
      <diagonal/>
    </border>
    <border>
      <left/>
      <right style="thin">
        <color indexed="19"/>
      </right>
      <top/>
      <bottom/>
      <diagonal/>
    </border>
    <border>
      <left style="thin">
        <color indexed="19"/>
      </left>
      <right/>
      <top/>
      <bottom style="thin">
        <color indexed="19"/>
      </bottom>
      <diagonal/>
    </border>
    <border>
      <left/>
      <right/>
      <top/>
      <bottom style="thin">
        <color indexed="19"/>
      </bottom>
      <diagonal/>
    </border>
    <border>
      <left/>
      <right style="thin">
        <color indexed="19"/>
      </right>
      <top/>
      <bottom style="thin">
        <color indexed="19"/>
      </bottom>
      <diagonal/>
    </border>
    <border>
      <left style="thin">
        <color indexed="19"/>
      </left>
      <right/>
      <top style="thin">
        <color indexed="19"/>
      </top>
      <bottom style="thin">
        <color indexed="19"/>
      </bottom>
      <diagonal/>
    </border>
    <border>
      <left/>
      <right/>
      <top style="thin">
        <color indexed="19"/>
      </top>
      <bottom style="thin">
        <color indexed="19"/>
      </bottom>
      <diagonal/>
    </border>
    <border>
      <left/>
      <right style="thin">
        <color indexed="19"/>
      </right>
      <top style="thin">
        <color indexed="19"/>
      </top>
      <bottom style="thin">
        <color indexed="19"/>
      </bottom>
      <diagonal/>
    </border>
    <border>
      <left style="thin">
        <color indexed="12"/>
      </left>
      <right/>
      <top/>
      <bottom style="thin">
        <color indexed="12"/>
      </bottom>
      <diagonal/>
    </border>
    <border>
      <left/>
      <right/>
      <top/>
      <bottom style="thin">
        <color indexed="12"/>
      </bottom>
      <diagonal/>
    </border>
    <border>
      <left/>
      <right style="thin">
        <color indexed="12"/>
      </right>
      <top/>
      <bottom style="thin">
        <color indexed="12"/>
      </bottom>
      <diagonal/>
    </border>
    <border>
      <left style="thin">
        <color indexed="12"/>
      </left>
      <right/>
      <top style="thin">
        <color indexed="12"/>
      </top>
      <bottom style="thin">
        <color indexed="12"/>
      </bottom>
      <diagonal/>
    </border>
    <border>
      <left/>
      <right/>
      <top style="thin">
        <color indexed="12"/>
      </top>
      <bottom style="thin">
        <color indexed="12"/>
      </bottom>
      <diagonal/>
    </border>
    <border>
      <left/>
      <right style="thin">
        <color indexed="12"/>
      </right>
      <top style="thin">
        <color indexed="12"/>
      </top>
      <bottom style="thin">
        <color indexed="12"/>
      </bottom>
      <diagonal/>
    </border>
    <border>
      <left style="thin">
        <color indexed="18"/>
      </left>
      <right/>
      <top/>
      <bottom/>
      <diagonal/>
    </border>
    <border>
      <left style="thin">
        <color indexed="18"/>
      </left>
      <right/>
      <top style="thin">
        <color indexed="18"/>
      </top>
      <bottom/>
      <diagonal/>
    </border>
    <border>
      <left style="thin">
        <color indexed="62"/>
      </left>
      <right/>
      <top/>
      <bottom style="thin">
        <color indexed="18"/>
      </bottom>
      <diagonal/>
    </border>
    <border>
      <left/>
      <right style="thin">
        <color indexed="22"/>
      </right>
      <top style="thin">
        <color indexed="22"/>
      </top>
      <bottom style="thin">
        <color indexed="64"/>
      </bottom>
      <diagonal/>
    </border>
    <border>
      <left/>
      <right style="thin">
        <color indexed="22"/>
      </right>
      <top style="thin">
        <color indexed="64"/>
      </top>
      <bottom style="thin">
        <color indexed="22"/>
      </bottom>
      <diagonal/>
    </border>
    <border>
      <left style="medium">
        <color indexed="64"/>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medium">
        <color indexed="64"/>
      </top>
      <bottom/>
      <diagonal/>
    </border>
    <border>
      <left/>
      <right/>
      <top/>
      <bottom style="thin">
        <color indexed="8"/>
      </bottom>
      <diagonal/>
    </border>
    <border>
      <left style="thin">
        <color indexed="64"/>
      </left>
      <right style="thin">
        <color theme="0" tint="-0.249977111117893"/>
      </right>
      <top style="thin">
        <color indexed="64"/>
      </top>
      <bottom style="thin">
        <color indexed="64"/>
      </bottom>
      <diagonal/>
    </border>
    <border>
      <left style="thin">
        <color theme="0" tint="-0.249977111117893"/>
      </left>
      <right style="thin">
        <color theme="0" tint="-0.249977111117893"/>
      </right>
      <top style="thin">
        <color indexed="64"/>
      </top>
      <bottom style="thin">
        <color indexed="64"/>
      </bottom>
      <diagonal/>
    </border>
    <border>
      <left style="thin">
        <color indexed="10"/>
      </left>
      <right style="thin">
        <color indexed="10"/>
      </right>
      <top style="thin">
        <color indexed="10"/>
      </top>
      <bottom style="thin">
        <color indexed="10"/>
      </bottom>
      <diagonal/>
    </border>
  </borders>
  <cellStyleXfs count="160">
    <xf numFmtId="0" fontId="0" fillId="0" borderId="0"/>
    <xf numFmtId="0" fontId="9" fillId="2" borderId="0" applyNumberFormat="0" applyBorder="0" applyAlignment="0" applyProtection="0"/>
    <xf numFmtId="0" fontId="9" fillId="3" borderId="0" applyNumberFormat="0" applyBorder="0" applyAlignment="0" applyProtection="0"/>
    <xf numFmtId="0" fontId="9" fillId="4" borderId="0" applyNumberFormat="0" applyBorder="0" applyAlignment="0" applyProtection="0"/>
    <xf numFmtId="0" fontId="9"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9" fillId="2" borderId="0" applyNumberFormat="0" applyBorder="0" applyAlignment="0" applyProtection="0"/>
    <xf numFmtId="0" fontId="9" fillId="3" borderId="0" applyNumberFormat="0" applyBorder="0" applyAlignment="0" applyProtection="0"/>
    <xf numFmtId="0" fontId="9" fillId="4" borderId="0" applyNumberFormat="0" applyBorder="0" applyAlignment="0" applyProtection="0"/>
    <xf numFmtId="0" fontId="9"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9" fillId="8" borderId="0" applyNumberFormat="0" applyBorder="0" applyAlignment="0" applyProtection="0"/>
    <xf numFmtId="0" fontId="9" fillId="9" borderId="0" applyNumberFormat="0" applyBorder="0" applyAlignment="0" applyProtection="0"/>
    <xf numFmtId="0" fontId="9" fillId="10" borderId="0" applyNumberFormat="0" applyBorder="0" applyAlignment="0" applyProtection="0"/>
    <xf numFmtId="0" fontId="9" fillId="5" borderId="0" applyNumberFormat="0" applyBorder="0" applyAlignment="0" applyProtection="0"/>
    <xf numFmtId="0" fontId="9" fillId="8" borderId="0" applyNumberFormat="0" applyBorder="0" applyAlignment="0" applyProtection="0"/>
    <xf numFmtId="0" fontId="9" fillId="11" borderId="0" applyNumberFormat="0" applyBorder="0" applyAlignment="0" applyProtection="0"/>
    <xf numFmtId="0" fontId="9" fillId="8" borderId="0" applyNumberFormat="0" applyBorder="0" applyAlignment="0" applyProtection="0"/>
    <xf numFmtId="0" fontId="9" fillId="9" borderId="0" applyNumberFormat="0" applyBorder="0" applyAlignment="0" applyProtection="0"/>
    <xf numFmtId="0" fontId="9" fillId="10" borderId="0" applyNumberFormat="0" applyBorder="0" applyAlignment="0" applyProtection="0"/>
    <xf numFmtId="0" fontId="9" fillId="5" borderId="0" applyNumberFormat="0" applyBorder="0" applyAlignment="0" applyProtection="0"/>
    <xf numFmtId="0" fontId="9" fillId="8" borderId="0" applyNumberFormat="0" applyBorder="0" applyAlignment="0" applyProtection="0"/>
    <xf numFmtId="0" fontId="9" fillId="11" borderId="0" applyNumberFormat="0" applyBorder="0" applyAlignment="0" applyProtection="0"/>
    <xf numFmtId="0" fontId="10" fillId="12" borderId="0" applyNumberFormat="0" applyBorder="0" applyAlignment="0" applyProtection="0"/>
    <xf numFmtId="0" fontId="10" fillId="9" borderId="0" applyNumberFormat="0" applyBorder="0" applyAlignment="0" applyProtection="0"/>
    <xf numFmtId="0" fontId="10" fillId="10" borderId="0" applyNumberFormat="0" applyBorder="0" applyAlignment="0" applyProtection="0"/>
    <xf numFmtId="0" fontId="10" fillId="13" borderId="0" applyNumberFormat="0" applyBorder="0" applyAlignment="0" applyProtection="0"/>
    <xf numFmtId="0" fontId="10" fillId="14" borderId="0" applyNumberFormat="0" applyBorder="0" applyAlignment="0" applyProtection="0"/>
    <xf numFmtId="0" fontId="10" fillId="15" borderId="0" applyNumberFormat="0" applyBorder="0" applyAlignment="0" applyProtection="0"/>
    <xf numFmtId="0" fontId="10" fillId="12" borderId="0" applyNumberFormat="0" applyBorder="0" applyAlignment="0" applyProtection="0"/>
    <xf numFmtId="0" fontId="10" fillId="9" borderId="0" applyNumberFormat="0" applyBorder="0" applyAlignment="0" applyProtection="0"/>
    <xf numFmtId="0" fontId="10" fillId="10" borderId="0" applyNumberFormat="0" applyBorder="0" applyAlignment="0" applyProtection="0"/>
    <xf numFmtId="0" fontId="10" fillId="13" borderId="0" applyNumberFormat="0" applyBorder="0" applyAlignment="0" applyProtection="0"/>
    <xf numFmtId="0" fontId="10" fillId="14" borderId="0" applyNumberFormat="0" applyBorder="0" applyAlignment="0" applyProtection="0"/>
    <xf numFmtId="0" fontId="10" fillId="15" borderId="0" applyNumberFormat="0" applyBorder="0" applyAlignment="0" applyProtection="0"/>
    <xf numFmtId="0" fontId="10" fillId="16" borderId="0" applyNumberFormat="0" applyBorder="0" applyAlignment="0" applyProtection="0"/>
    <xf numFmtId="0" fontId="10" fillId="17" borderId="0" applyNumberFormat="0" applyBorder="0" applyAlignment="0" applyProtection="0"/>
    <xf numFmtId="0" fontId="10" fillId="18" borderId="0" applyNumberFormat="0" applyBorder="0" applyAlignment="0" applyProtection="0"/>
    <xf numFmtId="0" fontId="10" fillId="13" borderId="0" applyNumberFormat="0" applyBorder="0" applyAlignment="0" applyProtection="0"/>
    <xf numFmtId="0" fontId="10" fillId="14" borderId="0" applyNumberFormat="0" applyBorder="0" applyAlignment="0" applyProtection="0"/>
    <xf numFmtId="0" fontId="10" fillId="19" borderId="0" applyNumberFormat="0" applyBorder="0" applyAlignment="0" applyProtection="0"/>
    <xf numFmtId="0" fontId="22" fillId="20" borderId="1" applyNumberFormat="0" applyAlignment="0" applyProtection="0"/>
    <xf numFmtId="0" fontId="22" fillId="20" borderId="1" applyNumberFormat="0" applyAlignment="0" applyProtection="0"/>
    <xf numFmtId="0" fontId="25" fillId="0" borderId="0" applyNumberFormat="0" applyFill="0" applyBorder="0" applyAlignment="0" applyProtection="0"/>
    <xf numFmtId="0" fontId="11" fillId="3" borderId="0" applyNumberFormat="0" applyBorder="0" applyAlignment="0" applyProtection="0"/>
    <xf numFmtId="0" fontId="12" fillId="20" borderId="2" applyNumberFormat="0" applyAlignment="0" applyProtection="0"/>
    <xf numFmtId="0" fontId="12" fillId="20" borderId="2" applyNumberFormat="0" applyAlignment="0" applyProtection="0"/>
    <xf numFmtId="0" fontId="15" fillId="4" borderId="0" applyNumberFormat="0" applyBorder="0" applyAlignment="0" applyProtection="0"/>
    <xf numFmtId="0" fontId="12" fillId="20" borderId="2" applyNumberFormat="0" applyAlignment="0" applyProtection="0"/>
    <xf numFmtId="0" fontId="12" fillId="20" borderId="2" applyNumberFormat="0" applyAlignment="0" applyProtection="0"/>
    <xf numFmtId="0" fontId="12" fillId="20" borderId="2" applyNumberFormat="0" applyAlignment="0" applyProtection="0"/>
    <xf numFmtId="0" fontId="13" fillId="21" borderId="3" applyNumberFormat="0" applyAlignment="0" applyProtection="0"/>
    <xf numFmtId="0" fontId="20" fillId="0" borderId="4" applyNumberFormat="0" applyFill="0" applyAlignment="0" applyProtection="0"/>
    <xf numFmtId="0" fontId="20" fillId="0" borderId="4" applyNumberFormat="0" applyFill="0" applyAlignment="0" applyProtection="0"/>
    <xf numFmtId="0" fontId="13" fillId="21" borderId="3" applyNumberFormat="0" applyAlignment="0" applyProtection="0"/>
    <xf numFmtId="0" fontId="7" fillId="22" borderId="5" applyNumberFormat="0" applyFont="0" applyAlignment="0" applyProtection="0"/>
    <xf numFmtId="0" fontId="19" fillId="7" borderId="2" applyNumberFormat="0" applyAlignment="0" applyProtection="0"/>
    <xf numFmtId="0" fontId="19" fillId="7" borderId="2" applyNumberFormat="0" applyAlignment="0" applyProtection="0"/>
    <xf numFmtId="0" fontId="18" fillId="0" borderId="0" applyNumberFormat="0" applyFill="0" applyBorder="0" applyAlignment="0" applyProtection="0"/>
    <xf numFmtId="0" fontId="10" fillId="16" borderId="0" applyNumberFormat="0" applyBorder="0" applyAlignment="0" applyProtection="0"/>
    <xf numFmtId="0" fontId="10" fillId="17" borderId="0" applyNumberFormat="0" applyBorder="0" applyAlignment="0" applyProtection="0"/>
    <xf numFmtId="0" fontId="10" fillId="18" borderId="0" applyNumberFormat="0" applyBorder="0" applyAlignment="0" applyProtection="0"/>
    <xf numFmtId="0" fontId="10" fillId="13" borderId="0" applyNumberFormat="0" applyBorder="0" applyAlignment="0" applyProtection="0"/>
    <xf numFmtId="0" fontId="10" fillId="14" borderId="0" applyNumberFormat="0" applyBorder="0" applyAlignment="0" applyProtection="0"/>
    <xf numFmtId="0" fontId="10" fillId="19" borderId="0" applyNumberFormat="0" applyBorder="0" applyAlignment="0" applyProtection="0"/>
    <xf numFmtId="0" fontId="19" fillId="7" borderId="2" applyNumberFormat="0" applyAlignment="0" applyProtection="0"/>
    <xf numFmtId="0" fontId="19" fillId="7" borderId="2" applyNumberFormat="0" applyAlignment="0" applyProtection="0"/>
    <xf numFmtId="0" fontId="24" fillId="0" borderId="6" applyNumberFormat="0" applyFill="0" applyAlignment="0" applyProtection="0"/>
    <xf numFmtId="0" fontId="24" fillId="0" borderId="6" applyNumberFormat="0" applyFill="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5" fillId="4" borderId="0" applyNumberFormat="0" applyBorder="0" applyAlignment="0" applyProtection="0"/>
    <xf numFmtId="0" fontId="16" fillId="0" borderId="7" applyNumberFormat="0" applyFill="0" applyAlignment="0" applyProtection="0"/>
    <xf numFmtId="0" fontId="17" fillId="0" borderId="8" applyNumberFormat="0" applyFill="0" applyAlignment="0" applyProtection="0"/>
    <xf numFmtId="0" fontId="18" fillId="0" borderId="9" applyNumberFormat="0" applyFill="0" applyAlignment="0" applyProtection="0"/>
    <xf numFmtId="0" fontId="18" fillId="0" borderId="0" applyNumberFormat="0" applyFill="0" applyBorder="0" applyAlignment="0" applyProtection="0"/>
    <xf numFmtId="0" fontId="8" fillId="0" borderId="0" applyNumberFormat="0" applyFill="0" applyBorder="0" applyAlignment="0" applyProtection="0">
      <alignment vertical="top"/>
      <protection locked="0"/>
    </xf>
    <xf numFmtId="0" fontId="8" fillId="0" borderId="0" applyNumberFormat="0" applyFill="0" applyBorder="0" applyAlignment="0" applyProtection="0">
      <alignment vertical="top"/>
      <protection locked="0"/>
    </xf>
    <xf numFmtId="0" fontId="11" fillId="3" borderId="0" applyNumberFormat="0" applyBorder="0" applyAlignment="0" applyProtection="0"/>
    <xf numFmtId="0" fontId="19" fillId="7" borderId="2" applyNumberFormat="0" applyAlignment="0" applyProtection="0"/>
    <xf numFmtId="0" fontId="11" fillId="3" borderId="0" applyNumberFormat="0" applyBorder="0" applyAlignment="0" applyProtection="0"/>
    <xf numFmtId="165" fontId="1"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0" fontId="20" fillId="0" borderId="4" applyNumberFormat="0" applyFill="0" applyAlignment="0" applyProtection="0"/>
    <xf numFmtId="0" fontId="21" fillId="23" borderId="0" applyNumberFormat="0" applyBorder="0" applyAlignment="0" applyProtection="0"/>
    <xf numFmtId="0" fontId="7" fillId="0" borderId="0"/>
    <xf numFmtId="0" fontId="7" fillId="0" borderId="0"/>
    <xf numFmtId="0" fontId="7" fillId="22" borderId="5" applyNumberFormat="0" applyFont="0" applyAlignment="0" applyProtection="0"/>
    <xf numFmtId="0" fontId="7" fillId="22" borderId="5" applyNumberFormat="0" applyFont="0" applyAlignment="0" applyProtection="0"/>
    <xf numFmtId="0" fontId="7" fillId="22" borderId="5" applyNumberFormat="0" applyFont="0" applyAlignment="0" applyProtection="0"/>
    <xf numFmtId="0" fontId="1" fillId="22" borderId="5" applyNumberFormat="0" applyFont="0" applyAlignment="0" applyProtection="0"/>
    <xf numFmtId="0" fontId="7" fillId="22" borderId="5" applyNumberFormat="0" applyFont="0" applyAlignment="0" applyProtection="0"/>
    <xf numFmtId="0" fontId="7" fillId="22" borderId="5" applyNumberFormat="0" applyFont="0" applyAlignment="0" applyProtection="0"/>
    <xf numFmtId="0" fontId="7" fillId="22" borderId="5" applyNumberFormat="0" applyFont="0" applyAlignment="0" applyProtection="0"/>
    <xf numFmtId="0" fontId="7" fillId="22" borderId="5" applyNumberFormat="0" applyFont="0" applyAlignment="0" applyProtection="0"/>
    <xf numFmtId="0" fontId="22" fillId="20" borderId="1" applyNumberFormat="0" applyAlignment="0" applyProtection="0"/>
    <xf numFmtId="9" fontId="1"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0" fontId="22" fillId="20" borderId="1" applyNumberFormat="0" applyAlignment="0" applyProtection="0"/>
    <xf numFmtId="0" fontId="15" fillId="4" borderId="0" applyNumberFormat="0" applyBorder="0" applyAlignment="0" applyProtection="0"/>
    <xf numFmtId="0" fontId="22" fillId="20" borderId="1" applyNumberFormat="0" applyAlignment="0" applyProtection="0"/>
    <xf numFmtId="0" fontId="7" fillId="0" borderId="0"/>
    <xf numFmtId="0" fontId="7" fillId="0" borderId="0"/>
    <xf numFmtId="0" fontId="14" fillId="0" borderId="0" applyNumberFormat="0" applyFill="0" applyBorder="0" applyAlignment="0" applyProtection="0"/>
    <xf numFmtId="0" fontId="25" fillId="0" borderId="0" applyNumberFormat="0" applyFill="0" applyBorder="0" applyAlignment="0" applyProtection="0"/>
    <xf numFmtId="0" fontId="14" fillId="0" borderId="0" applyNumberFormat="0" applyFill="0" applyBorder="0" applyAlignment="0" applyProtection="0"/>
    <xf numFmtId="0" fontId="23" fillId="0" borderId="0" applyNumberFormat="0" applyFill="0" applyBorder="0" applyAlignment="0" applyProtection="0"/>
    <xf numFmtId="0" fontId="61" fillId="24" borderId="10"/>
    <xf numFmtId="0" fontId="23" fillId="0" borderId="0" applyNumberFormat="0" applyFill="0" applyBorder="0" applyAlignment="0" applyProtection="0"/>
    <xf numFmtId="0" fontId="16" fillId="0" borderId="7" applyNumberFormat="0" applyFill="0" applyAlignment="0" applyProtection="0"/>
    <xf numFmtId="0" fontId="17" fillId="0" borderId="8" applyNumberFormat="0" applyFill="0" applyAlignment="0" applyProtection="0"/>
    <xf numFmtId="0" fontId="18" fillId="0" borderId="9" applyNumberFormat="0" applyFill="0" applyAlignment="0" applyProtection="0"/>
    <xf numFmtId="0" fontId="18"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16" fillId="0" borderId="7" applyNumberFormat="0" applyFill="0" applyAlignment="0" applyProtection="0"/>
    <xf numFmtId="0" fontId="17" fillId="0" borderId="8" applyNumberFormat="0" applyFill="0" applyAlignment="0" applyProtection="0"/>
    <xf numFmtId="0" fontId="18" fillId="0" borderId="9" applyNumberFormat="0" applyFill="0" applyAlignment="0" applyProtection="0"/>
    <xf numFmtId="0" fontId="23" fillId="0" borderId="0" applyNumberFormat="0" applyFill="0" applyBorder="0" applyAlignment="0" applyProtection="0"/>
    <xf numFmtId="0" fontId="24" fillId="0" borderId="6" applyNumberFormat="0" applyFill="0" applyAlignment="0" applyProtection="0"/>
    <xf numFmtId="164" fontId="1" fillId="0" borderId="0" applyFont="0" applyFill="0" applyBorder="0" applyAlignment="0" applyProtection="0"/>
    <xf numFmtId="164" fontId="7" fillId="0" borderId="0" applyFont="0" applyFill="0" applyBorder="0" applyAlignment="0" applyProtection="0"/>
    <xf numFmtId="0" fontId="13" fillId="21" borderId="3" applyNumberFormat="0" applyAlignment="0" applyProtection="0"/>
    <xf numFmtId="164" fontId="7" fillId="0" borderId="0" applyFont="0" applyFill="0" applyBorder="0" applyAlignment="0" applyProtection="0"/>
    <xf numFmtId="164" fontId="7" fillId="0" borderId="0" applyFont="0" applyFill="0" applyBorder="0" applyAlignment="0" applyProtection="0"/>
    <xf numFmtId="0" fontId="25" fillId="0" borderId="0" applyNumberFormat="0" applyFill="0" applyBorder="0" applyAlignment="0" applyProtection="0"/>
    <xf numFmtId="0" fontId="133" fillId="44" borderId="0" applyNumberFormat="0" applyBorder="0" applyAlignment="0" applyProtection="0"/>
    <xf numFmtId="0" fontId="132" fillId="45" borderId="0" applyNumberFormat="0" applyBorder="0" applyAlignment="0" applyProtection="0"/>
    <xf numFmtId="0" fontId="132" fillId="46" borderId="0" applyNumberFormat="0" applyBorder="0" applyAlignment="0" applyProtection="0"/>
    <xf numFmtId="0" fontId="132" fillId="47" borderId="0" applyNumberFormat="0" applyBorder="0" applyAlignment="0" applyProtection="0"/>
    <xf numFmtId="0" fontId="133" fillId="48" borderId="0" applyNumberFormat="0" applyBorder="0" applyAlignment="0" applyProtection="0"/>
    <xf numFmtId="0" fontId="132" fillId="49" borderId="0" applyNumberFormat="0" applyBorder="0" applyAlignment="0" applyProtection="0"/>
    <xf numFmtId="0" fontId="132" fillId="39" borderId="0" applyNumberFormat="0" applyBorder="0" applyAlignment="0" applyProtection="0"/>
    <xf numFmtId="0" fontId="132" fillId="40" borderId="0" applyNumberFormat="0" applyBorder="0" applyAlignment="0" applyProtection="0"/>
    <xf numFmtId="0" fontId="133" fillId="50" borderId="0" applyNumberFormat="0" applyBorder="0" applyAlignment="0" applyProtection="0"/>
    <xf numFmtId="0" fontId="132" fillId="51" borderId="0" applyNumberFormat="0" applyBorder="0" applyAlignment="0" applyProtection="0"/>
    <xf numFmtId="0" fontId="132" fillId="52" borderId="0" applyNumberFormat="0" applyBorder="0" applyAlignment="0" applyProtection="0"/>
    <xf numFmtId="0" fontId="132" fillId="53" borderId="0" applyNumberFormat="0" applyBorder="0" applyAlignment="0" applyProtection="0"/>
    <xf numFmtId="0" fontId="133" fillId="54" borderId="0" applyNumberFormat="0" applyBorder="0" applyAlignment="0" applyProtection="0"/>
    <xf numFmtId="0" fontId="132" fillId="55" borderId="0" applyNumberFormat="0" applyBorder="0" applyAlignment="0" applyProtection="0"/>
    <xf numFmtId="0" fontId="132" fillId="56" borderId="0" applyNumberFormat="0" applyBorder="0" applyAlignment="0" applyProtection="0"/>
    <xf numFmtId="0" fontId="132" fillId="57" borderId="0" applyNumberFormat="0" applyBorder="0" applyAlignment="0" applyProtection="0"/>
    <xf numFmtId="0" fontId="133" fillId="58" borderId="0" applyNumberFormat="0" applyBorder="0" applyAlignment="0" applyProtection="0"/>
    <xf numFmtId="0" fontId="132" fillId="59" borderId="0" applyNumberFormat="0" applyBorder="0" applyAlignment="0" applyProtection="0"/>
    <xf numFmtId="0" fontId="132" fillId="60" borderId="0" applyNumberFormat="0" applyBorder="0" applyAlignment="0" applyProtection="0"/>
    <xf numFmtId="0" fontId="132" fillId="61" borderId="0" applyNumberFormat="0" applyBorder="0" applyAlignment="0" applyProtection="0"/>
    <xf numFmtId="0" fontId="133" fillId="62" borderId="0" applyNumberFormat="0" applyBorder="0" applyAlignment="0" applyProtection="0"/>
    <xf numFmtId="0" fontId="132" fillId="38" borderId="0" applyNumberFormat="0" applyBorder="0" applyAlignment="0" applyProtection="0"/>
    <xf numFmtId="0" fontId="132" fillId="63" borderId="0" applyNumberFormat="0" applyBorder="0" applyAlignment="0" applyProtection="0"/>
    <xf numFmtId="0" fontId="132" fillId="64" borderId="0" applyNumberFormat="0" applyBorder="0" applyAlignment="0" applyProtection="0"/>
  </cellStyleXfs>
  <cellXfs count="1471">
    <xf numFmtId="0" fontId="0" fillId="0" borderId="0" xfId="0"/>
    <xf numFmtId="0" fontId="0" fillId="0" borderId="0" xfId="0" applyFill="1"/>
    <xf numFmtId="0" fontId="0" fillId="0" borderId="0" xfId="0" applyFill="1" applyBorder="1"/>
    <xf numFmtId="0" fontId="38" fillId="0" borderId="0" xfId="0" applyFont="1"/>
    <xf numFmtId="0" fontId="39" fillId="0" borderId="0" xfId="0" applyFont="1"/>
    <xf numFmtId="0" fontId="38" fillId="0" borderId="0" xfId="0" applyFont="1" applyFill="1"/>
    <xf numFmtId="0" fontId="0" fillId="0" borderId="0" xfId="0" applyBorder="1"/>
    <xf numFmtId="0" fontId="28" fillId="25" borderId="11" xfId="0" applyFont="1" applyFill="1" applyBorder="1" applyAlignment="1">
      <alignment horizontal="right" vertical="center"/>
    </xf>
    <xf numFmtId="0" fontId="61" fillId="25" borderId="0" xfId="0" applyFont="1" applyFill="1" applyBorder="1" applyAlignment="1">
      <alignment horizontal="center"/>
    </xf>
    <xf numFmtId="0" fontId="61" fillId="25" borderId="12" xfId="0" applyFont="1" applyFill="1" applyBorder="1" applyAlignment="1">
      <alignment horizontal="center"/>
    </xf>
    <xf numFmtId="0" fontId="38" fillId="0" borderId="0" xfId="0" applyFont="1" applyBorder="1"/>
    <xf numFmtId="0" fontId="38" fillId="0" borderId="13" xfId="0" applyFont="1" applyBorder="1"/>
    <xf numFmtId="0" fontId="42" fillId="0" borderId="13" xfId="0" applyFont="1" applyFill="1" applyBorder="1" applyAlignment="1">
      <alignment horizontal="center"/>
    </xf>
    <xf numFmtId="2" fontId="38" fillId="26" borderId="13" xfId="0" applyNumberFormat="1" applyFont="1" applyFill="1" applyBorder="1" applyAlignment="1">
      <alignment horizontal="center"/>
    </xf>
    <xf numFmtId="0" fontId="64" fillId="0" borderId="0" xfId="0" applyFont="1"/>
    <xf numFmtId="0" fontId="38" fillId="0" borderId="14" xfId="0" applyFont="1" applyBorder="1"/>
    <xf numFmtId="0" fontId="38" fillId="0" borderId="15" xfId="0" applyFont="1" applyBorder="1"/>
    <xf numFmtId="0" fontId="64" fillId="25" borderId="16" xfId="0" applyFont="1" applyFill="1" applyBorder="1" applyAlignment="1">
      <alignment horizontal="center"/>
    </xf>
    <xf numFmtId="0" fontId="61" fillId="25" borderId="17" xfId="0" applyFont="1" applyFill="1" applyBorder="1" applyAlignment="1">
      <alignment horizontal="center"/>
    </xf>
    <xf numFmtId="0" fontId="64" fillId="25" borderId="18" xfId="0" applyFont="1" applyFill="1" applyBorder="1" applyAlignment="1">
      <alignment horizontal="center"/>
    </xf>
    <xf numFmtId="0" fontId="61" fillId="25" borderId="19" xfId="0" applyFont="1" applyFill="1" applyBorder="1" applyAlignment="1">
      <alignment horizontal="center"/>
    </xf>
    <xf numFmtId="0" fontId="64" fillId="25" borderId="20" xfId="0" applyFont="1" applyFill="1" applyBorder="1" applyAlignment="1">
      <alignment horizontal="center"/>
    </xf>
    <xf numFmtId="0" fontId="38" fillId="0" borderId="21" xfId="0" applyFont="1" applyBorder="1"/>
    <xf numFmtId="0" fontId="38" fillId="0" borderId="22" xfId="0" applyFont="1" applyBorder="1"/>
    <xf numFmtId="2" fontId="38" fillId="26" borderId="14" xfId="0" applyNumberFormat="1" applyFont="1" applyFill="1" applyBorder="1" applyAlignment="1">
      <alignment horizontal="center"/>
    </xf>
    <xf numFmtId="0" fontId="38" fillId="0" borderId="23" xfId="0" applyFont="1" applyBorder="1"/>
    <xf numFmtId="0" fontId="38" fillId="0" borderId="24" xfId="0" applyFont="1" applyBorder="1"/>
    <xf numFmtId="0" fontId="64" fillId="25" borderId="25" xfId="0" applyFont="1" applyFill="1" applyBorder="1" applyAlignment="1">
      <alignment horizontal="center"/>
    </xf>
    <xf numFmtId="0" fontId="38" fillId="0" borderId="19" xfId="0" applyFont="1" applyBorder="1"/>
    <xf numFmtId="0" fontId="61" fillId="25" borderId="26" xfId="0" applyFont="1" applyFill="1" applyBorder="1" applyAlignment="1">
      <alignment horizontal="center"/>
    </xf>
    <xf numFmtId="0" fontId="64" fillId="25" borderId="19" xfId="0" applyFont="1" applyFill="1" applyBorder="1" applyAlignment="1">
      <alignment horizontal="right"/>
    </xf>
    <xf numFmtId="0" fontId="64" fillId="25" borderId="16" xfId="0" applyFont="1" applyFill="1" applyBorder="1" applyAlignment="1">
      <alignment horizontal="right"/>
    </xf>
    <xf numFmtId="0" fontId="61" fillId="25" borderId="0" xfId="0" applyFont="1" applyFill="1" applyBorder="1"/>
    <xf numFmtId="0" fontId="63" fillId="25" borderId="16" xfId="0" applyFont="1" applyFill="1" applyBorder="1"/>
    <xf numFmtId="0" fontId="62" fillId="25" borderId="24" xfId="0" applyFont="1" applyFill="1" applyBorder="1"/>
    <xf numFmtId="0" fontId="62" fillId="25" borderId="27" xfId="0" applyFont="1" applyFill="1" applyBorder="1"/>
    <xf numFmtId="0" fontId="61" fillId="25" borderId="24" xfId="0" applyFont="1" applyFill="1" applyBorder="1" applyAlignment="1">
      <alignment horizontal="center"/>
    </xf>
    <xf numFmtId="0" fontId="61" fillId="25" borderId="28" xfId="0" applyFont="1" applyFill="1" applyBorder="1" applyAlignment="1">
      <alignment horizontal="center"/>
    </xf>
    <xf numFmtId="0" fontId="61" fillId="25" borderId="29" xfId="0" applyFont="1" applyFill="1" applyBorder="1" applyAlignment="1">
      <alignment horizontal="center"/>
    </xf>
    <xf numFmtId="0" fontId="61" fillId="25" borderId="30" xfId="0" applyFont="1" applyFill="1" applyBorder="1" applyAlignment="1">
      <alignment horizontal="center"/>
    </xf>
    <xf numFmtId="0" fontId="62" fillId="25" borderId="31" xfId="0" applyFont="1" applyFill="1" applyBorder="1"/>
    <xf numFmtId="0" fontId="64" fillId="25" borderId="32" xfId="0" applyFont="1" applyFill="1" applyBorder="1" applyAlignment="1">
      <alignment horizontal="center"/>
    </xf>
    <xf numFmtId="0" fontId="64" fillId="25" borderId="26" xfId="0" applyFont="1" applyFill="1" applyBorder="1"/>
    <xf numFmtId="0" fontId="62" fillId="25" borderId="19" xfId="0" applyFont="1" applyFill="1" applyBorder="1" applyAlignment="1">
      <alignment horizontal="right"/>
    </xf>
    <xf numFmtId="0" fontId="64" fillId="25" borderId="20" xfId="0" applyFont="1" applyFill="1" applyBorder="1" applyAlignment="1">
      <alignment horizontal="right"/>
    </xf>
    <xf numFmtId="0" fontId="43" fillId="0" borderId="0" xfId="0" applyFont="1" applyBorder="1"/>
    <xf numFmtId="0" fontId="66" fillId="25" borderId="33" xfId="0" applyFont="1" applyFill="1" applyBorder="1"/>
    <xf numFmtId="0" fontId="63" fillId="25" borderId="33" xfId="0" applyFont="1" applyFill="1" applyBorder="1"/>
    <xf numFmtId="0" fontId="64" fillId="25" borderId="19" xfId="0" applyFont="1" applyFill="1" applyBorder="1"/>
    <xf numFmtId="0" fontId="42" fillId="0" borderId="34" xfId="0" applyFont="1" applyBorder="1"/>
    <xf numFmtId="0" fontId="39" fillId="0" borderId="35" xfId="0" applyFont="1" applyBorder="1"/>
    <xf numFmtId="0" fontId="38" fillId="0" borderId="36" xfId="0" applyFont="1" applyBorder="1"/>
    <xf numFmtId="0" fontId="38" fillId="0" borderId="37" xfId="0" applyFont="1" applyBorder="1"/>
    <xf numFmtId="0" fontId="42" fillId="0" borderId="36" xfId="0" applyFont="1" applyFill="1" applyBorder="1" applyAlignment="1">
      <alignment horizontal="center"/>
    </xf>
    <xf numFmtId="0" fontId="42" fillId="0" borderId="37" xfId="0" applyFont="1" applyFill="1" applyBorder="1" applyAlignment="1">
      <alignment horizontal="center"/>
    </xf>
    <xf numFmtId="0" fontId="38" fillId="0" borderId="38" xfId="0" applyFont="1" applyBorder="1"/>
    <xf numFmtId="0" fontId="38" fillId="0" borderId="39" xfId="0" applyFont="1" applyBorder="1"/>
    <xf numFmtId="0" fontId="38" fillId="0" borderId="40" xfId="0" applyFont="1" applyBorder="1"/>
    <xf numFmtId="2" fontId="38" fillId="0" borderId="39" xfId="0" applyNumberFormat="1" applyFont="1" applyFill="1" applyBorder="1" applyAlignment="1">
      <alignment horizontal="center"/>
    </xf>
    <xf numFmtId="0" fontId="42" fillId="0" borderId="39" xfId="0" applyFont="1" applyFill="1" applyBorder="1" applyAlignment="1">
      <alignment horizontal="center"/>
    </xf>
    <xf numFmtId="0" fontId="38" fillId="0" borderId="41" xfId="0" applyFont="1" applyBorder="1"/>
    <xf numFmtId="0" fontId="38" fillId="0" borderId="42" xfId="0" applyFont="1" applyBorder="1"/>
    <xf numFmtId="0" fontId="38" fillId="26" borderId="39" xfId="0" applyFont="1" applyFill="1" applyBorder="1" applyAlignment="1">
      <alignment horizontal="center"/>
    </xf>
    <xf numFmtId="0" fontId="42" fillId="0" borderId="38" xfId="0" applyFont="1" applyFill="1" applyBorder="1" applyAlignment="1">
      <alignment horizontal="center"/>
    </xf>
    <xf numFmtId="0" fontId="42" fillId="0" borderId="42" xfId="0" applyFont="1" applyBorder="1" applyAlignment="1">
      <alignment horizontal="left" wrapText="1"/>
    </xf>
    <xf numFmtId="0" fontId="38" fillId="0" borderId="43" xfId="0" applyFont="1" applyBorder="1"/>
    <xf numFmtId="0" fontId="38" fillId="0" borderId="44" xfId="0" applyFont="1" applyBorder="1"/>
    <xf numFmtId="0" fontId="64" fillId="25" borderId="45" xfId="0" applyFont="1" applyFill="1" applyBorder="1" applyAlignment="1">
      <alignment horizontal="center"/>
    </xf>
    <xf numFmtId="0" fontId="64" fillId="25" borderId="46" xfId="0" applyFont="1" applyFill="1" applyBorder="1" applyAlignment="1">
      <alignment horizontal="center"/>
    </xf>
    <xf numFmtId="0" fontId="62" fillId="25" borderId="47" xfId="0" applyFont="1" applyFill="1" applyBorder="1"/>
    <xf numFmtId="0" fontId="66" fillId="0" borderId="48" xfId="0" applyFont="1" applyBorder="1"/>
    <xf numFmtId="0" fontId="0" fillId="0" borderId="0" xfId="0" applyAlignment="1">
      <alignment horizontal="left" wrapText="1"/>
    </xf>
    <xf numFmtId="0" fontId="0" fillId="27" borderId="0" xfId="0" applyFill="1" applyAlignment="1">
      <alignment horizontal="left" wrapText="1"/>
    </xf>
    <xf numFmtId="0" fontId="71" fillId="0" borderId="0" xfId="0" applyFont="1" applyAlignment="1">
      <alignment horizontal="left" wrapText="1"/>
    </xf>
    <xf numFmtId="0" fontId="65" fillId="25" borderId="26" xfId="0" applyFont="1" applyFill="1" applyBorder="1" applyAlignment="1">
      <alignment horizontal="left" wrapText="1"/>
    </xf>
    <xf numFmtId="0" fontId="7" fillId="27" borderId="0" xfId="0" applyFont="1" applyFill="1" applyAlignment="1">
      <alignment vertical="top" wrapText="1"/>
    </xf>
    <xf numFmtId="0" fontId="28" fillId="25" borderId="49" xfId="0" applyFont="1" applyFill="1" applyBorder="1" applyAlignment="1">
      <alignment horizontal="right" wrapText="1"/>
    </xf>
    <xf numFmtId="0" fontId="30" fillId="25" borderId="0" xfId="0" applyFont="1" applyFill="1" applyBorder="1" applyAlignment="1">
      <alignment horizontal="left" vertical="center"/>
    </xf>
    <xf numFmtId="0" fontId="30" fillId="25" borderId="0" xfId="0" applyFont="1" applyFill="1" applyBorder="1" applyAlignment="1">
      <alignment horizontal="center" vertical="center"/>
    </xf>
    <xf numFmtId="0" fontId="30" fillId="25" borderId="0" xfId="0" applyFont="1" applyFill="1" applyBorder="1" applyAlignment="1">
      <alignment vertical="center"/>
    </xf>
    <xf numFmtId="0" fontId="29" fillId="25" borderId="0" xfId="0" applyFont="1" applyFill="1" applyBorder="1" applyAlignment="1">
      <alignment vertical="center"/>
    </xf>
    <xf numFmtId="0" fontId="0" fillId="25" borderId="0" xfId="0" applyFill="1" applyBorder="1" applyAlignment="1">
      <alignment vertical="center"/>
    </xf>
    <xf numFmtId="0" fontId="0" fillId="0" borderId="0" xfId="0" applyFill="1" applyAlignment="1">
      <alignment horizontal="left" wrapText="1"/>
    </xf>
    <xf numFmtId="0" fontId="46" fillId="0" borderId="0" xfId="0" applyFont="1" applyFill="1" applyAlignment="1"/>
    <xf numFmtId="0" fontId="46" fillId="0" borderId="0" xfId="0" applyFont="1" applyFill="1" applyAlignment="1">
      <alignment wrapText="1"/>
    </xf>
    <xf numFmtId="0" fontId="8" fillId="0" borderId="0" xfId="79" applyFill="1" applyAlignment="1" applyProtection="1">
      <alignment horizontal="left" wrapText="1"/>
    </xf>
    <xf numFmtId="0" fontId="54" fillId="0" borderId="0" xfId="0" applyFont="1" applyFill="1" applyAlignment="1">
      <alignment horizontal="left" wrapText="1" indent="2"/>
    </xf>
    <xf numFmtId="0" fontId="54" fillId="0" borderId="0" xfId="0" applyFont="1" applyFill="1" applyAlignment="1">
      <alignment horizontal="left" wrapText="1" indent="4"/>
    </xf>
    <xf numFmtId="0" fontId="7" fillId="0" borderId="0" xfId="0" applyFont="1" applyFill="1" applyAlignment="1">
      <alignment horizontal="left" wrapText="1"/>
    </xf>
    <xf numFmtId="0" fontId="38" fillId="28" borderId="50" xfId="0" applyFont="1" applyFill="1" applyBorder="1" applyAlignment="1">
      <alignment horizontal="center"/>
    </xf>
    <xf numFmtId="0" fontId="38" fillId="28" borderId="51" xfId="0" applyFont="1" applyFill="1" applyBorder="1" applyAlignment="1">
      <alignment horizontal="center"/>
    </xf>
    <xf numFmtId="0" fontId="38" fillId="28" borderId="52" xfId="0" applyFont="1" applyFill="1" applyBorder="1" applyAlignment="1">
      <alignment horizontal="center"/>
    </xf>
    <xf numFmtId="0" fontId="42" fillId="28" borderId="53" xfId="0" applyFont="1" applyFill="1" applyBorder="1" applyAlignment="1">
      <alignment horizontal="center"/>
    </xf>
    <xf numFmtId="0" fontId="42" fillId="28" borderId="54" xfId="0" applyFont="1" applyFill="1" applyBorder="1" applyAlignment="1">
      <alignment horizontal="center"/>
    </xf>
    <xf numFmtId="0" fontId="42" fillId="28" borderId="55" xfId="0" applyFont="1" applyFill="1" applyBorder="1" applyAlignment="1">
      <alignment horizontal="center"/>
    </xf>
    <xf numFmtId="168" fontId="38" fillId="28" borderId="26" xfId="0" applyNumberFormat="1" applyFont="1" applyFill="1" applyBorder="1" applyAlignment="1">
      <alignment horizontal="left"/>
    </xf>
    <xf numFmtId="0" fontId="38" fillId="28" borderId="19" xfId="0" applyFont="1" applyFill="1" applyBorder="1"/>
    <xf numFmtId="0" fontId="38" fillId="26" borderId="13" xfId="0" applyFont="1" applyFill="1" applyBorder="1" applyAlignment="1">
      <alignment horizontal="center"/>
    </xf>
    <xf numFmtId="0" fontId="42" fillId="26" borderId="39" xfId="0" applyFont="1" applyFill="1" applyBorder="1" applyAlignment="1">
      <alignment horizontal="center"/>
    </xf>
    <xf numFmtId="168" fontId="38" fillId="26" borderId="42" xfId="0" applyNumberFormat="1" applyFont="1" applyFill="1" applyBorder="1" applyAlignment="1">
      <alignment horizontal="left"/>
    </xf>
    <xf numFmtId="0" fontId="39" fillId="26" borderId="34" xfId="0" applyFont="1" applyFill="1" applyBorder="1"/>
    <xf numFmtId="2" fontId="38" fillId="26" borderId="39" xfId="0" applyNumberFormat="1" applyFont="1" applyFill="1" applyBorder="1" applyAlignment="1">
      <alignment horizontal="center"/>
    </xf>
    <xf numFmtId="0" fontId="38" fillId="26" borderId="42" xfId="0" applyFont="1" applyFill="1" applyBorder="1"/>
    <xf numFmtId="0" fontId="38" fillId="0" borderId="56" xfId="0" applyFont="1" applyFill="1" applyBorder="1"/>
    <xf numFmtId="0" fontId="0" fillId="27" borderId="0" xfId="0" applyFill="1" applyAlignment="1">
      <alignment vertical="center" wrapText="1"/>
    </xf>
    <xf numFmtId="0" fontId="0" fillId="27" borderId="0" xfId="0" applyFill="1" applyAlignment="1">
      <alignment horizontal="left" vertical="center" wrapText="1"/>
    </xf>
    <xf numFmtId="0" fontId="0" fillId="0" borderId="0" xfId="0" applyAlignment="1">
      <alignment horizontal="left" vertical="center" wrapText="1"/>
    </xf>
    <xf numFmtId="0" fontId="0" fillId="27" borderId="0" xfId="0" applyFill="1" applyAlignment="1">
      <alignment horizontal="left" vertical="center" wrapText="1" indent="2"/>
    </xf>
    <xf numFmtId="0" fontId="0" fillId="0" borderId="0" xfId="0" applyFill="1" applyAlignment="1">
      <alignment horizontal="left" wrapText="1" indent="2"/>
    </xf>
    <xf numFmtId="0" fontId="0" fillId="0" borderId="0" xfId="0" applyAlignment="1">
      <alignment horizontal="left" wrapText="1" indent="2"/>
    </xf>
    <xf numFmtId="164" fontId="0" fillId="27" borderId="0" xfId="130" applyFont="1" applyFill="1" applyAlignment="1">
      <alignment horizontal="left" wrapText="1"/>
    </xf>
    <xf numFmtId="0" fontId="38" fillId="0" borderId="55" xfId="0" applyFont="1" applyFill="1" applyBorder="1"/>
    <xf numFmtId="0" fontId="38" fillId="0" borderId="53" xfId="0" applyFont="1" applyBorder="1"/>
    <xf numFmtId="0" fontId="38" fillId="0" borderId="54" xfId="0" applyFont="1" applyBorder="1"/>
    <xf numFmtId="0" fontId="38" fillId="0" borderId="57" xfId="0" applyFont="1" applyBorder="1"/>
    <xf numFmtId="0" fontId="38" fillId="0" borderId="58" xfId="0" applyFont="1" applyBorder="1"/>
    <xf numFmtId="0" fontId="38" fillId="0" borderId="59" xfId="0" applyFont="1" applyBorder="1"/>
    <xf numFmtId="0" fontId="42" fillId="0" borderId="26" xfId="0" applyFont="1" applyBorder="1" applyAlignment="1">
      <alignment horizontal="left" wrapText="1"/>
    </xf>
    <xf numFmtId="0" fontId="38" fillId="0" borderId="26" xfId="0" applyFont="1" applyBorder="1"/>
    <xf numFmtId="166" fontId="38" fillId="0" borderId="55" xfId="0" applyNumberFormat="1" applyFont="1" applyBorder="1" applyAlignment="1">
      <alignment horizontal="center"/>
    </xf>
    <xf numFmtId="0" fontId="38" fillId="0" borderId="54" xfId="0" applyFont="1" applyBorder="1" applyAlignment="1">
      <alignment horizontal="center"/>
    </xf>
    <xf numFmtId="0" fontId="38" fillId="0" borderId="55" xfId="0" applyFont="1" applyBorder="1" applyAlignment="1">
      <alignment horizontal="center"/>
    </xf>
    <xf numFmtId="2" fontId="38" fillId="0" borderId="55" xfId="0" applyNumberFormat="1" applyFont="1" applyBorder="1" applyAlignment="1">
      <alignment horizontal="center"/>
    </xf>
    <xf numFmtId="0" fontId="38" fillId="0" borderId="53" xfId="0" applyFont="1" applyBorder="1" applyAlignment="1">
      <alignment horizontal="center"/>
    </xf>
    <xf numFmtId="170" fontId="38" fillId="0" borderId="54" xfId="0" applyNumberFormat="1" applyFont="1" applyFill="1" applyBorder="1"/>
    <xf numFmtId="170" fontId="38" fillId="0" borderId="54" xfId="0" applyNumberFormat="1" applyFont="1" applyFill="1" applyBorder="1" applyAlignment="1">
      <alignment horizontal="center"/>
    </xf>
    <xf numFmtId="0" fontId="42" fillId="0" borderId="55" xfId="0" applyFont="1" applyFill="1" applyBorder="1" applyAlignment="1">
      <alignment horizontal="center"/>
    </xf>
    <xf numFmtId="0" fontId="38" fillId="0" borderId="55" xfId="0" applyFont="1" applyFill="1" applyBorder="1" applyAlignment="1">
      <alignment horizontal="center"/>
    </xf>
    <xf numFmtId="2" fontId="38" fillId="0" borderId="50" xfId="0" applyNumberFormat="1" applyFont="1" applyBorder="1"/>
    <xf numFmtId="0" fontId="38" fillId="0" borderId="55" xfId="0" applyFont="1" applyBorder="1"/>
    <xf numFmtId="2" fontId="38" fillId="0" borderId="55" xfId="0" applyNumberFormat="1" applyFont="1" applyBorder="1"/>
    <xf numFmtId="2" fontId="38" fillId="0" borderId="53" xfId="0" applyNumberFormat="1" applyFont="1" applyBorder="1"/>
    <xf numFmtId="0" fontId="38" fillId="0" borderId="26" xfId="0" applyFont="1" applyFill="1" applyBorder="1"/>
    <xf numFmtId="0" fontId="38" fillId="0" borderId="26" xfId="0" applyFont="1" applyBorder="1" applyAlignment="1"/>
    <xf numFmtId="166" fontId="38" fillId="27" borderId="55" xfId="0" applyNumberFormat="1" applyFont="1" applyFill="1" applyBorder="1" applyAlignment="1">
      <alignment horizontal="center"/>
    </xf>
    <xf numFmtId="0" fontId="38" fillId="0" borderId="60" xfId="0" applyFont="1" applyBorder="1" applyAlignment="1">
      <alignment horizontal="center"/>
    </xf>
    <xf numFmtId="0" fontId="38" fillId="0" borderId="61" xfId="0" applyFont="1" applyBorder="1" applyAlignment="1">
      <alignment horizontal="center"/>
    </xf>
    <xf numFmtId="0" fontId="38" fillId="0" borderId="62" xfId="0" applyFont="1" applyBorder="1" applyAlignment="1">
      <alignment horizontal="center"/>
    </xf>
    <xf numFmtId="0" fontId="38" fillId="0" borderId="63" xfId="0" applyFont="1" applyBorder="1" applyAlignment="1">
      <alignment horizontal="center"/>
    </xf>
    <xf numFmtId="0" fontId="38" fillId="0" borderId="64" xfId="0" applyFont="1" applyBorder="1" applyAlignment="1">
      <alignment horizontal="center"/>
    </xf>
    <xf numFmtId="168" fontId="38" fillId="0" borderId="65" xfId="0" applyNumberFormat="1" applyFont="1" applyFill="1" applyBorder="1" applyAlignment="1">
      <alignment horizontal="center"/>
    </xf>
    <xf numFmtId="168" fontId="38" fillId="0" borderId="64" xfId="0" applyNumberFormat="1" applyFont="1" applyFill="1" applyBorder="1" applyAlignment="1">
      <alignment horizontal="center"/>
    </xf>
    <xf numFmtId="168" fontId="38" fillId="0" borderId="26" xfId="0" applyNumberFormat="1" applyFont="1" applyFill="1" applyBorder="1" applyAlignment="1">
      <alignment horizontal="left"/>
    </xf>
    <xf numFmtId="0" fontId="38" fillId="0" borderId="66" xfId="0" applyFont="1" applyBorder="1" applyAlignment="1">
      <alignment horizontal="center"/>
    </xf>
    <xf numFmtId="0" fontId="38" fillId="0" borderId="66" xfId="0" applyFont="1" applyBorder="1"/>
    <xf numFmtId="168" fontId="38" fillId="0" borderId="67" xfId="0" applyNumberFormat="1" applyFont="1" applyFill="1" applyBorder="1" applyAlignment="1">
      <alignment horizontal="center"/>
    </xf>
    <xf numFmtId="168" fontId="38" fillId="0" borderId="66" xfId="0" applyNumberFormat="1" applyFont="1" applyFill="1" applyBorder="1" applyAlignment="1">
      <alignment horizontal="center"/>
    </xf>
    <xf numFmtId="0" fontId="42" fillId="29" borderId="59" xfId="0" applyFont="1" applyFill="1" applyBorder="1" applyAlignment="1">
      <alignment horizontal="center"/>
    </xf>
    <xf numFmtId="0" fontId="42" fillId="29" borderId="57" xfId="0" applyFont="1" applyFill="1" applyBorder="1" applyAlignment="1">
      <alignment horizontal="center"/>
    </xf>
    <xf numFmtId="0" fontId="38" fillId="30" borderId="39" xfId="0" applyFont="1" applyFill="1" applyBorder="1" applyAlignment="1">
      <alignment horizontal="center"/>
    </xf>
    <xf numFmtId="166" fontId="38" fillId="30" borderId="53" xfId="0" applyNumberFormat="1" applyFont="1" applyFill="1" applyBorder="1" applyAlignment="1">
      <alignment horizontal="center"/>
    </xf>
    <xf numFmtId="2" fontId="38" fillId="30" borderId="54" xfId="0" applyNumberFormat="1" applyFont="1" applyFill="1" applyBorder="1" applyAlignment="1">
      <alignment horizontal="center"/>
    </xf>
    <xf numFmtId="170" fontId="38" fillId="30" borderId="54" xfId="0" applyNumberFormat="1" applyFont="1" applyFill="1" applyBorder="1" applyAlignment="1">
      <alignment horizontal="center"/>
    </xf>
    <xf numFmtId="2" fontId="38" fillId="30" borderId="53" xfId="0" applyNumberFormat="1" applyFont="1" applyFill="1" applyBorder="1" applyAlignment="1">
      <alignment horizontal="center"/>
    </xf>
    <xf numFmtId="0" fontId="42" fillId="29" borderId="58" xfId="0" applyFont="1" applyFill="1" applyBorder="1" applyAlignment="1">
      <alignment horizontal="center"/>
    </xf>
    <xf numFmtId="0" fontId="42" fillId="29" borderId="53" xfId="0" applyFont="1" applyFill="1" applyBorder="1" applyAlignment="1">
      <alignment horizontal="center"/>
    </xf>
    <xf numFmtId="0" fontId="42" fillId="29" borderId="54" xfId="0" applyFont="1" applyFill="1" applyBorder="1" applyAlignment="1">
      <alignment horizontal="center"/>
    </xf>
    <xf numFmtId="0" fontId="42" fillId="29" borderId="55" xfId="0" applyFont="1" applyFill="1" applyBorder="1" applyAlignment="1">
      <alignment horizontal="center"/>
    </xf>
    <xf numFmtId="2" fontId="38" fillId="0" borderId="55" xfId="0" applyNumberFormat="1" applyFont="1" applyFill="1" applyBorder="1" applyAlignment="1">
      <alignment horizontal="center"/>
    </xf>
    <xf numFmtId="0" fontId="38" fillId="29" borderId="53" xfId="0" applyFont="1" applyFill="1" applyBorder="1" applyAlignment="1">
      <alignment horizontal="center"/>
    </xf>
    <xf numFmtId="0" fontId="38" fillId="29" borderId="54" xfId="0" applyFont="1" applyFill="1" applyBorder="1" applyAlignment="1">
      <alignment horizontal="center"/>
    </xf>
    <xf numFmtId="0" fontId="38" fillId="29" borderId="55" xfId="0" applyFont="1" applyFill="1" applyBorder="1" applyAlignment="1">
      <alignment horizontal="center"/>
    </xf>
    <xf numFmtId="0" fontId="38" fillId="30" borderId="54" xfId="0" applyFont="1" applyFill="1" applyBorder="1" applyAlignment="1">
      <alignment horizontal="center"/>
    </xf>
    <xf numFmtId="168" fontId="38" fillId="30" borderId="54" xfId="0" applyNumberFormat="1" applyFont="1" applyFill="1" applyBorder="1" applyAlignment="1">
      <alignment horizontal="center"/>
    </xf>
    <xf numFmtId="0" fontId="42" fillId="29" borderId="67" xfId="0" applyFont="1" applyFill="1" applyBorder="1" applyAlignment="1">
      <alignment horizontal="center"/>
    </xf>
    <xf numFmtId="0" fontId="42" fillId="29" borderId="66" xfId="0" applyFont="1" applyFill="1" applyBorder="1" applyAlignment="1">
      <alignment horizontal="center"/>
    </xf>
    <xf numFmtId="0" fontId="42" fillId="29" borderId="68" xfId="0" applyFont="1" applyFill="1" applyBorder="1" applyAlignment="1">
      <alignment horizontal="center"/>
    </xf>
    <xf numFmtId="0" fontId="42" fillId="29" borderId="69" xfId="0" applyFont="1" applyFill="1" applyBorder="1" applyAlignment="1">
      <alignment horizontal="center"/>
    </xf>
    <xf numFmtId="166" fontId="38" fillId="30" borderId="55" xfId="0" applyNumberFormat="1" applyFont="1" applyFill="1" applyBorder="1" applyAlignment="1">
      <alignment horizontal="center"/>
    </xf>
    <xf numFmtId="0" fontId="38" fillId="30" borderId="55" xfId="0" applyFont="1" applyFill="1" applyBorder="1" applyAlignment="1">
      <alignment horizontal="center"/>
    </xf>
    <xf numFmtId="0" fontId="38" fillId="30" borderId="55" xfId="0" quotePrefix="1" applyFont="1" applyFill="1" applyBorder="1" applyAlignment="1">
      <alignment horizontal="center"/>
    </xf>
    <xf numFmtId="0" fontId="49" fillId="27" borderId="0" xfId="0" applyFont="1" applyFill="1" applyAlignment="1">
      <alignment vertical="center" wrapText="1"/>
    </xf>
    <xf numFmtId="0" fontId="0" fillId="27" borderId="0" xfId="0" applyFill="1" applyAlignment="1">
      <alignment vertical="top" wrapText="1"/>
    </xf>
    <xf numFmtId="0" fontId="62" fillId="25" borderId="0" xfId="0" applyFont="1" applyFill="1" applyBorder="1"/>
    <xf numFmtId="0" fontId="61" fillId="25" borderId="70" xfId="0" applyFont="1" applyFill="1" applyBorder="1"/>
    <xf numFmtId="0" fontId="38" fillId="27" borderId="55" xfId="0" applyFont="1" applyFill="1" applyBorder="1"/>
    <xf numFmtId="0" fontId="38" fillId="0" borderId="51" xfId="0" applyFont="1" applyFill="1" applyBorder="1"/>
    <xf numFmtId="0" fontId="38" fillId="0" borderId="51" xfId="0" applyFont="1" applyBorder="1"/>
    <xf numFmtId="0" fontId="68" fillId="25" borderId="31" xfId="0" applyFont="1" applyFill="1" applyBorder="1" applyAlignment="1">
      <alignment horizontal="left"/>
    </xf>
    <xf numFmtId="0" fontId="45" fillId="26" borderId="42" xfId="0" applyFont="1" applyFill="1" applyBorder="1" applyAlignment="1"/>
    <xf numFmtId="0" fontId="38" fillId="0" borderId="42" xfId="0" applyFont="1" applyFill="1" applyBorder="1"/>
    <xf numFmtId="0" fontId="42" fillId="0" borderId="71" xfId="0" applyFont="1" applyFill="1" applyBorder="1" applyAlignment="1">
      <alignment horizontal="center"/>
    </xf>
    <xf numFmtId="0" fontId="42" fillId="29" borderId="71" xfId="0" applyFont="1" applyFill="1" applyBorder="1" applyAlignment="1">
      <alignment horizontal="center"/>
    </xf>
    <xf numFmtId="0" fontId="42" fillId="0" borderId="72" xfId="0" applyFont="1" applyBorder="1"/>
    <xf numFmtId="0" fontId="40" fillId="0" borderId="73" xfId="0" applyFont="1" applyBorder="1"/>
    <xf numFmtId="0" fontId="39" fillId="0" borderId="72" xfId="0" applyFont="1" applyBorder="1"/>
    <xf numFmtId="0" fontId="39" fillId="0" borderId="74" xfId="0" applyFont="1" applyBorder="1"/>
    <xf numFmtId="0" fontId="42" fillId="0" borderId="74" xfId="0" applyFont="1" applyBorder="1"/>
    <xf numFmtId="0" fontId="42" fillId="0" borderId="75" xfId="0" applyFont="1" applyBorder="1" applyAlignment="1"/>
    <xf numFmtId="0" fontId="35" fillId="0" borderId="0" xfId="0" applyFont="1" applyBorder="1" applyAlignment="1">
      <alignment vertical="top"/>
    </xf>
    <xf numFmtId="0" fontId="73" fillId="0" borderId="0" xfId="0" applyFont="1" applyBorder="1"/>
    <xf numFmtId="0" fontId="73" fillId="0" borderId="0" xfId="0" applyFont="1"/>
    <xf numFmtId="0" fontId="35" fillId="0" borderId="0" xfId="0" applyFont="1" applyBorder="1"/>
    <xf numFmtId="0" fontId="74" fillId="0" borderId="0" xfId="79" applyFont="1" applyBorder="1" applyAlignment="1" applyProtection="1">
      <alignment vertical="top"/>
    </xf>
    <xf numFmtId="0" fontId="35" fillId="0" borderId="0" xfId="0" applyFont="1" applyBorder="1" applyAlignment="1">
      <alignment horizontal="center"/>
    </xf>
    <xf numFmtId="0" fontId="74" fillId="0" borderId="0" xfId="79" applyFont="1" applyBorder="1" applyAlignment="1" applyProtection="1">
      <alignment horizontal="left" vertical="top" wrapText="1"/>
    </xf>
    <xf numFmtId="0" fontId="74" fillId="0" borderId="0" xfId="79" applyFont="1" applyBorder="1" applyAlignment="1" applyProtection="1"/>
    <xf numFmtId="0" fontId="74" fillId="0" borderId="0" xfId="79" applyFont="1" applyFill="1" applyBorder="1" applyAlignment="1" applyProtection="1">
      <alignment horizontal="left" vertical="top" wrapText="1"/>
    </xf>
    <xf numFmtId="0" fontId="38" fillId="26" borderId="39" xfId="0" applyFont="1" applyFill="1" applyBorder="1" applyAlignment="1">
      <alignment horizontal="left"/>
    </xf>
    <xf numFmtId="166" fontId="38" fillId="26" borderId="39" xfId="0" applyNumberFormat="1" applyFont="1" applyFill="1" applyBorder="1" applyAlignment="1">
      <alignment horizontal="center"/>
    </xf>
    <xf numFmtId="166" fontId="38" fillId="26" borderId="14" xfId="0" applyNumberFormat="1" applyFont="1" applyFill="1" applyBorder="1" applyAlignment="1">
      <alignment horizontal="center"/>
    </xf>
    <xf numFmtId="168" fontId="38" fillId="26" borderId="13" xfId="0" applyNumberFormat="1" applyFont="1" applyFill="1" applyBorder="1" applyAlignment="1">
      <alignment horizontal="center"/>
    </xf>
    <xf numFmtId="170" fontId="38" fillId="26" borderId="13" xfId="0" applyNumberFormat="1" applyFont="1" applyFill="1" applyBorder="1" applyAlignment="1">
      <alignment horizontal="center"/>
    </xf>
    <xf numFmtId="166" fontId="38" fillId="0" borderId="59" xfId="0" applyNumberFormat="1" applyFont="1" applyBorder="1"/>
    <xf numFmtId="166" fontId="38" fillId="0" borderId="53" xfId="0" applyNumberFormat="1" applyFont="1" applyBorder="1"/>
    <xf numFmtId="166" fontId="42" fillId="29" borderId="59" xfId="0" applyNumberFormat="1" applyFont="1" applyFill="1" applyBorder="1" applyAlignment="1">
      <alignment horizontal="center"/>
    </xf>
    <xf numFmtId="166" fontId="38" fillId="0" borderId="53" xfId="0" applyNumberFormat="1" applyFont="1" applyBorder="1" applyAlignment="1">
      <alignment horizontal="center"/>
    </xf>
    <xf numFmtId="166" fontId="38" fillId="0" borderId="50" xfId="0" applyNumberFormat="1" applyFont="1" applyBorder="1"/>
    <xf numFmtId="166" fontId="38" fillId="29" borderId="53" xfId="0" applyNumberFormat="1" applyFont="1" applyFill="1" applyBorder="1" applyAlignment="1">
      <alignment horizontal="center"/>
    </xf>
    <xf numFmtId="166" fontId="38" fillId="29" borderId="76" xfId="0" applyNumberFormat="1" applyFont="1" applyFill="1" applyBorder="1" applyAlignment="1">
      <alignment horizontal="center"/>
    </xf>
    <xf numFmtId="166" fontId="38" fillId="0" borderId="77" xfId="0" applyNumberFormat="1" applyFont="1" applyBorder="1" applyAlignment="1">
      <alignment horizontal="center"/>
    </xf>
    <xf numFmtId="166" fontId="42" fillId="29" borderId="78" xfId="0" applyNumberFormat="1" applyFont="1" applyFill="1" applyBorder="1" applyAlignment="1">
      <alignment horizontal="center"/>
    </xf>
    <xf numFmtId="166" fontId="38" fillId="0" borderId="50" xfId="0" applyNumberFormat="1" applyFont="1" applyBorder="1" applyAlignment="1">
      <alignment horizontal="center"/>
    </xf>
    <xf numFmtId="166" fontId="42" fillId="0" borderId="14" xfId="0" applyNumberFormat="1" applyFont="1" applyFill="1" applyBorder="1" applyAlignment="1">
      <alignment horizontal="center"/>
    </xf>
    <xf numFmtId="2" fontId="38" fillId="0" borderId="57" xfId="0" applyNumberFormat="1" applyFont="1" applyBorder="1"/>
    <xf numFmtId="2" fontId="38" fillId="0" borderId="54" xfId="0" applyNumberFormat="1" applyFont="1" applyBorder="1"/>
    <xf numFmtId="2" fontId="42" fillId="29" borderId="57" xfId="0" applyNumberFormat="1" applyFont="1" applyFill="1" applyBorder="1" applyAlignment="1">
      <alignment horizontal="center"/>
    </xf>
    <xf numFmtId="2" fontId="38" fillId="0" borderId="54" xfId="0" applyNumberFormat="1" applyFont="1" applyFill="1" applyBorder="1"/>
    <xf numFmtId="2" fontId="38" fillId="0" borderId="79" xfId="0" applyNumberFormat="1" applyFont="1" applyFill="1" applyBorder="1"/>
    <xf numFmtId="2" fontId="38" fillId="29" borderId="54" xfId="0" applyNumberFormat="1" applyFont="1" applyFill="1" applyBorder="1" applyAlignment="1">
      <alignment horizontal="center"/>
    </xf>
    <xf numFmtId="2" fontId="38" fillId="0" borderId="54" xfId="0" applyNumberFormat="1" applyFont="1" applyBorder="1" applyAlignment="1">
      <alignment horizontal="center"/>
    </xf>
    <xf numFmtId="2" fontId="38" fillId="29" borderId="80" xfId="0" applyNumberFormat="1" applyFont="1" applyFill="1" applyBorder="1" applyAlignment="1">
      <alignment horizontal="center"/>
    </xf>
    <xf numFmtId="2" fontId="38" fillId="0" borderId="81" xfId="0" applyNumberFormat="1" applyFont="1" applyBorder="1" applyAlignment="1">
      <alignment horizontal="center"/>
    </xf>
    <xf numFmtId="2" fontId="42" fillId="29" borderId="82" xfId="0" applyNumberFormat="1" applyFont="1" applyFill="1" applyBorder="1" applyAlignment="1">
      <alignment horizontal="center"/>
    </xf>
    <xf numFmtId="2" fontId="38" fillId="0" borderId="79" xfId="0" applyNumberFormat="1" applyFont="1" applyBorder="1" applyAlignment="1">
      <alignment horizontal="center"/>
    </xf>
    <xf numFmtId="2" fontId="42" fillId="0" borderId="13" xfId="0" applyNumberFormat="1" applyFont="1" applyFill="1" applyBorder="1" applyAlignment="1">
      <alignment horizontal="center"/>
    </xf>
    <xf numFmtId="168" fontId="42" fillId="0" borderId="13" xfId="0" applyNumberFormat="1" applyFont="1" applyFill="1" applyBorder="1" applyAlignment="1">
      <alignment horizontal="center"/>
    </xf>
    <xf numFmtId="170" fontId="38" fillId="0" borderId="57" xfId="0" applyNumberFormat="1" applyFont="1" applyBorder="1"/>
    <xf numFmtId="170" fontId="38" fillId="0" borderId="54" xfId="0" applyNumberFormat="1" applyFont="1" applyBorder="1" applyAlignment="1">
      <alignment horizontal="center"/>
    </xf>
    <xf numFmtId="170" fontId="38" fillId="27" borderId="54" xfId="0" applyNumberFormat="1" applyFont="1" applyFill="1" applyBorder="1" applyAlignment="1">
      <alignment horizontal="center"/>
    </xf>
    <xf numFmtId="170" fontId="42" fillId="29" borderId="57" xfId="0" applyNumberFormat="1" applyFont="1" applyFill="1" applyBorder="1" applyAlignment="1">
      <alignment horizontal="center"/>
    </xf>
    <xf numFmtId="170" fontId="38" fillId="0" borderId="54" xfId="0" applyNumberFormat="1" applyFont="1" applyBorder="1"/>
    <xf numFmtId="170" fontId="38" fillId="29" borderId="54" xfId="0" applyNumberFormat="1" applyFont="1" applyFill="1" applyBorder="1" applyAlignment="1">
      <alignment horizontal="center"/>
    </xf>
    <xf numFmtId="170" fontId="38" fillId="29" borderId="80" xfId="0" applyNumberFormat="1" applyFont="1" applyFill="1" applyBorder="1" applyAlignment="1">
      <alignment horizontal="center"/>
    </xf>
    <xf numFmtId="170" fontId="38" fillId="0" borderId="81" xfId="0" applyNumberFormat="1" applyFont="1" applyBorder="1" applyAlignment="1">
      <alignment horizontal="center"/>
    </xf>
    <xf numFmtId="170" fontId="42" fillId="29" borderId="82" xfId="0" applyNumberFormat="1" applyFont="1" applyFill="1" applyBorder="1" applyAlignment="1">
      <alignment horizontal="center"/>
    </xf>
    <xf numFmtId="170" fontId="38" fillId="0" borderId="79" xfId="0" applyNumberFormat="1" applyFont="1" applyBorder="1" applyAlignment="1">
      <alignment horizontal="center"/>
    </xf>
    <xf numFmtId="170" fontId="42" fillId="0" borderId="13" xfId="0" applyNumberFormat="1" applyFont="1" applyFill="1" applyBorder="1" applyAlignment="1">
      <alignment horizontal="center"/>
    </xf>
    <xf numFmtId="166" fontId="38" fillId="0" borderId="55" xfId="0" applyNumberFormat="1" applyFont="1" applyFill="1" applyBorder="1" applyAlignment="1">
      <alignment horizontal="center"/>
    </xf>
    <xf numFmtId="166" fontId="38" fillId="0" borderId="58" xfId="0" applyNumberFormat="1" applyFont="1" applyBorder="1"/>
    <xf numFmtId="166" fontId="42" fillId="29" borderId="58" xfId="0" applyNumberFormat="1" applyFont="1" applyFill="1" applyBorder="1" applyAlignment="1">
      <alignment horizontal="center"/>
    </xf>
    <xf numFmtId="166" fontId="38" fillId="0" borderId="55" xfId="0" applyNumberFormat="1" applyFont="1" applyFill="1" applyBorder="1"/>
    <xf numFmtId="166" fontId="38" fillId="0" borderId="55" xfId="0" applyNumberFormat="1" applyFont="1" applyBorder="1"/>
    <xf numFmtId="166" fontId="38" fillId="29" borderId="55" xfId="0" applyNumberFormat="1" applyFont="1" applyFill="1" applyBorder="1" applyAlignment="1">
      <alignment horizontal="center"/>
    </xf>
    <xf numFmtId="166" fontId="38" fillId="29" borderId="83" xfId="0" applyNumberFormat="1" applyFont="1" applyFill="1" applyBorder="1" applyAlignment="1">
      <alignment horizontal="center"/>
    </xf>
    <xf numFmtId="166" fontId="38" fillId="0" borderId="84" xfId="0" applyNumberFormat="1" applyFont="1" applyBorder="1" applyAlignment="1">
      <alignment horizontal="center"/>
    </xf>
    <xf numFmtId="166" fontId="42" fillId="29" borderId="85" xfId="0" applyNumberFormat="1" applyFont="1" applyFill="1" applyBorder="1" applyAlignment="1">
      <alignment horizontal="center"/>
    </xf>
    <xf numFmtId="166" fontId="38" fillId="0" borderId="51" xfId="0" applyNumberFormat="1" applyFont="1" applyBorder="1" applyAlignment="1">
      <alignment horizontal="center"/>
    </xf>
    <xf numFmtId="166" fontId="42" fillId="0" borderId="39" xfId="0" applyNumberFormat="1" applyFont="1" applyFill="1" applyBorder="1" applyAlignment="1">
      <alignment horizontal="center"/>
    </xf>
    <xf numFmtId="2" fontId="38" fillId="0" borderId="53" xfId="0" applyNumberFormat="1" applyFont="1" applyBorder="1" applyAlignment="1">
      <alignment horizontal="center"/>
    </xf>
    <xf numFmtId="2" fontId="42" fillId="29" borderId="59" xfId="0" applyNumberFormat="1" applyFont="1" applyFill="1" applyBorder="1" applyAlignment="1">
      <alignment horizontal="center"/>
    </xf>
    <xf numFmtId="2" fontId="38" fillId="29" borderId="53" xfId="0" applyNumberFormat="1" applyFont="1" applyFill="1" applyBorder="1" applyAlignment="1">
      <alignment horizontal="center"/>
    </xf>
    <xf numFmtId="2" fontId="38" fillId="29" borderId="63" xfId="0" applyNumberFormat="1" applyFont="1" applyFill="1" applyBorder="1" applyAlignment="1">
      <alignment horizontal="center"/>
    </xf>
    <xf numFmtId="2" fontId="38" fillId="0" borderId="62" xfId="0" applyNumberFormat="1" applyFont="1" applyBorder="1" applyAlignment="1">
      <alignment horizontal="center"/>
    </xf>
    <xf numFmtId="2" fontId="42" fillId="29" borderId="86" xfId="0" applyNumberFormat="1" applyFont="1" applyFill="1" applyBorder="1" applyAlignment="1">
      <alignment horizontal="center"/>
    </xf>
    <xf numFmtId="2" fontId="38" fillId="0" borderId="63" xfId="0" applyNumberFormat="1" applyFont="1" applyBorder="1" applyAlignment="1">
      <alignment horizontal="center"/>
    </xf>
    <xf numFmtId="2" fontId="42" fillId="0" borderId="14" xfId="0" applyNumberFormat="1" applyFont="1" applyFill="1" applyBorder="1" applyAlignment="1">
      <alignment horizontal="center"/>
    </xf>
    <xf numFmtId="170" fontId="38" fillId="0" borderId="79" xfId="0" applyNumberFormat="1" applyFont="1" applyFill="1" applyBorder="1"/>
    <xf numFmtId="170" fontId="38" fillId="0" borderId="13" xfId="0" applyNumberFormat="1" applyFont="1" applyFill="1" applyBorder="1" applyAlignment="1">
      <alignment horizontal="center"/>
    </xf>
    <xf numFmtId="2" fontId="42" fillId="29" borderId="58" xfId="0" applyNumberFormat="1" applyFont="1" applyFill="1" applyBorder="1" applyAlignment="1">
      <alignment horizontal="center"/>
    </xf>
    <xf numFmtId="2" fontId="38" fillId="29" borderId="55" xfId="0" applyNumberFormat="1" applyFont="1" applyFill="1" applyBorder="1" applyAlignment="1">
      <alignment horizontal="center"/>
    </xf>
    <xf numFmtId="2" fontId="38" fillId="0" borderId="51" xfId="0" applyNumberFormat="1" applyFont="1" applyBorder="1" applyAlignment="1">
      <alignment horizontal="center"/>
    </xf>
    <xf numFmtId="2" fontId="38" fillId="0" borderId="59" xfId="0" applyNumberFormat="1" applyFont="1" applyBorder="1"/>
    <xf numFmtId="2" fontId="42" fillId="29" borderId="62" xfId="0" applyNumberFormat="1" applyFont="1" applyFill="1" applyBorder="1" applyAlignment="1">
      <alignment horizontal="center"/>
    </xf>
    <xf numFmtId="168" fontId="42" fillId="29" borderId="67" xfId="0" applyNumberFormat="1" applyFont="1" applyFill="1" applyBorder="1" applyAlignment="1">
      <alignment horizontal="center"/>
    </xf>
    <xf numFmtId="170" fontId="38" fillId="29" borderId="53" xfId="0" applyNumberFormat="1" applyFont="1" applyFill="1" applyBorder="1" applyAlignment="1">
      <alignment horizontal="center"/>
    </xf>
    <xf numFmtId="170" fontId="38" fillId="0" borderId="63" xfId="0" applyNumberFormat="1" applyFont="1" applyBorder="1" applyAlignment="1">
      <alignment horizontal="center"/>
    </xf>
    <xf numFmtId="170" fontId="38" fillId="0" borderId="62" xfId="0" applyNumberFormat="1" applyFont="1" applyBorder="1" applyAlignment="1">
      <alignment horizontal="center"/>
    </xf>
    <xf numFmtId="170" fontId="42" fillId="29" borderId="67" xfId="0" applyNumberFormat="1" applyFont="1" applyFill="1" applyBorder="1" applyAlignment="1">
      <alignment horizontal="center"/>
    </xf>
    <xf numFmtId="1" fontId="38" fillId="26" borderId="13" xfId="0" applyNumberFormat="1" applyFont="1" applyFill="1" applyBorder="1" applyAlignment="1">
      <alignment horizontal="center"/>
    </xf>
    <xf numFmtId="2" fontId="38" fillId="0" borderId="63" xfId="0" applyNumberFormat="1" applyFont="1" applyFill="1" applyBorder="1" applyAlignment="1">
      <alignment horizontal="center"/>
    </xf>
    <xf numFmtId="2" fontId="38" fillId="0" borderId="62" xfId="0" applyNumberFormat="1" applyFont="1" applyBorder="1"/>
    <xf numFmtId="2" fontId="38" fillId="0" borderId="62" xfId="0" applyNumberFormat="1" applyFont="1" applyFill="1" applyBorder="1" applyAlignment="1">
      <alignment horizontal="center"/>
    </xf>
    <xf numFmtId="2" fontId="42" fillId="26" borderId="14" xfId="0" applyNumberFormat="1" applyFont="1" applyFill="1" applyBorder="1" applyAlignment="1">
      <alignment horizontal="center"/>
    </xf>
    <xf numFmtId="168" fontId="38" fillId="0" borderId="67" xfId="0" applyNumberFormat="1" applyFont="1" applyBorder="1"/>
    <xf numFmtId="168" fontId="42" fillId="29" borderId="68" xfId="0" applyNumberFormat="1" applyFont="1" applyFill="1" applyBorder="1" applyAlignment="1">
      <alignment horizontal="center"/>
    </xf>
    <xf numFmtId="168" fontId="42" fillId="26" borderId="13" xfId="0" applyNumberFormat="1" applyFont="1" applyFill="1" applyBorder="1" applyAlignment="1">
      <alignment horizontal="center"/>
    </xf>
    <xf numFmtId="170" fontId="38" fillId="26" borderId="39" xfId="0" applyNumberFormat="1" applyFont="1" applyFill="1" applyBorder="1" applyAlignment="1">
      <alignment horizontal="center"/>
    </xf>
    <xf numFmtId="0" fontId="64" fillId="25" borderId="87" xfId="0" applyFont="1" applyFill="1" applyBorder="1" applyAlignment="1">
      <alignment horizontal="center"/>
    </xf>
    <xf numFmtId="0" fontId="64" fillId="25" borderId="88" xfId="0" applyFont="1" applyFill="1" applyBorder="1" applyAlignment="1">
      <alignment horizontal="center"/>
    </xf>
    <xf numFmtId="170" fontId="38" fillId="30" borderId="57" xfId="0" applyNumberFormat="1" applyFont="1" applyFill="1" applyBorder="1" applyAlignment="1">
      <alignment horizontal="center"/>
    </xf>
    <xf numFmtId="2" fontId="38" fillId="0" borderId="58" xfId="0" applyNumberFormat="1" applyFont="1" applyFill="1" applyBorder="1" applyAlignment="1">
      <alignment horizontal="center"/>
    </xf>
    <xf numFmtId="0" fontId="35" fillId="0" borderId="0" xfId="0" applyFont="1" applyFill="1" applyBorder="1"/>
    <xf numFmtId="0" fontId="74" fillId="0" borderId="0" xfId="79" applyFont="1" applyBorder="1" applyAlignment="1" applyProtection="1">
      <alignment horizontal="justify" vertical="top" wrapText="1"/>
    </xf>
    <xf numFmtId="2" fontId="38" fillId="30" borderId="59" xfId="0" applyNumberFormat="1" applyFont="1" applyFill="1" applyBorder="1" applyAlignment="1">
      <alignment horizontal="center"/>
    </xf>
    <xf numFmtId="0" fontId="75" fillId="31" borderId="87" xfId="0" applyFont="1" applyFill="1" applyBorder="1" applyAlignment="1">
      <alignment horizontal="center"/>
    </xf>
    <xf numFmtId="0" fontId="75" fillId="31" borderId="88" xfId="0" applyFont="1" applyFill="1" applyBorder="1" applyAlignment="1">
      <alignment horizontal="center"/>
    </xf>
    <xf numFmtId="0" fontId="73" fillId="0" borderId="0" xfId="0" applyFont="1" applyFill="1" applyBorder="1"/>
    <xf numFmtId="0" fontId="28" fillId="25" borderId="0" xfId="0" applyFont="1" applyFill="1" applyBorder="1" applyAlignment="1">
      <alignment horizontal="right" vertical="center"/>
    </xf>
    <xf numFmtId="166" fontId="42" fillId="29" borderId="89" xfId="0" applyNumberFormat="1" applyFont="1" applyFill="1" applyBorder="1" applyAlignment="1">
      <alignment horizontal="center"/>
    </xf>
    <xf numFmtId="2" fontId="42" fillId="29" borderId="60" xfId="0" applyNumberFormat="1" applyFont="1" applyFill="1" applyBorder="1" applyAlignment="1">
      <alignment horizontal="center"/>
    </xf>
    <xf numFmtId="2" fontId="42" fillId="29" borderId="89" xfId="0" applyNumberFormat="1" applyFont="1" applyFill="1" applyBorder="1" applyAlignment="1">
      <alignment horizontal="center"/>
    </xf>
    <xf numFmtId="170" fontId="42" fillId="29" borderId="60" xfId="0" applyNumberFormat="1" applyFont="1" applyFill="1" applyBorder="1" applyAlignment="1">
      <alignment horizontal="center"/>
    </xf>
    <xf numFmtId="0" fontId="38" fillId="28" borderId="74" xfId="0" applyFont="1" applyFill="1" applyBorder="1"/>
    <xf numFmtId="0" fontId="5" fillId="32" borderId="90" xfId="0" applyFont="1" applyFill="1" applyBorder="1" applyAlignment="1" applyProtection="1">
      <alignment horizontal="left" vertical="center" wrapText="1"/>
      <protection locked="0"/>
    </xf>
    <xf numFmtId="0" fontId="33" fillId="0" borderId="0" xfId="0" applyFont="1" applyFill="1" applyAlignment="1" applyProtection="1">
      <alignment horizontal="left" wrapText="1"/>
      <protection locked="0"/>
    </xf>
    <xf numFmtId="0" fontId="0" fillId="0" borderId="0" xfId="0" applyFill="1" applyAlignment="1" applyProtection="1">
      <alignment horizontal="left" wrapText="1"/>
      <protection locked="0"/>
    </xf>
    <xf numFmtId="0" fontId="68" fillId="25" borderId="24" xfId="0" applyFont="1" applyFill="1" applyBorder="1" applyAlignment="1">
      <alignment horizontal="left"/>
    </xf>
    <xf numFmtId="0" fontId="62" fillId="25" borderId="0" xfId="0" applyFont="1" applyFill="1" applyBorder="1" applyAlignment="1">
      <alignment horizontal="right"/>
    </xf>
    <xf numFmtId="0" fontId="70" fillId="28" borderId="91" xfId="0" applyFont="1" applyFill="1" applyBorder="1" applyAlignment="1"/>
    <xf numFmtId="0" fontId="73" fillId="27" borderId="0" xfId="0" applyFont="1" applyFill="1" applyBorder="1"/>
    <xf numFmtId="0" fontId="35" fillId="27" borderId="0" xfId="0" applyFont="1" applyFill="1" applyBorder="1"/>
    <xf numFmtId="0" fontId="35" fillId="27" borderId="0" xfId="0" applyFont="1" applyFill="1" applyBorder="1" applyAlignment="1">
      <alignment horizontal="center"/>
    </xf>
    <xf numFmtId="0" fontId="38" fillId="28" borderId="92" xfId="0" applyFont="1" applyFill="1" applyBorder="1" applyAlignment="1">
      <alignment horizontal="center"/>
    </xf>
    <xf numFmtId="0" fontId="38" fillId="28" borderId="79" xfId="0" applyFont="1" applyFill="1" applyBorder="1" applyAlignment="1">
      <alignment horizontal="center"/>
    </xf>
    <xf numFmtId="0" fontId="38" fillId="29" borderId="51" xfId="0" applyFont="1" applyFill="1" applyBorder="1" applyProtection="1">
      <protection locked="0"/>
    </xf>
    <xf numFmtId="0" fontId="38" fillId="29" borderId="91" xfId="0" applyFont="1" applyFill="1" applyBorder="1" applyProtection="1">
      <protection locked="0"/>
    </xf>
    <xf numFmtId="166" fontId="38" fillId="29" borderId="92" xfId="0" applyNumberFormat="1" applyFont="1" applyFill="1" applyBorder="1" applyAlignment="1" applyProtection="1">
      <alignment horizontal="center"/>
      <protection locked="0"/>
    </xf>
    <xf numFmtId="2" fontId="38" fillId="29" borderId="79" xfId="0" applyNumberFormat="1" applyFont="1" applyFill="1" applyBorder="1" applyAlignment="1" applyProtection="1">
      <alignment horizontal="center"/>
      <protection locked="0"/>
    </xf>
    <xf numFmtId="170" fontId="38" fillId="29" borderId="79" xfId="0" applyNumberFormat="1" applyFont="1" applyFill="1" applyBorder="1" applyAlignment="1" applyProtection="1">
      <alignment horizontal="center"/>
      <protection locked="0"/>
    </xf>
    <xf numFmtId="0" fontId="38" fillId="29" borderId="51" xfId="0" applyFont="1" applyFill="1" applyBorder="1" applyAlignment="1" applyProtection="1">
      <alignment horizontal="left"/>
      <protection locked="0"/>
    </xf>
    <xf numFmtId="0" fontId="38" fillId="29" borderId="91" xfId="0" applyFont="1" applyFill="1" applyBorder="1" applyAlignment="1" applyProtection="1">
      <alignment horizontal="left"/>
      <protection locked="0"/>
    </xf>
    <xf numFmtId="2" fontId="38" fillId="29" borderId="50" xfId="0" applyNumberFormat="1" applyFont="1" applyFill="1" applyBorder="1" applyAlignment="1" applyProtection="1">
      <alignment horizontal="center"/>
      <protection locked="0"/>
    </xf>
    <xf numFmtId="0" fontId="38" fillId="28" borderId="93" xfId="0" applyFont="1" applyFill="1" applyBorder="1"/>
    <xf numFmtId="0" fontId="38" fillId="28" borderId="94" xfId="0" applyFont="1" applyFill="1" applyBorder="1"/>
    <xf numFmtId="0" fontId="38" fillId="28" borderId="95" xfId="0" applyFont="1" applyFill="1" applyBorder="1"/>
    <xf numFmtId="0" fontId="38" fillId="28" borderId="96" xfId="0" applyFont="1" applyFill="1" applyBorder="1"/>
    <xf numFmtId="0" fontId="38" fillId="28" borderId="97" xfId="0" applyFont="1" applyFill="1" applyBorder="1"/>
    <xf numFmtId="0" fontId="38" fillId="28" borderId="98" xfId="0" applyFont="1" applyFill="1" applyBorder="1"/>
    <xf numFmtId="0" fontId="42" fillId="28" borderId="98" xfId="0" applyFont="1" applyFill="1" applyBorder="1" applyAlignment="1">
      <alignment horizontal="center"/>
    </xf>
    <xf numFmtId="0" fontId="42" fillId="28" borderId="97" xfId="0" applyFont="1" applyFill="1" applyBorder="1" applyAlignment="1">
      <alignment horizontal="center"/>
    </xf>
    <xf numFmtId="0" fontId="42" fillId="28" borderId="94" xfId="0" applyFont="1" applyFill="1" applyBorder="1" applyAlignment="1">
      <alignment horizontal="center"/>
    </xf>
    <xf numFmtId="0" fontId="38" fillId="28" borderId="56" xfId="0" applyFont="1" applyFill="1" applyBorder="1"/>
    <xf numFmtId="0" fontId="38" fillId="28" borderId="99" xfId="0" applyFont="1" applyFill="1" applyBorder="1"/>
    <xf numFmtId="0" fontId="39" fillId="28" borderId="24" xfId="0" applyFont="1" applyFill="1" applyBorder="1"/>
    <xf numFmtId="0" fontId="38" fillId="28" borderId="100" xfId="0" applyFont="1" applyFill="1" applyBorder="1"/>
    <xf numFmtId="0" fontId="38" fillId="28" borderId="24" xfId="0" applyFont="1" applyFill="1" applyBorder="1"/>
    <xf numFmtId="0" fontId="38" fillId="28" borderId="101" xfId="0" applyFont="1" applyFill="1" applyBorder="1" applyAlignment="1">
      <alignment horizontal="center"/>
    </xf>
    <xf numFmtId="0" fontId="38" fillId="28" borderId="102" xfId="0" applyFont="1" applyFill="1" applyBorder="1" applyAlignment="1">
      <alignment horizontal="center"/>
    </xf>
    <xf numFmtId="0" fontId="38" fillId="28" borderId="103" xfId="0" applyFont="1" applyFill="1" applyBorder="1" applyAlignment="1">
      <alignment horizontal="center"/>
    </xf>
    <xf numFmtId="0" fontId="38" fillId="28" borderId="104" xfId="0" applyFont="1" applyFill="1" applyBorder="1" applyAlignment="1">
      <alignment horizontal="center"/>
    </xf>
    <xf numFmtId="0" fontId="38" fillId="28" borderId="105" xfId="0" applyFont="1" applyFill="1" applyBorder="1" applyAlignment="1">
      <alignment horizontal="center"/>
    </xf>
    <xf numFmtId="0" fontId="38" fillId="28" borderId="27" xfId="0" applyFont="1" applyFill="1" applyBorder="1" applyAlignment="1">
      <alignment horizontal="center"/>
    </xf>
    <xf numFmtId="0" fontId="42" fillId="28" borderId="106" xfId="0" applyFont="1" applyFill="1" applyBorder="1" applyAlignment="1">
      <alignment horizontal="center"/>
    </xf>
    <xf numFmtId="0" fontId="42" fillId="28" borderId="107" xfId="0" applyFont="1" applyFill="1" applyBorder="1" applyAlignment="1">
      <alignment horizontal="center"/>
    </xf>
    <xf numFmtId="0" fontId="42" fillId="28" borderId="103" xfId="0" applyFont="1" applyFill="1" applyBorder="1" applyAlignment="1">
      <alignment horizontal="center"/>
    </xf>
    <xf numFmtId="168" fontId="38" fillId="28" borderId="31" xfId="0" applyNumberFormat="1" applyFont="1" applyFill="1" applyBorder="1" applyAlignment="1">
      <alignment horizontal="left"/>
    </xf>
    <xf numFmtId="0" fontId="38" fillId="28" borderId="27" xfId="0" applyFont="1" applyFill="1" applyBorder="1"/>
    <xf numFmtId="170" fontId="38" fillId="29" borderId="50" xfId="0" applyNumberFormat="1" applyFont="1" applyFill="1" applyBorder="1" applyAlignment="1" applyProtection="1">
      <alignment horizontal="center"/>
      <protection locked="0"/>
    </xf>
    <xf numFmtId="1" fontId="38" fillId="29" borderId="50" xfId="0" applyNumberFormat="1" applyFont="1" applyFill="1" applyBorder="1" applyAlignment="1" applyProtection="1">
      <alignment horizontal="center"/>
      <protection locked="0"/>
    </xf>
    <xf numFmtId="166" fontId="38" fillId="29" borderId="52" xfId="0" applyNumberFormat="1" applyFont="1" applyFill="1" applyBorder="1" applyAlignment="1" applyProtection="1">
      <alignment horizontal="center"/>
      <protection locked="0"/>
    </xf>
    <xf numFmtId="2" fontId="38" fillId="29" borderId="53" xfId="0" applyNumberFormat="1" applyFont="1" applyFill="1" applyBorder="1" applyAlignment="1" applyProtection="1">
      <alignment horizontal="center"/>
      <protection locked="0"/>
    </xf>
    <xf numFmtId="168" fontId="38" fillId="29" borderId="54" xfId="0" applyNumberFormat="1" applyFont="1" applyFill="1" applyBorder="1" applyAlignment="1" applyProtection="1">
      <alignment horizontal="center"/>
      <protection locked="0"/>
    </xf>
    <xf numFmtId="170" fontId="38" fillId="29" borderId="55" xfId="0" applyNumberFormat="1" applyFont="1" applyFill="1" applyBorder="1" applyAlignment="1" applyProtection="1">
      <alignment horizontal="center"/>
      <protection locked="0"/>
    </xf>
    <xf numFmtId="168" fontId="38" fillId="29" borderId="26" xfId="0" applyNumberFormat="1" applyFont="1" applyFill="1" applyBorder="1" applyAlignment="1" applyProtection="1">
      <alignment horizontal="left"/>
      <protection locked="0"/>
    </xf>
    <xf numFmtId="0" fontId="38" fillId="29" borderId="19" xfId="0" applyFont="1" applyFill="1" applyBorder="1" applyProtection="1">
      <protection locked="0"/>
    </xf>
    <xf numFmtId="0" fontId="5" fillId="32" borderId="0" xfId="0" applyFont="1" applyFill="1" applyBorder="1" applyAlignment="1">
      <alignment vertical="center"/>
    </xf>
    <xf numFmtId="0" fontId="5" fillId="32" borderId="87" xfId="0" applyFont="1" applyFill="1" applyBorder="1" applyAlignment="1">
      <alignment vertical="center"/>
    </xf>
    <xf numFmtId="0" fontId="5" fillId="32" borderId="17" xfId="0" applyFont="1" applyFill="1" applyBorder="1" applyAlignment="1">
      <alignment vertical="center"/>
    </xf>
    <xf numFmtId="0" fontId="5" fillId="32" borderId="108" xfId="0" applyFont="1" applyFill="1" applyBorder="1" applyAlignment="1">
      <alignment vertical="center"/>
    </xf>
    <xf numFmtId="0" fontId="5" fillId="32" borderId="16" xfId="0" applyFont="1" applyFill="1" applyBorder="1" applyAlignment="1">
      <alignment vertical="center"/>
    </xf>
    <xf numFmtId="0" fontId="5" fillId="32" borderId="109" xfId="0" applyFont="1" applyFill="1" applyBorder="1" applyAlignment="1">
      <alignment vertical="center"/>
    </xf>
    <xf numFmtId="0" fontId="28" fillId="25" borderId="49" xfId="0" applyFont="1" applyFill="1" applyBorder="1" applyAlignment="1">
      <alignment horizontal="left" wrapText="1"/>
    </xf>
    <xf numFmtId="164" fontId="1" fillId="27" borderId="0" xfId="130" applyFont="1" applyFill="1" applyAlignment="1">
      <alignment horizontal="left" wrapText="1"/>
    </xf>
    <xf numFmtId="0" fontId="45" fillId="0" borderId="0" xfId="0" applyFont="1" applyFill="1" applyAlignment="1">
      <alignment horizontal="left" wrapText="1" indent="2"/>
    </xf>
    <xf numFmtId="0" fontId="45" fillId="0" borderId="0" xfId="0" applyFont="1" applyFill="1" applyAlignment="1">
      <alignment horizontal="left" wrapText="1" indent="4"/>
    </xf>
    <xf numFmtId="0" fontId="124" fillId="27" borderId="0" xfId="0" applyFont="1" applyFill="1" applyBorder="1" applyAlignment="1">
      <alignment horizontal="center"/>
    </xf>
    <xf numFmtId="2" fontId="38" fillId="28" borderId="51" xfId="0" applyNumberFormat="1" applyFont="1" applyFill="1" applyBorder="1" applyAlignment="1">
      <alignment horizontal="center"/>
    </xf>
    <xf numFmtId="0" fontId="1" fillId="0" borderId="0" xfId="0" applyFont="1"/>
    <xf numFmtId="0" fontId="28" fillId="25" borderId="49" xfId="0" applyFont="1" applyFill="1" applyBorder="1" applyAlignment="1" applyProtection="1">
      <alignment horizontal="right" wrapText="1"/>
      <protection hidden="1"/>
    </xf>
    <xf numFmtId="0" fontId="0" fillId="0" borderId="0" xfId="0" applyProtection="1">
      <protection locked="0"/>
    </xf>
    <xf numFmtId="0" fontId="0" fillId="0" borderId="0" xfId="0" applyFill="1" applyBorder="1" applyProtection="1">
      <protection locked="0"/>
    </xf>
    <xf numFmtId="0" fontId="30" fillId="25" borderId="110" xfId="0" applyFont="1" applyFill="1" applyBorder="1" applyAlignment="1" applyProtection="1">
      <alignment horizontal="left" vertical="center"/>
      <protection locked="0"/>
    </xf>
    <xf numFmtId="0" fontId="30" fillId="25" borderId="49" xfId="0" applyFont="1" applyFill="1" applyBorder="1" applyAlignment="1" applyProtection="1">
      <alignment horizontal="center" vertical="center"/>
      <protection locked="0"/>
    </xf>
    <xf numFmtId="0" fontId="30" fillId="25" borderId="49" xfId="0" applyFont="1" applyFill="1" applyBorder="1" applyAlignment="1" applyProtection="1">
      <alignment vertical="center"/>
      <protection locked="0"/>
    </xf>
    <xf numFmtId="0" fontId="29" fillId="25" borderId="49" xfId="0" applyFont="1" applyFill="1" applyBorder="1" applyAlignment="1" applyProtection="1">
      <alignment vertical="center"/>
      <protection locked="0"/>
    </xf>
    <xf numFmtId="0" fontId="31" fillId="25" borderId="49" xfId="0" applyFont="1" applyFill="1" applyBorder="1" applyAlignment="1" applyProtection="1">
      <alignment horizontal="right" vertical="center"/>
      <protection locked="0"/>
    </xf>
    <xf numFmtId="0" fontId="0" fillId="25" borderId="49" xfId="0" applyFill="1" applyBorder="1" applyAlignment="1" applyProtection="1">
      <alignment vertical="center"/>
      <protection locked="0"/>
    </xf>
    <xf numFmtId="0" fontId="52" fillId="25" borderId="49" xfId="79" applyFont="1" applyFill="1" applyBorder="1" applyAlignment="1" applyProtection="1">
      <protection locked="0"/>
    </xf>
    <xf numFmtId="0" fontId="53" fillId="25" borderId="49" xfId="79" applyFont="1" applyFill="1" applyBorder="1" applyAlignment="1" applyProtection="1">
      <alignment horizontal="left" vertical="center"/>
      <protection locked="0"/>
    </xf>
    <xf numFmtId="0" fontId="53" fillId="25" borderId="49" xfId="79" applyFont="1" applyFill="1" applyBorder="1" applyAlignment="1" applyProtection="1">
      <alignment vertical="center"/>
      <protection locked="0"/>
    </xf>
    <xf numFmtId="0" fontId="28" fillId="25" borderId="11" xfId="0" applyFont="1" applyFill="1" applyBorder="1" applyAlignment="1" applyProtection="1">
      <alignment horizontal="right" vertical="center"/>
      <protection locked="0"/>
    </xf>
    <xf numFmtId="0" fontId="35" fillId="27" borderId="0" xfId="0" applyFont="1" applyFill="1" applyAlignment="1" applyProtection="1">
      <alignment horizontal="left" vertical="center"/>
      <protection locked="0"/>
    </xf>
    <xf numFmtId="0" fontId="29" fillId="27" borderId="0" xfId="0" applyFont="1" applyFill="1" applyAlignment="1" applyProtection="1">
      <protection locked="0"/>
    </xf>
    <xf numFmtId="0" fontId="30" fillId="27" borderId="0" xfId="0" applyFont="1" applyFill="1" applyAlignment="1" applyProtection="1">
      <protection locked="0"/>
    </xf>
    <xf numFmtId="0" fontId="5" fillId="27" borderId="0" xfId="0" applyFont="1" applyFill="1" applyAlignment="1" applyProtection="1">
      <alignment horizontal="right"/>
      <protection locked="0"/>
    </xf>
    <xf numFmtId="0" fontId="31" fillId="27" borderId="0" xfId="0" applyFont="1" applyFill="1" applyAlignment="1" applyProtection="1">
      <alignment horizontal="right"/>
      <protection locked="0"/>
    </xf>
    <xf numFmtId="0" fontId="0" fillId="27" borderId="0" xfId="0" applyFill="1" applyBorder="1" applyAlignment="1" applyProtection="1">
      <protection locked="0"/>
    </xf>
    <xf numFmtId="0" fontId="5" fillId="27" borderId="0" xfId="0" applyFont="1" applyFill="1" applyBorder="1" applyAlignment="1" applyProtection="1">
      <alignment horizontal="left"/>
      <protection locked="0"/>
    </xf>
    <xf numFmtId="0" fontId="0" fillId="27" borderId="0" xfId="0" applyFill="1" applyBorder="1" applyProtection="1">
      <protection locked="0"/>
    </xf>
    <xf numFmtId="0" fontId="50" fillId="25" borderId="87" xfId="0" applyFont="1" applyFill="1" applyBorder="1" applyAlignment="1" applyProtection="1">
      <alignment horizontal="center"/>
      <protection locked="0"/>
    </xf>
    <xf numFmtId="0" fontId="31" fillId="25" borderId="111" xfId="0" applyFont="1" applyFill="1" applyBorder="1" applyAlignment="1" applyProtection="1">
      <alignment horizontal="center"/>
      <protection locked="0"/>
    </xf>
    <xf numFmtId="0" fontId="30" fillId="25" borderId="112" xfId="0" applyFont="1" applyFill="1" applyBorder="1" applyAlignment="1" applyProtection="1">
      <alignment horizontal="center"/>
      <protection locked="0"/>
    </xf>
    <xf numFmtId="0" fontId="117" fillId="25" borderId="112" xfId="0" applyFont="1" applyFill="1" applyBorder="1" applyAlignment="1" applyProtection="1">
      <alignment horizontal="left"/>
      <protection locked="0"/>
    </xf>
    <xf numFmtId="0" fontId="30" fillId="27" borderId="0" xfId="0" applyFont="1" applyFill="1" applyBorder="1" applyAlignment="1" applyProtection="1">
      <alignment horizontal="center"/>
      <protection locked="0"/>
    </xf>
    <xf numFmtId="0" fontId="28" fillId="25" borderId="112" xfId="0" applyFont="1" applyFill="1" applyBorder="1" applyAlignment="1" applyProtection="1">
      <alignment horizontal="center"/>
      <protection locked="0"/>
    </xf>
    <xf numFmtId="0" fontId="5" fillId="27" borderId="0" xfId="0" applyFont="1" applyFill="1" applyAlignment="1" applyProtection="1">
      <alignment horizontal="left"/>
      <protection locked="0"/>
    </xf>
    <xf numFmtId="0" fontId="30" fillId="25" borderId="113" xfId="0" applyFont="1" applyFill="1" applyBorder="1" applyAlignment="1" applyProtection="1">
      <alignment horizontal="left"/>
      <protection locked="0"/>
    </xf>
    <xf numFmtId="0" fontId="33" fillId="25" borderId="111" xfId="0" applyFont="1" applyFill="1" applyBorder="1" applyProtection="1">
      <protection locked="0"/>
    </xf>
    <xf numFmtId="0" fontId="30" fillId="25" borderId="114" xfId="0" applyFont="1" applyFill="1" applyBorder="1" applyAlignment="1" applyProtection="1">
      <alignment horizontal="left"/>
      <protection locked="0"/>
    </xf>
    <xf numFmtId="0" fontId="0" fillId="27" borderId="0" xfId="0" applyFill="1" applyProtection="1">
      <protection locked="0"/>
    </xf>
    <xf numFmtId="0" fontId="33" fillId="25" borderId="114" xfId="0" applyFont="1" applyFill="1" applyBorder="1" applyProtection="1">
      <protection locked="0"/>
    </xf>
    <xf numFmtId="0" fontId="50" fillId="25" borderId="108" xfId="0" applyFont="1" applyFill="1" applyBorder="1" applyAlignment="1" applyProtection="1">
      <alignment horizontal="center" vertical="top"/>
      <protection locked="0"/>
    </xf>
    <xf numFmtId="0" fontId="31" fillId="25" borderId="16" xfId="0" applyFont="1" applyFill="1" applyBorder="1" applyAlignment="1" applyProtection="1">
      <alignment horizontal="center"/>
      <protection locked="0"/>
    </xf>
    <xf numFmtId="0" fontId="29" fillId="25" borderId="18" xfId="0" applyFont="1" applyFill="1" applyBorder="1" applyProtection="1">
      <protection locked="0"/>
    </xf>
    <xf numFmtId="0" fontId="117" fillId="25" borderId="18" xfId="0" applyFont="1" applyFill="1" applyBorder="1" applyAlignment="1" applyProtection="1">
      <alignment horizontal="left"/>
      <protection locked="0"/>
    </xf>
    <xf numFmtId="0" fontId="29" fillId="27" borderId="0" xfId="0" applyFont="1" applyFill="1" applyBorder="1" applyProtection="1">
      <protection locked="0"/>
    </xf>
    <xf numFmtId="0" fontId="28" fillId="25" borderId="18" xfId="0" applyFont="1" applyFill="1" applyBorder="1" applyAlignment="1" applyProtection="1">
      <alignment horizontal="center"/>
      <protection locked="0"/>
    </xf>
    <xf numFmtId="0" fontId="0" fillId="33" borderId="87" xfId="0" applyFill="1" applyBorder="1" applyProtection="1">
      <protection locked="0"/>
    </xf>
    <xf numFmtId="0" fontId="0" fillId="33" borderId="0" xfId="0" applyFill="1" applyBorder="1" applyProtection="1">
      <protection locked="0"/>
    </xf>
    <xf numFmtId="0" fontId="0" fillId="33" borderId="17" xfId="0" applyFill="1" applyBorder="1" applyProtection="1">
      <protection locked="0"/>
    </xf>
    <xf numFmtId="0" fontId="28" fillId="34" borderId="87" xfId="0" applyFont="1" applyFill="1" applyBorder="1" applyAlignment="1" applyProtection="1">
      <alignment horizontal="left"/>
      <protection locked="0"/>
    </xf>
    <xf numFmtId="0" fontId="28" fillId="34" borderId="0" xfId="0" applyFont="1" applyFill="1" applyBorder="1" applyAlignment="1" applyProtection="1">
      <alignment horizontal="center"/>
      <protection locked="0"/>
    </xf>
    <xf numFmtId="2" fontId="31" fillId="34" borderId="0" xfId="0" applyNumberFormat="1" applyFont="1" applyFill="1" applyBorder="1" applyAlignment="1" applyProtection="1">
      <alignment horizontal="center"/>
      <protection locked="0"/>
    </xf>
    <xf numFmtId="0" fontId="0" fillId="34" borderId="0" xfId="0" applyFill="1" applyBorder="1" applyProtection="1">
      <protection locked="0"/>
    </xf>
    <xf numFmtId="166" fontId="31" fillId="34" borderId="87" xfId="0" applyNumberFormat="1" applyFont="1" applyFill="1" applyBorder="1" applyAlignment="1" applyProtection="1">
      <alignment horizontal="center"/>
      <protection locked="0"/>
    </xf>
    <xf numFmtId="166" fontId="5" fillId="30" borderId="115" xfId="0" applyNumberFormat="1" applyFont="1" applyFill="1" applyBorder="1" applyAlignment="1" applyProtection="1">
      <alignment horizontal="left" indent="1"/>
      <protection locked="0"/>
    </xf>
    <xf numFmtId="166" fontId="31" fillId="27" borderId="0" xfId="0" applyNumberFormat="1" applyFont="1" applyFill="1" applyBorder="1" applyAlignment="1" applyProtection="1">
      <alignment horizontal="right"/>
      <protection locked="0"/>
    </xf>
    <xf numFmtId="0" fontId="31" fillId="34" borderId="12" xfId="0" applyFont="1" applyFill="1" applyBorder="1" applyAlignment="1" applyProtection="1">
      <alignment horizontal="center"/>
      <protection locked="0"/>
    </xf>
    <xf numFmtId="169" fontId="1" fillId="29" borderId="87" xfId="102" quotePrefix="1" applyNumberFormat="1" applyFont="1" applyFill="1" applyBorder="1" applyProtection="1">
      <protection locked="0"/>
    </xf>
    <xf numFmtId="0" fontId="1" fillId="29" borderId="0" xfId="0" applyFont="1" applyFill="1" applyBorder="1" applyProtection="1">
      <protection locked="0"/>
    </xf>
    <xf numFmtId="169" fontId="1" fillId="29" borderId="17" xfId="102" quotePrefix="1" applyNumberFormat="1" applyFont="1" applyFill="1" applyBorder="1" applyProtection="1">
      <protection locked="0"/>
    </xf>
    <xf numFmtId="166" fontId="1" fillId="29" borderId="87" xfId="102" quotePrefix="1" applyNumberFormat="1" applyFont="1" applyFill="1" applyBorder="1" applyAlignment="1" applyProtection="1">
      <alignment horizontal="right"/>
      <protection locked="0"/>
    </xf>
    <xf numFmtId="0" fontId="1" fillId="29" borderId="17" xfId="0" applyFont="1" applyFill="1" applyBorder="1" applyProtection="1">
      <protection locked="0"/>
    </xf>
    <xf numFmtId="2" fontId="7" fillId="28" borderId="0" xfId="0" applyNumberFormat="1" applyFont="1" applyFill="1" applyBorder="1" applyAlignment="1" applyProtection="1">
      <alignment horizontal="center"/>
      <protection locked="0"/>
    </xf>
    <xf numFmtId="169" fontId="7" fillId="28" borderId="0" xfId="0" applyNumberFormat="1" applyFont="1" applyFill="1" applyBorder="1" applyAlignment="1" applyProtection="1">
      <alignment horizontal="center"/>
      <protection locked="0"/>
    </xf>
    <xf numFmtId="2" fontId="5" fillId="28" borderId="0" xfId="0" applyNumberFormat="1" applyFont="1" applyFill="1" applyBorder="1" applyAlignment="1" applyProtection="1">
      <alignment horizontal="center"/>
      <protection locked="0"/>
    </xf>
    <xf numFmtId="2" fontId="29" fillId="28" borderId="12" xfId="0" applyNumberFormat="1" applyFont="1" applyFill="1" applyBorder="1" applyAlignment="1" applyProtection="1">
      <alignment horizontal="center"/>
      <protection locked="0"/>
    </xf>
    <xf numFmtId="0" fontId="29" fillId="27" borderId="0" xfId="0" applyFont="1" applyFill="1" applyBorder="1" applyAlignment="1" applyProtection="1">
      <alignment horizontal="right"/>
      <protection locked="0"/>
    </xf>
    <xf numFmtId="2" fontId="7" fillId="28" borderId="12" xfId="0" applyNumberFormat="1" applyFont="1" applyFill="1" applyBorder="1" applyAlignment="1" applyProtection="1">
      <alignment horizontal="right"/>
      <protection locked="0"/>
    </xf>
    <xf numFmtId="169" fontId="1" fillId="29" borderId="108" xfId="102" applyNumberFormat="1" applyFont="1" applyFill="1" applyBorder="1" applyAlignment="1" applyProtection="1">
      <alignment horizontal="right"/>
      <protection locked="0"/>
    </xf>
    <xf numFmtId="0" fontId="1" fillId="29" borderId="16" xfId="0" applyFont="1" applyFill="1" applyBorder="1" applyAlignment="1" applyProtection="1">
      <alignment horizontal="left"/>
      <protection locked="0"/>
    </xf>
    <xf numFmtId="169" fontId="1" fillId="29" borderId="109" xfId="102" quotePrefix="1" applyNumberFormat="1" applyFont="1" applyFill="1" applyBorder="1" applyProtection="1">
      <protection locked="0"/>
    </xf>
    <xf numFmtId="0" fontId="29" fillId="34" borderId="0" xfId="0" applyFont="1" applyFill="1" applyBorder="1" applyProtection="1">
      <protection locked="0"/>
    </xf>
    <xf numFmtId="0" fontId="30" fillId="34" borderId="0" xfId="0" applyFont="1" applyFill="1" applyBorder="1" applyProtection="1">
      <protection locked="0"/>
    </xf>
    <xf numFmtId="166" fontId="31" fillId="34" borderId="12" xfId="0" applyNumberFormat="1" applyFont="1" applyFill="1" applyBorder="1" applyAlignment="1" applyProtection="1">
      <alignment horizontal="center"/>
      <protection locked="0"/>
    </xf>
    <xf numFmtId="9" fontId="5" fillId="29" borderId="108" xfId="102" quotePrefix="1" applyNumberFormat="1" applyFont="1" applyFill="1" applyBorder="1" applyProtection="1">
      <protection locked="0"/>
    </xf>
    <xf numFmtId="0" fontId="1" fillId="29" borderId="109" xfId="0" applyFont="1" applyFill="1" applyBorder="1" applyProtection="1">
      <protection locked="0"/>
    </xf>
    <xf numFmtId="2" fontId="29" fillId="27" borderId="0" xfId="0" applyNumberFormat="1" applyFont="1" applyFill="1" applyBorder="1" applyAlignment="1" applyProtection="1">
      <alignment horizontal="right"/>
      <protection locked="0"/>
    </xf>
    <xf numFmtId="2" fontId="0" fillId="0" borderId="0" xfId="0" applyNumberFormat="1" applyFill="1" applyBorder="1" applyProtection="1">
      <protection locked="0"/>
    </xf>
    <xf numFmtId="2" fontId="31" fillId="27" borderId="0" xfId="0" applyNumberFormat="1" applyFont="1" applyFill="1" applyBorder="1" applyAlignment="1" applyProtection="1">
      <alignment horizontal="center"/>
      <protection locked="0"/>
    </xf>
    <xf numFmtId="0" fontId="29" fillId="28" borderId="12" xfId="0" applyFont="1" applyFill="1" applyBorder="1" applyAlignment="1" applyProtection="1">
      <alignment horizontal="center"/>
      <protection locked="0"/>
    </xf>
    <xf numFmtId="0" fontId="5" fillId="32" borderId="116" xfId="0" applyFont="1" applyFill="1" applyBorder="1" applyProtection="1">
      <protection locked="0"/>
    </xf>
    <xf numFmtId="0" fontId="0" fillId="32" borderId="24" xfId="0" applyFill="1" applyBorder="1" applyProtection="1">
      <protection locked="0"/>
    </xf>
    <xf numFmtId="0" fontId="0" fillId="32" borderId="27" xfId="0" applyFill="1" applyBorder="1" applyProtection="1">
      <protection locked="0"/>
    </xf>
    <xf numFmtId="2" fontId="7" fillId="27" borderId="0" xfId="0" applyNumberFormat="1" applyFont="1" applyFill="1" applyBorder="1" applyAlignment="1" applyProtection="1">
      <alignment horizontal="right" vertical="center"/>
      <protection locked="0"/>
    </xf>
    <xf numFmtId="2" fontId="5" fillId="28" borderId="12" xfId="0" applyNumberFormat="1" applyFont="1" applyFill="1" applyBorder="1" applyAlignment="1" applyProtection="1">
      <alignment horizontal="center"/>
      <protection locked="0"/>
    </xf>
    <xf numFmtId="2" fontId="5" fillId="27" borderId="0" xfId="0" applyNumberFormat="1" applyFont="1" applyFill="1" applyBorder="1" applyAlignment="1" applyProtection="1">
      <alignment horizontal="center"/>
      <protection locked="0"/>
    </xf>
    <xf numFmtId="0" fontId="0" fillId="32" borderId="33" xfId="0" applyFill="1" applyBorder="1" applyProtection="1">
      <protection locked="0"/>
    </xf>
    <xf numFmtId="0" fontId="0" fillId="32" borderId="0" xfId="0" applyFill="1" applyBorder="1" applyProtection="1">
      <protection locked="0"/>
    </xf>
    <xf numFmtId="0" fontId="0" fillId="32" borderId="19" xfId="0" applyFill="1" applyBorder="1" applyProtection="1">
      <protection locked="0"/>
    </xf>
    <xf numFmtId="2" fontId="7" fillId="27" borderId="0" xfId="0" applyNumberFormat="1" applyFont="1" applyFill="1" applyBorder="1" applyAlignment="1" applyProtection="1">
      <alignment horizontal="right"/>
      <protection locked="0"/>
    </xf>
    <xf numFmtId="0" fontId="5" fillId="32" borderId="0" xfId="0" applyFont="1" applyFill="1" applyBorder="1" applyAlignment="1" applyProtection="1">
      <alignment horizontal="center"/>
      <protection locked="0"/>
    </xf>
    <xf numFmtId="0" fontId="5" fillId="32" borderId="19" xfId="0" applyFont="1" applyFill="1" applyBorder="1" applyAlignment="1" applyProtection="1">
      <alignment horizontal="center"/>
      <protection locked="0"/>
    </xf>
    <xf numFmtId="0" fontId="28" fillId="34" borderId="87" xfId="0" applyFont="1" applyFill="1" applyBorder="1" applyProtection="1">
      <protection locked="0"/>
    </xf>
    <xf numFmtId="166" fontId="31" fillId="34" borderId="0" xfId="0" applyNumberFormat="1" applyFont="1" applyFill="1" applyBorder="1" applyAlignment="1" applyProtection="1">
      <alignment horizontal="center"/>
      <protection locked="0"/>
    </xf>
    <xf numFmtId="169" fontId="29" fillId="34" borderId="0" xfId="0" applyNumberFormat="1" applyFont="1" applyFill="1" applyBorder="1" applyAlignment="1" applyProtection="1">
      <alignment horizontal="center"/>
      <protection locked="0"/>
    </xf>
    <xf numFmtId="0" fontId="33" fillId="34" borderId="12" xfId="0" applyFont="1" applyFill="1" applyBorder="1" applyAlignment="1" applyProtection="1">
      <alignment horizontal="center"/>
      <protection locked="0"/>
    </xf>
    <xf numFmtId="0" fontId="5" fillId="32" borderId="0" xfId="0" applyFont="1" applyFill="1" applyBorder="1" applyAlignment="1" applyProtection="1">
      <alignment horizontal="left"/>
      <protection locked="0"/>
    </xf>
    <xf numFmtId="0" fontId="5" fillId="32" borderId="19" xfId="0" applyFont="1" applyFill="1" applyBorder="1" applyAlignment="1" applyProtection="1">
      <alignment horizontal="left"/>
      <protection locked="0"/>
    </xf>
    <xf numFmtId="1" fontId="33" fillId="27" borderId="0" xfId="0" applyNumberFormat="1" applyFont="1" applyFill="1" applyBorder="1" applyAlignment="1" applyProtection="1">
      <alignment horizontal="center"/>
      <protection locked="0"/>
    </xf>
    <xf numFmtId="1" fontId="31" fillId="27" borderId="0" xfId="0" applyNumberFormat="1" applyFont="1" applyFill="1" applyBorder="1" applyProtection="1">
      <protection locked="0"/>
    </xf>
    <xf numFmtId="0" fontId="55" fillId="35" borderId="108" xfId="0" applyFont="1" applyFill="1" applyBorder="1" applyProtection="1">
      <protection locked="0"/>
    </xf>
    <xf numFmtId="166" fontId="55" fillId="35" borderId="16" xfId="0" applyNumberFormat="1" applyFont="1" applyFill="1" applyBorder="1" applyAlignment="1" applyProtection="1">
      <alignment horizontal="center"/>
      <protection locked="0"/>
    </xf>
    <xf numFmtId="0" fontId="56" fillId="35" borderId="16" xfId="0" applyFont="1" applyFill="1" applyBorder="1" applyProtection="1">
      <protection locked="0"/>
    </xf>
    <xf numFmtId="0" fontId="34" fillId="35" borderId="16" xfId="0" applyFont="1" applyFill="1" applyBorder="1" applyProtection="1">
      <protection locked="0"/>
    </xf>
    <xf numFmtId="166" fontId="55" fillId="35" borderId="18" xfId="0" applyNumberFormat="1" applyFont="1" applyFill="1" applyBorder="1" applyAlignment="1" applyProtection="1">
      <alignment horizontal="center"/>
      <protection locked="0"/>
    </xf>
    <xf numFmtId="166" fontId="30" fillId="27" borderId="0" xfId="0" applyNumberFormat="1" applyFont="1" applyFill="1" applyBorder="1" applyProtection="1">
      <protection locked="0"/>
    </xf>
    <xf numFmtId="1" fontId="55" fillId="35" borderId="18" xfId="0" applyNumberFormat="1" applyFont="1" applyFill="1" applyBorder="1" applyAlignment="1" applyProtection="1">
      <alignment horizontal="center"/>
      <protection locked="0"/>
    </xf>
    <xf numFmtId="0" fontId="48" fillId="32" borderId="117" xfId="0" applyFont="1" applyFill="1" applyBorder="1" applyProtection="1">
      <protection locked="0"/>
    </xf>
    <xf numFmtId="0" fontId="0" fillId="32" borderId="118" xfId="0" applyFill="1" applyBorder="1" applyProtection="1">
      <protection locked="0"/>
    </xf>
    <xf numFmtId="0" fontId="5" fillId="32" borderId="118" xfId="0" applyFont="1" applyFill="1" applyBorder="1" applyAlignment="1" applyProtection="1">
      <alignment horizontal="left"/>
      <protection locked="0"/>
    </xf>
    <xf numFmtId="0" fontId="5" fillId="32" borderId="99" xfId="0" applyFont="1" applyFill="1" applyBorder="1" applyAlignment="1" applyProtection="1">
      <alignment horizontal="left"/>
      <protection locked="0"/>
    </xf>
    <xf numFmtId="2" fontId="55" fillId="27" borderId="0" xfId="0" applyNumberFormat="1" applyFont="1" applyFill="1" applyBorder="1" applyAlignment="1" applyProtection="1">
      <alignment horizontal="center"/>
      <protection locked="0"/>
    </xf>
    <xf numFmtId="0" fontId="55" fillId="27" borderId="0" xfId="0" applyFont="1" applyFill="1" applyBorder="1" applyProtection="1">
      <protection locked="0"/>
    </xf>
    <xf numFmtId="166" fontId="55" fillId="27" borderId="0" xfId="0" applyNumberFormat="1" applyFont="1" applyFill="1" applyBorder="1" applyAlignment="1" applyProtection="1">
      <alignment horizontal="center"/>
      <protection locked="0"/>
    </xf>
    <xf numFmtId="0" fontId="7" fillId="32" borderId="116" xfId="0" applyFont="1" applyFill="1" applyBorder="1" applyAlignment="1" applyProtection="1">
      <alignment horizontal="left"/>
      <protection locked="0"/>
    </xf>
    <xf numFmtId="0" fontId="56" fillId="32" borderId="24" xfId="0" applyFont="1" applyFill="1" applyBorder="1" applyProtection="1">
      <protection locked="0"/>
    </xf>
    <xf numFmtId="166" fontId="55" fillId="32" borderId="24" xfId="0" applyNumberFormat="1" applyFont="1" applyFill="1" applyBorder="1" applyAlignment="1" applyProtection="1">
      <alignment horizontal="center"/>
      <protection locked="0"/>
    </xf>
    <xf numFmtId="166" fontId="30" fillId="32" borderId="24" xfId="0" applyNumberFormat="1" applyFont="1" applyFill="1" applyBorder="1" applyProtection="1">
      <protection locked="0"/>
    </xf>
    <xf numFmtId="1" fontId="55" fillId="32" borderId="24" xfId="0" applyNumberFormat="1" applyFont="1" applyFill="1" applyBorder="1" applyAlignment="1" applyProtection="1">
      <alignment horizontal="center"/>
      <protection locked="0"/>
    </xf>
    <xf numFmtId="0" fontId="48" fillId="32" borderId="24" xfId="0" applyFont="1" applyFill="1" applyBorder="1" applyProtection="1">
      <protection locked="0"/>
    </xf>
    <xf numFmtId="2" fontId="55" fillId="32" borderId="27" xfId="0" applyNumberFormat="1" applyFont="1" applyFill="1" applyBorder="1" applyAlignment="1" applyProtection="1">
      <alignment horizontal="center"/>
      <protection locked="0"/>
    </xf>
    <xf numFmtId="0" fontId="35" fillId="27" borderId="0" xfId="0" applyFont="1" applyFill="1" applyBorder="1" applyAlignment="1" applyProtection="1">
      <alignment vertical="center"/>
      <protection locked="0"/>
    </xf>
    <xf numFmtId="0" fontId="7" fillId="32" borderId="33" xfId="0" applyFont="1" applyFill="1" applyBorder="1" applyAlignment="1" applyProtection="1">
      <alignment horizontal="left" vertical="top"/>
      <protection locked="0"/>
    </xf>
    <xf numFmtId="166" fontId="5" fillId="32" borderId="0" xfId="0" applyNumberFormat="1" applyFont="1" applyFill="1" applyBorder="1" applyAlignment="1" applyProtection="1">
      <alignment horizontal="center"/>
      <protection locked="0"/>
    </xf>
    <xf numFmtId="166" fontId="5" fillId="32" borderId="0" xfId="0" applyNumberFormat="1" applyFont="1" applyFill="1" applyBorder="1" applyAlignment="1" applyProtection="1">
      <alignment horizontal="right"/>
      <protection locked="0"/>
    </xf>
    <xf numFmtId="0" fontId="0" fillId="32" borderId="118" xfId="0" applyFill="1" applyBorder="1" applyAlignment="1" applyProtection="1">
      <alignment vertical="top"/>
      <protection locked="0"/>
    </xf>
    <xf numFmtId="0" fontId="0" fillId="32" borderId="99" xfId="0" applyFill="1" applyBorder="1" applyAlignment="1" applyProtection="1">
      <alignment vertical="top"/>
      <protection locked="0"/>
    </xf>
    <xf numFmtId="0" fontId="28" fillId="25" borderId="110" xfId="0" applyFont="1" applyFill="1" applyBorder="1" applyProtection="1">
      <protection locked="0"/>
    </xf>
    <xf numFmtId="0" fontId="29" fillId="25" borderId="49" xfId="0" applyFont="1" applyFill="1" applyBorder="1" applyProtection="1">
      <protection locked="0"/>
    </xf>
    <xf numFmtId="0" fontId="0" fillId="25" borderId="49" xfId="0" applyFill="1" applyBorder="1" applyProtection="1">
      <protection locked="0"/>
    </xf>
    <xf numFmtId="0" fontId="28" fillId="25" borderId="49" xfId="0" applyFont="1" applyFill="1" applyBorder="1" applyProtection="1">
      <protection locked="0"/>
    </xf>
    <xf numFmtId="0" fontId="0" fillId="25" borderId="11" xfId="0" applyFill="1" applyBorder="1" applyProtection="1">
      <protection locked="0"/>
    </xf>
    <xf numFmtId="0" fontId="5" fillId="27" borderId="0" xfId="0" applyFont="1" applyFill="1" applyBorder="1" applyAlignment="1" applyProtection="1">
      <alignment horizontal="center"/>
      <protection locked="0"/>
    </xf>
    <xf numFmtId="0" fontId="28" fillId="27" borderId="0" xfId="0" applyFont="1" applyFill="1" applyBorder="1" applyProtection="1">
      <protection locked="0"/>
    </xf>
    <xf numFmtId="0" fontId="4" fillId="28" borderId="113" xfId="0" applyFont="1" applyFill="1" applyBorder="1" applyProtection="1">
      <protection locked="0"/>
    </xf>
    <xf numFmtId="0" fontId="5" fillId="28" borderId="111" xfId="0" applyFont="1" applyFill="1" applyBorder="1" applyProtection="1">
      <protection locked="0"/>
    </xf>
    <xf numFmtId="0" fontId="0" fillId="28" borderId="111" xfId="0" applyFill="1" applyBorder="1" applyProtection="1">
      <protection locked="0"/>
    </xf>
    <xf numFmtId="0" fontId="5" fillId="28" borderId="113" xfId="0" applyFont="1" applyFill="1" applyBorder="1" applyAlignment="1" applyProtection="1">
      <alignment horizontal="left"/>
      <protection locked="0"/>
    </xf>
    <xf numFmtId="0" fontId="7" fillId="28" borderId="111" xfId="0" applyFont="1" applyFill="1" applyBorder="1" applyAlignment="1" applyProtection="1">
      <alignment horizontal="right"/>
      <protection locked="0"/>
    </xf>
    <xf numFmtId="0" fontId="7" fillId="28" borderId="111" xfId="0" applyFont="1" applyFill="1" applyBorder="1" applyProtection="1">
      <protection locked="0"/>
    </xf>
    <xf numFmtId="0" fontId="5" fillId="28" borderId="0" xfId="0" applyFont="1" applyFill="1" applyBorder="1" applyAlignment="1" applyProtection="1">
      <alignment horizontal="left"/>
      <protection locked="0"/>
    </xf>
    <xf numFmtId="0" fontId="7" fillId="28" borderId="114" xfId="0" applyFont="1" applyFill="1" applyBorder="1" applyAlignment="1" applyProtection="1">
      <alignment horizontal="right"/>
      <protection locked="0"/>
    </xf>
    <xf numFmtId="0" fontId="4" fillId="28" borderId="87" xfId="0" applyFont="1" applyFill="1" applyBorder="1" applyProtection="1">
      <protection locked="0"/>
    </xf>
    <xf numFmtId="0" fontId="0" fillId="28" borderId="0" xfId="0" applyFill="1" applyBorder="1" applyProtection="1">
      <protection locked="0"/>
    </xf>
    <xf numFmtId="167" fontId="58" fillId="27" borderId="5" xfId="84" applyNumberFormat="1" applyFont="1" applyFill="1" applyBorder="1" applyProtection="1">
      <protection locked="0"/>
    </xf>
    <xf numFmtId="0" fontId="0" fillId="28" borderId="0" xfId="0" applyFill="1" applyBorder="1" applyAlignment="1" applyProtection="1">
      <alignment horizontal="left"/>
      <protection locked="0"/>
    </xf>
    <xf numFmtId="168" fontId="7" fillId="28" borderId="87" xfId="84" applyNumberFormat="1" applyFont="1" applyFill="1" applyBorder="1" applyProtection="1">
      <protection locked="0"/>
    </xf>
    <xf numFmtId="0" fontId="7" fillId="28" borderId="0" xfId="0" applyFont="1" applyFill="1" applyBorder="1" applyProtection="1">
      <protection locked="0"/>
    </xf>
    <xf numFmtId="0" fontId="7" fillId="28" borderId="0" xfId="0" applyFont="1" applyFill="1" applyBorder="1" applyAlignment="1" applyProtection="1">
      <alignment horizontal="center"/>
      <protection locked="0"/>
    </xf>
    <xf numFmtId="0" fontId="7" fillId="28" borderId="12" xfId="0" applyFont="1" applyFill="1" applyBorder="1" applyAlignment="1" applyProtection="1">
      <alignment horizontal="center"/>
      <protection locked="0"/>
    </xf>
    <xf numFmtId="0" fontId="7" fillId="27" borderId="0" xfId="0" applyFont="1" applyFill="1" applyBorder="1" applyAlignment="1" applyProtection="1">
      <alignment horizontal="right"/>
      <protection locked="0"/>
    </xf>
    <xf numFmtId="0" fontId="0" fillId="28" borderId="87" xfId="0" applyFill="1" applyBorder="1" applyProtection="1">
      <protection locked="0"/>
    </xf>
    <xf numFmtId="169" fontId="58" fillId="27" borderId="5" xfId="0" applyNumberFormat="1" applyFont="1" applyFill="1" applyBorder="1" applyProtection="1">
      <protection locked="0"/>
    </xf>
    <xf numFmtId="168" fontId="1" fillId="28" borderId="87" xfId="0" applyNumberFormat="1" applyFont="1" applyFill="1" applyBorder="1" applyProtection="1">
      <protection locked="0"/>
    </xf>
    <xf numFmtId="0" fontId="1" fillId="28" borderId="0" xfId="0" applyFont="1" applyFill="1" applyBorder="1" applyProtection="1">
      <protection locked="0"/>
    </xf>
    <xf numFmtId="2" fontId="7" fillId="28" borderId="0" xfId="0" applyNumberFormat="1" applyFont="1" applyFill="1" applyBorder="1" applyAlignment="1" applyProtection="1">
      <alignment horizontal="right"/>
      <protection locked="0"/>
    </xf>
    <xf numFmtId="2" fontId="0" fillId="28" borderId="0" xfId="0" applyNumberFormat="1" applyFill="1" applyBorder="1" applyAlignment="1" applyProtection="1">
      <alignment horizontal="right"/>
      <protection locked="0"/>
    </xf>
    <xf numFmtId="2" fontId="0" fillId="28" borderId="12" xfId="0" applyNumberFormat="1" applyFill="1" applyBorder="1" applyAlignment="1" applyProtection="1">
      <alignment horizontal="right"/>
      <protection locked="0"/>
    </xf>
    <xf numFmtId="168" fontId="0" fillId="28" borderId="87" xfId="0" applyNumberFormat="1" applyFill="1" applyBorder="1" applyProtection="1">
      <protection locked="0"/>
    </xf>
    <xf numFmtId="0" fontId="5" fillId="28" borderId="0" xfId="0" applyFont="1" applyFill="1" applyBorder="1" applyProtection="1">
      <protection locked="0"/>
    </xf>
    <xf numFmtId="168" fontId="26" fillId="28" borderId="0" xfId="0" applyNumberFormat="1" applyFont="1" applyFill="1" applyBorder="1" applyProtection="1">
      <protection locked="0"/>
    </xf>
    <xf numFmtId="166" fontId="0" fillId="28" borderId="87" xfId="0" applyNumberFormat="1" applyFill="1" applyBorder="1" applyProtection="1">
      <protection locked="0"/>
    </xf>
    <xf numFmtId="0" fontId="5" fillId="28" borderId="0" xfId="0" applyFont="1" applyFill="1" applyBorder="1" applyAlignment="1" applyProtection="1">
      <alignment horizontal="right"/>
      <protection locked="0"/>
    </xf>
    <xf numFmtId="2" fontId="5" fillId="28" borderId="0" xfId="0" applyNumberFormat="1" applyFont="1" applyFill="1" applyBorder="1" applyAlignment="1" applyProtection="1">
      <alignment horizontal="right"/>
      <protection locked="0"/>
    </xf>
    <xf numFmtId="2" fontId="5" fillId="28" borderId="12" xfId="0" applyNumberFormat="1" applyFont="1" applyFill="1" applyBorder="1" applyAlignment="1" applyProtection="1">
      <alignment horizontal="right"/>
      <protection locked="0"/>
    </xf>
    <xf numFmtId="2" fontId="5" fillId="27" borderId="0" xfId="0" applyNumberFormat="1" applyFont="1" applyFill="1" applyBorder="1" applyProtection="1">
      <protection locked="0"/>
    </xf>
    <xf numFmtId="166" fontId="5" fillId="27" borderId="0" xfId="0" applyNumberFormat="1" applyFont="1" applyFill="1" applyBorder="1" applyProtection="1">
      <protection locked="0"/>
    </xf>
    <xf numFmtId="0" fontId="0" fillId="34" borderId="108" xfId="0" applyFill="1" applyBorder="1" applyProtection="1">
      <protection locked="0"/>
    </xf>
    <xf numFmtId="0" fontId="0" fillId="34" borderId="16" xfId="0" applyFill="1" applyBorder="1" applyProtection="1">
      <protection locked="0"/>
    </xf>
    <xf numFmtId="0" fontId="31" fillId="34" borderId="16" xfId="0" applyFont="1" applyFill="1" applyBorder="1" applyAlignment="1" applyProtection="1">
      <alignment horizontal="right"/>
      <protection locked="0"/>
    </xf>
    <xf numFmtId="0" fontId="0" fillId="34" borderId="16" xfId="0" applyFill="1" applyBorder="1" applyAlignment="1" applyProtection="1">
      <alignment horizontal="center"/>
      <protection locked="0"/>
    </xf>
    <xf numFmtId="0" fontId="31" fillId="34" borderId="16" xfId="0" applyFont="1" applyFill="1" applyBorder="1" applyAlignment="1" applyProtection="1">
      <alignment horizontal="left"/>
      <protection locked="0"/>
    </xf>
    <xf numFmtId="0" fontId="5" fillId="34" borderId="16" xfId="0" applyFont="1" applyFill="1" applyBorder="1" applyAlignment="1" applyProtection="1">
      <alignment horizontal="center"/>
      <protection locked="0"/>
    </xf>
    <xf numFmtId="2" fontId="31" fillId="34" borderId="109" xfId="0" applyNumberFormat="1" applyFont="1" applyFill="1" applyBorder="1" applyAlignment="1" applyProtection="1">
      <alignment horizontal="right"/>
      <protection locked="0"/>
    </xf>
    <xf numFmtId="0" fontId="31" fillId="27" borderId="0" xfId="0" applyFont="1" applyFill="1" applyBorder="1" applyAlignment="1" applyProtection="1">
      <alignment horizontal="right"/>
      <protection locked="0"/>
    </xf>
    <xf numFmtId="0" fontId="0" fillId="27" borderId="0" xfId="0" applyFill="1" applyBorder="1" applyAlignment="1" applyProtection="1">
      <alignment horizontal="center"/>
      <protection locked="0"/>
    </xf>
    <xf numFmtId="0" fontId="31" fillId="27" borderId="0" xfId="0" applyFont="1" applyFill="1" applyBorder="1" applyAlignment="1" applyProtection="1">
      <alignment horizontal="center"/>
      <protection locked="0"/>
    </xf>
    <xf numFmtId="166" fontId="0" fillId="27" borderId="0" xfId="0" applyNumberFormat="1" applyFill="1" applyProtection="1">
      <protection locked="0"/>
    </xf>
    <xf numFmtId="0" fontId="28" fillId="25" borderId="113" xfId="0" applyFont="1" applyFill="1" applyBorder="1" applyProtection="1">
      <protection locked="0"/>
    </xf>
    <xf numFmtId="0" fontId="0" fillId="25" borderId="111" xfId="0" applyFill="1" applyBorder="1" applyProtection="1">
      <protection locked="0"/>
    </xf>
    <xf numFmtId="0" fontId="28" fillId="25" borderId="111" xfId="0" applyFont="1" applyFill="1" applyBorder="1" applyProtection="1">
      <protection locked="0"/>
    </xf>
    <xf numFmtId="166" fontId="0" fillId="25" borderId="111" xfId="0" applyNumberFormat="1" applyFill="1" applyBorder="1" applyProtection="1">
      <protection locked="0"/>
    </xf>
    <xf numFmtId="166" fontId="0" fillId="25" borderId="114" xfId="0" applyNumberFormat="1" applyFill="1" applyBorder="1" applyProtection="1">
      <protection locked="0"/>
    </xf>
    <xf numFmtId="0" fontId="28" fillId="25" borderId="112" xfId="0" applyFont="1" applyFill="1" applyBorder="1" applyProtection="1">
      <protection locked="0"/>
    </xf>
    <xf numFmtId="168" fontId="58" fillId="27" borderId="5" xfId="0" applyNumberFormat="1" applyFont="1" applyFill="1" applyBorder="1" applyProtection="1">
      <protection locked="0"/>
    </xf>
    <xf numFmtId="0" fontId="0" fillId="28" borderId="17" xfId="0" applyFill="1" applyBorder="1" applyAlignment="1" applyProtection="1">
      <alignment horizontal="right"/>
      <protection locked="0"/>
    </xf>
    <xf numFmtId="0" fontId="5" fillId="28" borderId="112" xfId="0" applyFont="1" applyFill="1" applyBorder="1" applyAlignment="1" applyProtection="1">
      <alignment horizontal="left"/>
      <protection locked="0"/>
    </xf>
    <xf numFmtId="0" fontId="7" fillId="28" borderId="0" xfId="0" applyFont="1" applyFill="1" applyBorder="1" applyAlignment="1" applyProtection="1">
      <alignment horizontal="right"/>
      <protection locked="0"/>
    </xf>
    <xf numFmtId="0" fontId="7" fillId="28" borderId="12" xfId="0" applyFont="1" applyFill="1" applyBorder="1" applyAlignment="1" applyProtection="1">
      <alignment horizontal="right"/>
      <protection locked="0"/>
    </xf>
    <xf numFmtId="0" fontId="0" fillId="28" borderId="12" xfId="0" applyFill="1" applyBorder="1" applyProtection="1">
      <protection locked="0"/>
    </xf>
    <xf numFmtId="0" fontId="58" fillId="27" borderId="5" xfId="0" applyFont="1" applyFill="1" applyBorder="1" applyProtection="1">
      <protection locked="0"/>
    </xf>
    <xf numFmtId="170" fontId="0" fillId="28" borderId="87" xfId="0" applyNumberFormat="1" applyFill="1" applyBorder="1" applyProtection="1">
      <protection locked="0"/>
    </xf>
    <xf numFmtId="2" fontId="0" fillId="28" borderId="0" xfId="0" applyNumberFormat="1" applyFill="1" applyBorder="1" applyProtection="1">
      <protection locked="0"/>
    </xf>
    <xf numFmtId="2" fontId="5" fillId="28" borderId="18" xfId="0" applyNumberFormat="1" applyFont="1" applyFill="1" applyBorder="1" applyProtection="1">
      <protection locked="0"/>
    </xf>
    <xf numFmtId="0" fontId="0" fillId="28" borderId="0" xfId="0" applyFill="1" applyBorder="1" applyAlignment="1" applyProtection="1">
      <alignment horizontal="right"/>
      <protection locked="0"/>
    </xf>
    <xf numFmtId="0" fontId="58" fillId="27" borderId="5" xfId="0" applyFont="1" applyFill="1" applyBorder="1" applyAlignment="1" applyProtection="1">
      <alignment horizontal="right"/>
      <protection locked="0"/>
    </xf>
    <xf numFmtId="173" fontId="0" fillId="28" borderId="0" xfId="0" applyNumberFormat="1" applyFill="1" applyBorder="1" applyProtection="1">
      <protection locked="0"/>
    </xf>
    <xf numFmtId="0" fontId="5" fillId="34" borderId="16" xfId="0" applyFont="1" applyFill="1" applyBorder="1" applyAlignment="1" applyProtection="1">
      <alignment horizontal="right"/>
      <protection locked="0"/>
    </xf>
    <xf numFmtId="0" fontId="31" fillId="27" borderId="0" xfId="0" applyFont="1" applyFill="1" applyAlignment="1" applyProtection="1">
      <alignment horizontal="left"/>
      <protection locked="0"/>
    </xf>
    <xf numFmtId="0" fontId="5" fillId="27" borderId="0" xfId="0" applyFont="1" applyFill="1" applyBorder="1" applyAlignment="1" applyProtection="1">
      <alignment horizontal="right"/>
      <protection locked="0"/>
    </xf>
    <xf numFmtId="2" fontId="31" fillId="27" borderId="0" xfId="0" applyNumberFormat="1" applyFont="1" applyFill="1" applyAlignment="1" applyProtection="1">
      <alignment horizontal="right"/>
      <protection locked="0"/>
    </xf>
    <xf numFmtId="167" fontId="0" fillId="28" borderId="87" xfId="0" applyNumberFormat="1" applyFill="1" applyBorder="1" applyProtection="1">
      <protection locked="0"/>
    </xf>
    <xf numFmtId="0" fontId="5" fillId="28" borderId="12" xfId="0" applyFont="1" applyFill="1" applyBorder="1" applyAlignment="1" applyProtection="1">
      <alignment horizontal="left"/>
      <protection locked="0"/>
    </xf>
    <xf numFmtId="168" fontId="0" fillId="28" borderId="0" xfId="0" applyNumberFormat="1" applyFill="1" applyBorder="1" applyProtection="1">
      <protection locked="0"/>
    </xf>
    <xf numFmtId="166" fontId="58" fillId="27" borderId="5" xfId="0" applyNumberFormat="1" applyFont="1" applyFill="1" applyBorder="1" applyProtection="1">
      <protection locked="0"/>
    </xf>
    <xf numFmtId="177" fontId="1" fillId="28" borderId="87" xfId="0" applyNumberFormat="1" applyFont="1" applyFill="1" applyBorder="1" applyProtection="1">
      <protection locked="0"/>
    </xf>
    <xf numFmtId="0" fontId="1" fillId="28" borderId="87" xfId="0" applyFont="1" applyFill="1" applyBorder="1" applyAlignment="1" applyProtection="1">
      <alignment horizontal="right"/>
      <protection locked="0"/>
    </xf>
    <xf numFmtId="171" fontId="58" fillId="27" borderId="5" xfId="0" applyNumberFormat="1" applyFont="1" applyFill="1" applyBorder="1" applyProtection="1">
      <protection locked="0"/>
    </xf>
    <xf numFmtId="178" fontId="0" fillId="28" borderId="0" xfId="0" applyNumberFormat="1" applyFill="1" applyBorder="1" applyProtection="1">
      <protection locked="0"/>
    </xf>
    <xf numFmtId="2" fontId="0" fillId="28" borderId="12" xfId="0" applyNumberFormat="1" applyFill="1" applyBorder="1" applyProtection="1">
      <protection locked="0"/>
    </xf>
    <xf numFmtId="2" fontId="7" fillId="28" borderId="12" xfId="0" applyNumberFormat="1" applyFont="1" applyFill="1" applyBorder="1" applyProtection="1">
      <protection locked="0"/>
    </xf>
    <xf numFmtId="0" fontId="1" fillId="28" borderId="87" xfId="0" applyFont="1" applyFill="1" applyBorder="1" applyProtection="1">
      <protection locked="0"/>
    </xf>
    <xf numFmtId="2" fontId="26" fillId="28" borderId="0" xfId="0" applyNumberFormat="1" applyFont="1" applyFill="1" applyBorder="1" applyProtection="1">
      <protection locked="0"/>
    </xf>
    <xf numFmtId="0" fontId="97" fillId="29" borderId="0" xfId="0" applyFont="1" applyFill="1" applyBorder="1" applyAlignment="1" applyProtection="1">
      <protection locked="0"/>
    </xf>
    <xf numFmtId="0" fontId="7" fillId="29" borderId="0" xfId="0" applyFont="1" applyFill="1" applyBorder="1" applyProtection="1">
      <protection locked="0"/>
    </xf>
    <xf numFmtId="0" fontId="0" fillId="29" borderId="87" xfId="0" applyFill="1" applyBorder="1" applyProtection="1">
      <protection locked="0"/>
    </xf>
    <xf numFmtId="0" fontId="0" fillId="29" borderId="0" xfId="0" applyFill="1" applyBorder="1" applyProtection="1">
      <protection locked="0"/>
    </xf>
    <xf numFmtId="0" fontId="76" fillId="29" borderId="0" xfId="0" applyFont="1" applyFill="1" applyBorder="1" applyProtection="1">
      <protection locked="0"/>
    </xf>
    <xf numFmtId="0" fontId="0" fillId="29" borderId="12" xfId="0" applyFill="1" applyBorder="1" applyProtection="1">
      <protection locked="0"/>
    </xf>
    <xf numFmtId="0" fontId="76" fillId="29" borderId="0" xfId="0" applyFont="1" applyFill="1" applyBorder="1" applyAlignment="1" applyProtection="1">
      <protection locked="0"/>
    </xf>
    <xf numFmtId="0" fontId="7" fillId="29" borderId="0" xfId="0" applyFont="1" applyFill="1" applyBorder="1" applyAlignment="1" applyProtection="1">
      <alignment horizontal="left" indent="1"/>
      <protection locked="0"/>
    </xf>
    <xf numFmtId="168" fontId="7" fillId="29" borderId="0" xfId="0" applyNumberFormat="1" applyFont="1" applyFill="1" applyBorder="1" applyProtection="1">
      <protection locked="0"/>
    </xf>
    <xf numFmtId="2" fontId="0" fillId="29" borderId="0" xfId="0" applyNumberFormat="1" applyFill="1" applyBorder="1" applyProtection="1">
      <protection locked="0"/>
    </xf>
    <xf numFmtId="2" fontId="7" fillId="29" borderId="12" xfId="0" applyNumberFormat="1" applyFont="1" applyFill="1" applyBorder="1" applyAlignment="1" applyProtection="1">
      <alignment horizontal="right"/>
      <protection locked="0"/>
    </xf>
    <xf numFmtId="0" fontId="129" fillId="29" borderId="87" xfId="0" applyFont="1" applyFill="1" applyBorder="1" applyProtection="1">
      <protection locked="0"/>
    </xf>
    <xf numFmtId="0" fontId="0" fillId="29" borderId="0" xfId="0" applyFill="1" applyBorder="1" applyAlignment="1" applyProtection="1">
      <alignment horizontal="left" indent="1"/>
      <protection locked="0"/>
    </xf>
    <xf numFmtId="0" fontId="127" fillId="29" borderId="87" xfId="0" applyFont="1" applyFill="1" applyBorder="1" applyProtection="1">
      <protection locked="0"/>
    </xf>
    <xf numFmtId="0" fontId="0" fillId="29" borderId="0" xfId="0" applyFill="1" applyBorder="1" applyAlignment="1" applyProtection="1">
      <alignment horizontal="left" wrapText="1" indent="1"/>
      <protection locked="0"/>
    </xf>
    <xf numFmtId="0" fontId="128" fillId="29" borderId="0" xfId="0" applyFont="1" applyFill="1" applyBorder="1" applyAlignment="1" applyProtection="1">
      <protection locked="0"/>
    </xf>
    <xf numFmtId="170" fontId="0" fillId="29" borderId="0" xfId="0" applyNumberFormat="1" applyFill="1" applyBorder="1" applyProtection="1">
      <protection locked="0"/>
    </xf>
    <xf numFmtId="0" fontId="0" fillId="29" borderId="0" xfId="0" applyFill="1" applyBorder="1" applyAlignment="1" applyProtection="1">
      <protection locked="0"/>
    </xf>
    <xf numFmtId="2" fontId="5" fillId="28" borderId="0" xfId="0" applyNumberFormat="1" applyFont="1" applyFill="1" applyBorder="1" applyProtection="1">
      <protection locked="0"/>
    </xf>
    <xf numFmtId="2" fontId="5" fillId="28" borderId="12" xfId="0" applyNumberFormat="1" applyFont="1" applyFill="1" applyBorder="1" applyProtection="1">
      <protection locked="0"/>
    </xf>
    <xf numFmtId="2" fontId="5" fillId="27" borderId="0" xfId="0" applyNumberFormat="1" applyFont="1" applyFill="1" applyAlignment="1" applyProtection="1">
      <alignment horizontal="center"/>
      <protection locked="0"/>
    </xf>
    <xf numFmtId="0" fontId="7" fillId="27" borderId="0" xfId="0" applyFont="1" applyFill="1" applyBorder="1" applyAlignment="1" applyProtection="1">
      <alignment vertical="top"/>
      <protection locked="0"/>
    </xf>
    <xf numFmtId="0" fontId="5" fillId="28" borderId="87" xfId="0" applyFont="1" applyFill="1" applyBorder="1" applyProtection="1">
      <protection locked="0"/>
    </xf>
    <xf numFmtId="167" fontId="0" fillId="28" borderId="87" xfId="0" applyNumberFormat="1" applyFill="1" applyBorder="1" applyAlignment="1" applyProtection="1">
      <alignment horizontal="right"/>
      <protection locked="0"/>
    </xf>
    <xf numFmtId="168" fontId="0" fillId="28" borderId="87" xfId="0" applyNumberFormat="1" applyFill="1" applyBorder="1" applyAlignment="1" applyProtection="1">
      <alignment horizontal="right"/>
      <protection locked="0"/>
    </xf>
    <xf numFmtId="0" fontId="5" fillId="28" borderId="87" xfId="0" applyFont="1" applyFill="1" applyBorder="1" applyAlignment="1" applyProtection="1">
      <alignment horizontal="right"/>
      <protection locked="0"/>
    </xf>
    <xf numFmtId="0" fontId="0" fillId="27" borderId="0" xfId="0" applyFill="1" applyBorder="1" applyAlignment="1" applyProtection="1">
      <alignment horizontal="right"/>
      <protection locked="0"/>
    </xf>
    <xf numFmtId="0" fontId="28" fillId="25" borderId="115" xfId="0" applyFont="1" applyFill="1" applyBorder="1" applyProtection="1">
      <protection locked="0"/>
    </xf>
    <xf numFmtId="168" fontId="59" fillId="27" borderId="5" xfId="0" applyNumberFormat="1" applyFont="1" applyFill="1" applyBorder="1" applyProtection="1">
      <protection locked="0"/>
    </xf>
    <xf numFmtId="171" fontId="0" fillId="28" borderId="0" xfId="0" applyNumberFormat="1" applyFill="1" applyBorder="1" applyProtection="1">
      <protection locked="0"/>
    </xf>
    <xf numFmtId="0" fontId="59" fillId="27" borderId="5" xfId="0" applyFont="1" applyFill="1" applyBorder="1" applyProtection="1">
      <protection locked="0"/>
    </xf>
    <xf numFmtId="0" fontId="0" fillId="25" borderId="114" xfId="0" applyFill="1" applyBorder="1" applyProtection="1">
      <protection locked="0"/>
    </xf>
    <xf numFmtId="2" fontId="5" fillId="27" borderId="0" xfId="0" applyNumberFormat="1" applyFont="1" applyFill="1" applyAlignment="1" applyProtection="1">
      <alignment horizontal="right"/>
      <protection locked="0"/>
    </xf>
    <xf numFmtId="2" fontId="5" fillId="25" borderId="111" xfId="0" applyNumberFormat="1" applyFont="1" applyFill="1" applyBorder="1" applyAlignment="1" applyProtection="1">
      <alignment horizontal="center"/>
      <protection locked="0"/>
    </xf>
    <xf numFmtId="0" fontId="5" fillId="25" borderId="111" xfId="0" applyFont="1" applyFill="1" applyBorder="1" applyAlignment="1" applyProtection="1">
      <alignment horizontal="left"/>
      <protection locked="0"/>
    </xf>
    <xf numFmtId="0" fontId="0" fillId="25" borderId="113" xfId="0" applyFill="1" applyBorder="1" applyProtection="1">
      <protection locked="0"/>
    </xf>
    <xf numFmtId="0" fontId="5" fillId="25" borderId="114" xfId="0" applyFont="1" applyFill="1" applyBorder="1" applyAlignment="1" applyProtection="1">
      <alignment horizontal="right"/>
      <protection locked="0"/>
    </xf>
    <xf numFmtId="0" fontId="28" fillId="28" borderId="87" xfId="0" applyFont="1" applyFill="1" applyBorder="1" applyProtection="1">
      <protection locked="0"/>
    </xf>
    <xf numFmtId="0" fontId="5" fillId="28" borderId="0" xfId="0" applyFont="1" applyFill="1" applyBorder="1" applyAlignment="1" applyProtection="1">
      <alignment horizontal="center"/>
      <protection locked="0"/>
    </xf>
    <xf numFmtId="2" fontId="31" fillId="27" borderId="0" xfId="0" applyNumberFormat="1" applyFont="1" applyFill="1" applyAlignment="1" applyProtection="1">
      <alignment horizontal="center"/>
      <protection locked="0"/>
    </xf>
    <xf numFmtId="0" fontId="7" fillId="28" borderId="0" xfId="0" applyFont="1" applyFill="1" applyBorder="1" applyAlignment="1" applyProtection="1">
      <alignment horizontal="left"/>
      <protection locked="0"/>
    </xf>
    <xf numFmtId="0" fontId="29" fillId="25" borderId="111" xfId="0" applyFont="1" applyFill="1" applyBorder="1" applyProtection="1">
      <protection locked="0"/>
    </xf>
    <xf numFmtId="166" fontId="29" fillId="25" borderId="111" xfId="0" applyNumberFormat="1" applyFont="1" applyFill="1" applyBorder="1" applyProtection="1">
      <protection locked="0"/>
    </xf>
    <xf numFmtId="0" fontId="31" fillId="25" borderId="111" xfId="0" applyFont="1" applyFill="1" applyBorder="1" applyAlignment="1" applyProtection="1">
      <alignment horizontal="left"/>
      <protection locked="0"/>
    </xf>
    <xf numFmtId="2" fontId="31" fillId="25" borderId="114" xfId="0" applyNumberFormat="1" applyFont="1" applyFill="1" applyBorder="1" applyAlignment="1" applyProtection="1">
      <alignment horizontal="right"/>
      <protection locked="0"/>
    </xf>
    <xf numFmtId="0" fontId="28" fillId="25" borderId="87" xfId="0" applyFont="1" applyFill="1" applyBorder="1" applyProtection="1">
      <protection locked="0"/>
    </xf>
    <xf numFmtId="0" fontId="0" fillId="25" borderId="0" xfId="0" applyFill="1" applyBorder="1" applyProtection="1">
      <protection locked="0"/>
    </xf>
    <xf numFmtId="0" fontId="31" fillId="25" borderId="0" xfId="0" applyFont="1" applyFill="1" applyBorder="1" applyProtection="1">
      <protection locked="0"/>
    </xf>
    <xf numFmtId="0" fontId="29" fillId="25" borderId="0" xfId="0" applyFont="1" applyFill="1" applyBorder="1" applyProtection="1">
      <protection locked="0"/>
    </xf>
    <xf numFmtId="0" fontId="29" fillId="25" borderId="17" xfId="0" applyFont="1" applyFill="1" applyBorder="1" applyProtection="1">
      <protection locked="0"/>
    </xf>
    <xf numFmtId="172" fontId="5" fillId="28" borderId="0" xfId="0" applyNumberFormat="1" applyFont="1" applyFill="1" applyBorder="1" applyProtection="1">
      <protection locked="0"/>
    </xf>
    <xf numFmtId="0" fontId="0" fillId="28" borderId="17" xfId="0" applyFill="1" applyBorder="1" applyProtection="1">
      <protection locked="0"/>
    </xf>
    <xf numFmtId="167" fontId="0" fillId="28" borderId="0" xfId="0" applyNumberFormat="1" applyFill="1" applyBorder="1" applyProtection="1">
      <protection locked="0"/>
    </xf>
    <xf numFmtId="0" fontId="57" fillId="34" borderId="87" xfId="0" applyFont="1" applyFill="1" applyBorder="1" applyProtection="1">
      <protection locked="0"/>
    </xf>
    <xf numFmtId="0" fontId="57" fillId="34" borderId="0" xfId="0" applyFont="1" applyFill="1" applyBorder="1" applyProtection="1">
      <protection locked="0"/>
    </xf>
    <xf numFmtId="0" fontId="37" fillId="34" borderId="0" xfId="0" applyFont="1" applyFill="1" applyBorder="1" applyAlignment="1" applyProtection="1">
      <alignment horizontal="left"/>
      <protection locked="0"/>
    </xf>
    <xf numFmtId="0" fontId="37" fillId="34" borderId="0" xfId="0" applyFont="1" applyFill="1" applyBorder="1" applyAlignment="1" applyProtection="1">
      <alignment horizontal="right"/>
      <protection locked="0"/>
    </xf>
    <xf numFmtId="0" fontId="33" fillId="34" borderId="0" xfId="0" applyFont="1" applyFill="1" applyBorder="1" applyProtection="1">
      <protection locked="0"/>
    </xf>
    <xf numFmtId="2" fontId="37" fillId="34" borderId="17" xfId="0" quotePrefix="1" applyNumberFormat="1" applyFont="1" applyFill="1" applyBorder="1" applyAlignment="1" applyProtection="1">
      <alignment horizontal="right"/>
      <protection locked="0"/>
    </xf>
    <xf numFmtId="0" fontId="58" fillId="34" borderId="87" xfId="0" applyFont="1" applyFill="1" applyBorder="1" applyAlignment="1" applyProtection="1">
      <alignment horizontal="right"/>
      <protection locked="0"/>
    </xf>
    <xf numFmtId="2" fontId="58" fillId="34" borderId="0" xfId="0" applyNumberFormat="1" applyFont="1" applyFill="1" applyBorder="1" applyAlignment="1" applyProtection="1">
      <alignment horizontal="center"/>
      <protection locked="0"/>
    </xf>
    <xf numFmtId="0" fontId="58" fillId="34" borderId="0" xfId="0" applyFont="1" applyFill="1" applyBorder="1" applyAlignment="1" applyProtection="1">
      <alignment horizontal="left"/>
      <protection locked="0"/>
    </xf>
    <xf numFmtId="2" fontId="37" fillId="34" borderId="17" xfId="0" applyNumberFormat="1" applyFont="1" applyFill="1" applyBorder="1" applyProtection="1">
      <protection locked="0"/>
    </xf>
    <xf numFmtId="0" fontId="33" fillId="34" borderId="17" xfId="0" applyFont="1" applyFill="1" applyBorder="1" applyProtection="1">
      <protection locked="0"/>
    </xf>
    <xf numFmtId="0" fontId="57" fillId="34" borderId="108" xfId="0" applyFont="1" applyFill="1" applyBorder="1" applyProtection="1">
      <protection locked="0"/>
    </xf>
    <xf numFmtId="0" fontId="57" fillId="34" borderId="16" xfId="0" applyFont="1" applyFill="1" applyBorder="1" applyProtection="1">
      <protection locked="0"/>
    </xf>
    <xf numFmtId="0" fontId="37" fillId="34" borderId="16" xfId="0" applyFont="1" applyFill="1" applyBorder="1" applyProtection="1">
      <protection locked="0"/>
    </xf>
    <xf numFmtId="0" fontId="33" fillId="34" borderId="16" xfId="0" applyFont="1" applyFill="1" applyBorder="1" applyProtection="1">
      <protection locked="0"/>
    </xf>
    <xf numFmtId="169" fontId="37" fillId="34" borderId="109" xfId="102" applyNumberFormat="1" applyFont="1" applyFill="1" applyBorder="1" applyAlignment="1" applyProtection="1">
      <alignment horizontal="center"/>
      <protection locked="0"/>
    </xf>
    <xf numFmtId="0" fontId="0" fillId="0" borderId="0" xfId="0" applyFill="1" applyProtection="1">
      <protection locked="0"/>
    </xf>
    <xf numFmtId="0" fontId="5" fillId="0" borderId="0" xfId="0" applyFont="1" applyFill="1" applyProtection="1">
      <protection locked="0"/>
    </xf>
    <xf numFmtId="0" fontId="5" fillId="0" borderId="0" xfId="0" applyFont="1" applyFill="1" applyBorder="1" applyAlignment="1" applyProtection="1">
      <alignment horizontal="right"/>
      <protection locked="0"/>
    </xf>
    <xf numFmtId="0" fontId="0" fillId="0" borderId="0" xfId="0" quotePrefix="1" applyFill="1" applyAlignment="1" applyProtection="1">
      <alignment horizontal="right"/>
      <protection locked="0"/>
    </xf>
    <xf numFmtId="0" fontId="36" fillId="0" borderId="0" xfId="0" applyFont="1" applyFill="1" applyAlignment="1" applyProtection="1">
      <alignment horizontal="right"/>
      <protection locked="0"/>
    </xf>
    <xf numFmtId="0" fontId="7" fillId="0" borderId="0" xfId="0" applyFont="1" applyFill="1" applyProtection="1">
      <protection locked="0"/>
    </xf>
    <xf numFmtId="0" fontId="4" fillId="0" borderId="0" xfId="0" applyFont="1" applyFill="1" applyProtection="1">
      <protection locked="0"/>
    </xf>
    <xf numFmtId="0" fontId="5" fillId="0" borderId="0" xfId="0" applyFont="1" applyFill="1" applyAlignment="1" applyProtection="1">
      <alignment horizontal="left"/>
      <protection locked="0"/>
    </xf>
    <xf numFmtId="2" fontId="0" fillId="27" borderId="0" xfId="0" applyNumberFormat="1" applyFill="1" applyProtection="1">
      <protection locked="0"/>
    </xf>
    <xf numFmtId="169" fontId="1" fillId="27" borderId="0" xfId="102" quotePrefix="1" applyNumberFormat="1" applyFont="1" applyFill="1" applyBorder="1" applyProtection="1">
      <protection locked="0"/>
    </xf>
    <xf numFmtId="0" fontId="1" fillId="27" borderId="0" xfId="0" applyFont="1" applyFill="1" applyBorder="1" applyProtection="1">
      <protection locked="0"/>
    </xf>
    <xf numFmtId="169" fontId="1" fillId="27" borderId="0" xfId="102" applyNumberFormat="1" applyFont="1" applyFill="1" applyBorder="1" applyAlignment="1" applyProtection="1">
      <alignment horizontal="right"/>
      <protection locked="0"/>
    </xf>
    <xf numFmtId="0" fontId="1" fillId="27" borderId="0" xfId="0" applyFont="1" applyFill="1" applyBorder="1" applyAlignment="1" applyProtection="1">
      <alignment horizontal="left"/>
      <protection locked="0"/>
    </xf>
    <xf numFmtId="2" fontId="7" fillId="28" borderId="12" xfId="0" applyNumberFormat="1" applyFont="1" applyFill="1" applyBorder="1" applyAlignment="1" applyProtection="1">
      <alignment horizontal="right" vertical="center"/>
      <protection locked="0"/>
    </xf>
    <xf numFmtId="1" fontId="31" fillId="34" borderId="12" xfId="0" applyNumberFormat="1" applyFont="1" applyFill="1" applyBorder="1" applyAlignment="1" applyProtection="1">
      <alignment horizontal="center"/>
      <protection locked="0"/>
    </xf>
    <xf numFmtId="166" fontId="33" fillId="27" borderId="0" xfId="0" applyNumberFormat="1" applyFont="1" applyFill="1" applyBorder="1" applyAlignment="1" applyProtection="1">
      <alignment horizontal="center"/>
      <protection locked="0"/>
    </xf>
    <xf numFmtId="0" fontId="48" fillId="27" borderId="119" xfId="0" applyFont="1" applyFill="1" applyBorder="1" applyProtection="1">
      <protection locked="0"/>
    </xf>
    <xf numFmtId="0" fontId="0" fillId="27" borderId="119" xfId="0" applyFill="1" applyBorder="1" applyProtection="1">
      <protection locked="0"/>
    </xf>
    <xf numFmtId="0" fontId="5" fillId="27" borderId="119" xfId="0" applyFont="1" applyFill="1" applyBorder="1" applyAlignment="1" applyProtection="1">
      <alignment horizontal="left"/>
      <protection locked="0"/>
    </xf>
    <xf numFmtId="0" fontId="28" fillId="25" borderId="17" xfId="0" applyFont="1" applyFill="1" applyBorder="1" applyProtection="1">
      <protection locked="0"/>
    </xf>
    <xf numFmtId="0" fontId="5" fillId="28" borderId="114" xfId="0" applyFont="1" applyFill="1" applyBorder="1" applyAlignment="1" applyProtection="1">
      <alignment horizontal="center"/>
      <protection locked="0"/>
    </xf>
    <xf numFmtId="167" fontId="59" fillId="27" borderId="5" xfId="84" applyNumberFormat="1" applyFont="1" applyFill="1" applyBorder="1" applyProtection="1">
      <protection locked="0"/>
    </xf>
    <xf numFmtId="167" fontId="7" fillId="28" borderId="87" xfId="84" applyNumberFormat="1" applyFont="1" applyFill="1" applyBorder="1" applyProtection="1">
      <protection locked="0"/>
    </xf>
    <xf numFmtId="0" fontId="7" fillId="28" borderId="17" xfId="0" applyFont="1" applyFill="1" applyBorder="1" applyAlignment="1" applyProtection="1">
      <alignment horizontal="right"/>
      <protection locked="0"/>
    </xf>
    <xf numFmtId="169" fontId="59" fillId="27" borderId="5" xfId="0" applyNumberFormat="1" applyFont="1" applyFill="1" applyBorder="1" applyProtection="1">
      <protection locked="0"/>
    </xf>
    <xf numFmtId="167" fontId="59" fillId="27" borderId="5" xfId="0" applyNumberFormat="1" applyFont="1" applyFill="1" applyBorder="1" applyAlignment="1" applyProtection="1">
      <alignment horizontal="left" indent="2"/>
      <protection locked="0"/>
    </xf>
    <xf numFmtId="167" fontId="26" fillId="28" borderId="0" xfId="0" applyNumberFormat="1" applyFont="1" applyFill="1" applyBorder="1" applyProtection="1">
      <protection locked="0"/>
    </xf>
    <xf numFmtId="0" fontId="0" fillId="28" borderId="12" xfId="0" applyFill="1" applyBorder="1" applyAlignment="1" applyProtection="1">
      <alignment horizontal="right"/>
      <protection locked="0"/>
    </xf>
    <xf numFmtId="167" fontId="59" fillId="27" borderId="5" xfId="0" applyNumberFormat="1" applyFont="1" applyFill="1" applyBorder="1" applyProtection="1">
      <protection locked="0"/>
    </xf>
    <xf numFmtId="166" fontId="0" fillId="28" borderId="17" xfId="0" applyNumberFormat="1" applyFill="1" applyBorder="1" applyProtection="1">
      <protection locked="0"/>
    </xf>
    <xf numFmtId="166" fontId="59" fillId="27" borderId="5" xfId="0" applyNumberFormat="1" applyFont="1" applyFill="1" applyBorder="1" applyProtection="1">
      <protection locked="0"/>
    </xf>
    <xf numFmtId="166" fontId="0" fillId="28" borderId="0" xfId="0" applyNumberFormat="1" applyFill="1" applyBorder="1" applyProtection="1">
      <protection locked="0"/>
    </xf>
    <xf numFmtId="166" fontId="26" fillId="28" borderId="0" xfId="0" applyNumberFormat="1" applyFont="1" applyFill="1" applyBorder="1" applyProtection="1">
      <protection locked="0"/>
    </xf>
    <xf numFmtId="1" fontId="59" fillId="27" borderId="5" xfId="0" applyNumberFormat="1" applyFont="1" applyFill="1" applyBorder="1" applyProtection="1">
      <protection locked="0"/>
    </xf>
    <xf numFmtId="0" fontId="26" fillId="28" borderId="0" xfId="0" applyFont="1" applyFill="1" applyBorder="1" applyProtection="1">
      <protection locked="0"/>
    </xf>
    <xf numFmtId="2" fontId="59" fillId="27" borderId="5" xfId="0" applyNumberFormat="1" applyFont="1" applyFill="1" applyBorder="1" applyProtection="1">
      <protection locked="0"/>
    </xf>
    <xf numFmtId="0" fontId="79" fillId="28" borderId="0" xfId="0" applyFont="1" applyFill="1" applyBorder="1" applyAlignment="1" applyProtection="1">
      <alignment horizontal="center"/>
      <protection locked="0"/>
    </xf>
    <xf numFmtId="0" fontId="8" fillId="28" borderId="0" xfId="79" applyFill="1" applyBorder="1" applyAlignment="1" applyProtection="1">
      <alignment horizontal="center"/>
      <protection locked="0"/>
    </xf>
    <xf numFmtId="171" fontId="59" fillId="27" borderId="5" xfId="0" applyNumberFormat="1" applyFont="1" applyFill="1" applyBorder="1" applyProtection="1">
      <protection locked="0"/>
    </xf>
    <xf numFmtId="0" fontId="59" fillId="27" borderId="5" xfId="0" applyFont="1" applyFill="1" applyBorder="1" applyAlignment="1" applyProtection="1">
      <alignment horizontal="right"/>
      <protection locked="0"/>
    </xf>
    <xf numFmtId="0" fontId="0" fillId="28" borderId="0" xfId="0" applyFill="1" applyProtection="1">
      <protection locked="0"/>
    </xf>
    <xf numFmtId="170" fontId="59" fillId="27" borderId="5" xfId="0" applyNumberFormat="1" applyFont="1" applyFill="1" applyBorder="1" applyProtection="1">
      <protection locked="0"/>
    </xf>
    <xf numFmtId="170" fontId="58" fillId="27" borderId="5" xfId="0" applyNumberFormat="1" applyFont="1" applyFill="1" applyBorder="1" applyProtection="1">
      <protection locked="0"/>
    </xf>
    <xf numFmtId="171" fontId="7" fillId="28" borderId="12" xfId="0" applyNumberFormat="1" applyFont="1" applyFill="1" applyBorder="1" applyAlignment="1" applyProtection="1">
      <alignment horizontal="right"/>
      <protection locked="0"/>
    </xf>
    <xf numFmtId="171" fontId="0" fillId="29" borderId="12" xfId="0" applyNumberFormat="1" applyFill="1" applyBorder="1" applyProtection="1">
      <protection locked="0"/>
    </xf>
    <xf numFmtId="0" fontId="7" fillId="29" borderId="0" xfId="0" applyFont="1" applyFill="1" applyBorder="1" applyAlignment="1" applyProtection="1">
      <protection locked="0"/>
    </xf>
    <xf numFmtId="0" fontId="0" fillId="29" borderId="0" xfId="0" applyFill="1" applyBorder="1" applyAlignment="1" applyProtection="1">
      <alignment wrapText="1"/>
      <protection locked="0"/>
    </xf>
    <xf numFmtId="168" fontId="7" fillId="28" borderId="87" xfId="0" applyNumberFormat="1" applyFont="1" applyFill="1" applyBorder="1" applyProtection="1">
      <protection locked="0"/>
    </xf>
    <xf numFmtId="0" fontId="0" fillId="28" borderId="0" xfId="0" quotePrefix="1" applyFill="1" applyBorder="1" applyProtection="1">
      <protection locked="0"/>
    </xf>
    <xf numFmtId="0" fontId="0" fillId="29" borderId="0" xfId="0" applyFill="1" applyBorder="1" applyAlignment="1" applyProtection="1">
      <alignment horizontal="right"/>
      <protection locked="0"/>
    </xf>
    <xf numFmtId="2" fontId="5" fillId="29" borderId="0" xfId="0" applyNumberFormat="1" applyFont="1" applyFill="1" applyBorder="1" applyProtection="1">
      <protection locked="0"/>
    </xf>
    <xf numFmtId="0" fontId="0" fillId="29" borderId="17" xfId="0" applyFill="1" applyBorder="1" applyProtection="1">
      <protection locked="0"/>
    </xf>
    <xf numFmtId="172" fontId="0" fillId="29" borderId="0" xfId="0" applyNumberFormat="1" applyFill="1" applyBorder="1" applyProtection="1">
      <protection locked="0"/>
    </xf>
    <xf numFmtId="0" fontId="29" fillId="34" borderId="16" xfId="0" applyFont="1" applyFill="1" applyBorder="1" applyProtection="1">
      <protection locked="0"/>
    </xf>
    <xf numFmtId="2" fontId="0" fillId="29" borderId="12" xfId="0" applyNumberFormat="1" applyFill="1" applyBorder="1" applyProtection="1">
      <protection locked="0"/>
    </xf>
    <xf numFmtId="0" fontId="59" fillId="28" borderId="0" xfId="0" applyFont="1" applyFill="1" applyBorder="1" applyProtection="1">
      <protection locked="0"/>
    </xf>
    <xf numFmtId="0" fontId="5" fillId="28" borderId="12" xfId="0" applyFont="1" applyFill="1" applyBorder="1" applyAlignment="1" applyProtection="1">
      <alignment horizontal="right"/>
      <protection locked="0"/>
    </xf>
    <xf numFmtId="166" fontId="77" fillId="28" borderId="0" xfId="0" applyNumberFormat="1" applyFont="1" applyFill="1" applyBorder="1" applyAlignment="1" applyProtection="1">
      <alignment horizontal="center"/>
      <protection locked="0"/>
    </xf>
    <xf numFmtId="166" fontId="0" fillId="28" borderId="87" xfId="0" applyNumberFormat="1" applyFill="1" applyBorder="1" applyAlignment="1" applyProtection="1">
      <alignment horizontal="right" vertical="top"/>
      <protection locked="0"/>
    </xf>
    <xf numFmtId="0" fontId="26" fillId="27" borderId="0" xfId="0" applyFont="1" applyFill="1" applyBorder="1" applyAlignment="1" applyProtection="1">
      <alignment horizontal="center"/>
      <protection locked="0"/>
    </xf>
    <xf numFmtId="0" fontId="7" fillId="28" borderId="0" xfId="0" applyFont="1" applyFill="1" applyBorder="1" applyAlignment="1" applyProtection="1">
      <alignment horizontal="left" vertical="top" wrapText="1"/>
      <protection locked="0"/>
    </xf>
    <xf numFmtId="0" fontId="7" fillId="28" borderId="17" xfId="0" applyFont="1" applyFill="1" applyBorder="1" applyAlignment="1" applyProtection="1">
      <alignment horizontal="left" vertical="top" wrapText="1"/>
      <protection locked="0"/>
    </xf>
    <xf numFmtId="0" fontId="0" fillId="28" borderId="87" xfId="0" applyFill="1" applyBorder="1" applyAlignment="1" applyProtection="1">
      <alignment vertical="top"/>
      <protection locked="0"/>
    </xf>
    <xf numFmtId="2" fontId="78" fillId="28" borderId="5" xfId="0" applyNumberFormat="1" applyFont="1" applyFill="1" applyBorder="1" applyAlignment="1" applyProtection="1">
      <alignment horizontal="right"/>
      <protection locked="0"/>
    </xf>
    <xf numFmtId="2" fontId="78" fillId="28" borderId="0" xfId="0" applyNumberFormat="1" applyFont="1" applyFill="1" applyBorder="1" applyAlignment="1" applyProtection="1">
      <alignment horizontal="right"/>
      <protection locked="0"/>
    </xf>
    <xf numFmtId="0" fontId="7" fillId="28" borderId="87" xfId="0" applyFont="1" applyFill="1" applyBorder="1" applyAlignment="1" applyProtection="1">
      <alignment horizontal="right"/>
      <protection locked="0"/>
    </xf>
    <xf numFmtId="2" fontId="5" fillId="28" borderId="17" xfId="0" applyNumberFormat="1" applyFont="1" applyFill="1" applyBorder="1" applyAlignment="1" applyProtection="1">
      <alignment horizontal="right"/>
      <protection locked="0"/>
    </xf>
    <xf numFmtId="0" fontId="59" fillId="34" borderId="16" xfId="0" applyFont="1" applyFill="1" applyBorder="1" applyProtection="1">
      <protection locked="0"/>
    </xf>
    <xf numFmtId="166" fontId="5" fillId="28" borderId="0" xfId="0" applyNumberFormat="1" applyFont="1" applyFill="1" applyBorder="1" applyProtection="1">
      <protection locked="0"/>
    </xf>
    <xf numFmtId="0" fontId="0" fillId="34" borderId="87" xfId="0" applyFill="1" applyBorder="1" applyProtection="1">
      <protection locked="0"/>
    </xf>
    <xf numFmtId="0" fontId="31" fillId="34" borderId="0" xfId="0" applyFont="1" applyFill="1" applyBorder="1" applyAlignment="1" applyProtection="1">
      <alignment horizontal="left"/>
      <protection locked="0"/>
    </xf>
    <xf numFmtId="0" fontId="31" fillId="34" borderId="0" xfId="0" applyFont="1" applyFill="1" applyBorder="1" applyAlignment="1" applyProtection="1">
      <alignment horizontal="right"/>
      <protection locked="0"/>
    </xf>
    <xf numFmtId="2" fontId="31" fillId="34" borderId="17" xfId="0" quotePrefix="1" applyNumberFormat="1" applyFont="1" applyFill="1" applyBorder="1" applyAlignment="1" applyProtection="1">
      <alignment horizontal="right"/>
      <protection locked="0"/>
    </xf>
    <xf numFmtId="0" fontId="5" fillId="34" borderId="87" xfId="0" applyFont="1" applyFill="1" applyBorder="1" applyAlignment="1" applyProtection="1">
      <alignment horizontal="right"/>
      <protection locked="0"/>
    </xf>
    <xf numFmtId="2" fontId="5" fillId="34" borderId="0" xfId="0" applyNumberFormat="1" applyFont="1" applyFill="1" applyBorder="1" applyAlignment="1" applyProtection="1">
      <alignment horizontal="center"/>
      <protection locked="0"/>
    </xf>
    <xf numFmtId="0" fontId="5" fillId="34" borderId="0" xfId="0" applyFont="1" applyFill="1" applyBorder="1" applyAlignment="1" applyProtection="1">
      <alignment horizontal="left"/>
      <protection locked="0"/>
    </xf>
    <xf numFmtId="2" fontId="31" fillId="34" borderId="17" xfId="0" applyNumberFormat="1" applyFont="1" applyFill="1" applyBorder="1" applyProtection="1">
      <protection locked="0"/>
    </xf>
    <xf numFmtId="0" fontId="7" fillId="34" borderId="0" xfId="0" applyFont="1" applyFill="1" applyBorder="1" applyProtection="1">
      <protection locked="0"/>
    </xf>
    <xf numFmtId="0" fontId="0" fillId="34" borderId="17" xfId="0" applyFill="1" applyBorder="1" applyProtection="1">
      <protection locked="0"/>
    </xf>
    <xf numFmtId="0" fontId="31" fillId="34" borderId="16" xfId="0" applyFont="1" applyFill="1" applyBorder="1" applyProtection="1">
      <protection locked="0"/>
    </xf>
    <xf numFmtId="0" fontId="5" fillId="32" borderId="33" xfId="0" applyFont="1" applyFill="1" applyBorder="1" applyProtection="1">
      <protection locked="0"/>
    </xf>
    <xf numFmtId="0" fontId="5" fillId="27" borderId="0" xfId="0" applyFont="1" applyFill="1" applyAlignment="1" applyProtection="1">
      <alignment horizontal="center"/>
      <protection locked="0"/>
    </xf>
    <xf numFmtId="170" fontId="59" fillId="28" borderId="0" xfId="0" applyNumberFormat="1" applyFont="1" applyFill="1" applyBorder="1" applyProtection="1">
      <protection locked="0"/>
    </xf>
    <xf numFmtId="0" fontId="31" fillId="27" borderId="0" xfId="0" applyFont="1" applyFill="1" applyBorder="1" applyAlignment="1" applyProtection="1">
      <alignment horizontal="left"/>
      <protection locked="0"/>
    </xf>
    <xf numFmtId="2" fontId="31" fillId="27" borderId="0" xfId="0" applyNumberFormat="1" applyFont="1" applyFill="1" applyBorder="1" applyAlignment="1" applyProtection="1">
      <alignment horizontal="right"/>
      <protection locked="0"/>
    </xf>
    <xf numFmtId="0" fontId="59" fillId="27" borderId="5" xfId="0" applyFont="1" applyFill="1" applyBorder="1" applyAlignment="1" applyProtection="1">
      <alignment horizontal="left"/>
      <protection locked="0"/>
    </xf>
    <xf numFmtId="170" fontId="58" fillId="27" borderId="120" xfId="0" applyNumberFormat="1" applyFont="1" applyFill="1" applyBorder="1" applyProtection="1">
      <protection locked="0"/>
    </xf>
    <xf numFmtId="167" fontId="58" fillId="27" borderId="5" xfId="0" applyNumberFormat="1" applyFont="1" applyFill="1" applyBorder="1" applyAlignment="1" applyProtection="1">
      <alignment horizontal="left" indent="2"/>
      <protection locked="0"/>
    </xf>
    <xf numFmtId="167" fontId="58" fillId="28" borderId="0" xfId="0" applyNumberFormat="1" applyFont="1" applyFill="1" applyBorder="1" applyProtection="1">
      <protection locked="0"/>
    </xf>
    <xf numFmtId="167" fontId="58" fillId="27" borderId="5" xfId="0" applyNumberFormat="1" applyFont="1" applyFill="1" applyBorder="1" applyProtection="1">
      <protection locked="0"/>
    </xf>
    <xf numFmtId="2" fontId="1" fillId="28" borderId="0" xfId="0" applyNumberFormat="1" applyFont="1" applyFill="1" applyBorder="1" applyAlignment="1" applyProtection="1">
      <alignment horizontal="right"/>
      <protection locked="0"/>
    </xf>
    <xf numFmtId="166" fontId="58" fillId="28" borderId="0" xfId="0" applyNumberFormat="1" applyFont="1" applyFill="1" applyBorder="1" applyProtection="1">
      <protection locked="0"/>
    </xf>
    <xf numFmtId="1" fontId="58" fillId="27" borderId="5" xfId="0" applyNumberFormat="1" applyFont="1" applyFill="1" applyBorder="1" applyProtection="1">
      <protection locked="0"/>
    </xf>
    <xf numFmtId="0" fontId="58" fillId="28" borderId="0" xfId="0" applyFont="1" applyFill="1" applyBorder="1" applyProtection="1">
      <protection locked="0"/>
    </xf>
    <xf numFmtId="2" fontId="58" fillId="27" borderId="5" xfId="0" applyNumberFormat="1" applyFont="1" applyFill="1" applyBorder="1" applyProtection="1">
      <protection locked="0"/>
    </xf>
    <xf numFmtId="168" fontId="58" fillId="28" borderId="0" xfId="0" applyNumberFormat="1" applyFont="1" applyFill="1" applyBorder="1" applyProtection="1">
      <protection locked="0"/>
    </xf>
    <xf numFmtId="0" fontId="57" fillId="28" borderId="0" xfId="0" applyFont="1" applyFill="1" applyBorder="1" applyProtection="1">
      <protection locked="0"/>
    </xf>
    <xf numFmtId="0" fontId="57" fillId="27" borderId="0" xfId="0" applyFont="1" applyFill="1" applyProtection="1">
      <protection locked="0"/>
    </xf>
    <xf numFmtId="2" fontId="58" fillId="28" borderId="0" xfId="0" applyNumberFormat="1" applyFont="1" applyFill="1" applyBorder="1" applyProtection="1">
      <protection locked="0"/>
    </xf>
    <xf numFmtId="0" fontId="1" fillId="29" borderId="0" xfId="0" applyFont="1" applyFill="1" applyBorder="1" applyAlignment="1" applyProtection="1">
      <alignment horizontal="left"/>
      <protection locked="0"/>
    </xf>
    <xf numFmtId="169" fontId="1" fillId="29" borderId="108" xfId="102" quotePrefix="1" applyNumberFormat="1" applyFont="1" applyFill="1" applyBorder="1" applyProtection="1">
      <protection locked="0"/>
    </xf>
    <xf numFmtId="0" fontId="7" fillId="27" borderId="0" xfId="0" applyFont="1" applyFill="1" applyBorder="1" applyAlignment="1" applyProtection="1">
      <alignment horizontal="center"/>
      <protection locked="0"/>
    </xf>
    <xf numFmtId="2" fontId="7" fillId="27" borderId="0" xfId="0" applyNumberFormat="1" applyFont="1" applyFill="1" applyBorder="1" applyProtection="1">
      <protection locked="0"/>
    </xf>
    <xf numFmtId="170" fontId="59" fillId="27" borderId="0" xfId="0" applyNumberFormat="1" applyFont="1" applyFill="1" applyBorder="1" applyProtection="1">
      <protection locked="0"/>
    </xf>
    <xf numFmtId="174" fontId="59" fillId="27" borderId="5" xfId="0" applyNumberFormat="1" applyFont="1" applyFill="1" applyBorder="1" applyProtection="1">
      <protection locked="0"/>
    </xf>
    <xf numFmtId="0" fontId="0" fillId="29" borderId="0" xfId="0" applyFill="1" applyProtection="1">
      <protection locked="0"/>
    </xf>
    <xf numFmtId="166" fontId="0" fillId="29" borderId="0" xfId="0" applyNumberFormat="1" applyFill="1" applyBorder="1" applyProtection="1">
      <protection locked="0"/>
    </xf>
    <xf numFmtId="175" fontId="0" fillId="29" borderId="0" xfId="0" applyNumberFormat="1" applyFill="1" applyBorder="1" applyProtection="1">
      <protection locked="0"/>
    </xf>
    <xf numFmtId="0" fontId="0" fillId="29" borderId="0" xfId="0" applyFill="1" applyBorder="1" applyAlignment="1" applyProtection="1">
      <alignment horizontal="left"/>
      <protection locked="0"/>
    </xf>
    <xf numFmtId="166" fontId="5" fillId="28" borderId="0" xfId="0" applyNumberFormat="1" applyFont="1" applyFill="1" applyBorder="1" applyAlignment="1" applyProtection="1">
      <alignment horizontal="right"/>
      <protection locked="0"/>
    </xf>
    <xf numFmtId="169" fontId="1" fillId="29" borderId="87" xfId="102" applyNumberFormat="1" applyFont="1" applyFill="1" applyBorder="1" applyAlignment="1" applyProtection="1">
      <alignment horizontal="right"/>
      <protection locked="0"/>
    </xf>
    <xf numFmtId="0" fontId="0" fillId="28" borderId="0" xfId="0" applyFill="1" applyBorder="1" applyAlignment="1" applyProtection="1">
      <alignment wrapText="1"/>
      <protection locked="0"/>
    </xf>
    <xf numFmtId="0" fontId="59" fillId="27" borderId="0" xfId="0" applyFont="1" applyFill="1" applyBorder="1" applyAlignment="1" applyProtection="1">
      <alignment horizontal="left"/>
      <protection locked="0"/>
    </xf>
    <xf numFmtId="167" fontId="0" fillId="29" borderId="0" xfId="0" applyNumberFormat="1" applyFill="1" applyBorder="1" applyProtection="1">
      <protection locked="0"/>
    </xf>
    <xf numFmtId="0" fontId="7" fillId="28" borderId="12" xfId="0" applyFont="1" applyFill="1" applyBorder="1" applyProtection="1">
      <protection locked="0"/>
    </xf>
    <xf numFmtId="0" fontId="5" fillId="28" borderId="112" xfId="0" applyFont="1" applyFill="1" applyBorder="1" applyAlignment="1" applyProtection="1">
      <alignment horizontal="center"/>
      <protection locked="0"/>
    </xf>
    <xf numFmtId="166" fontId="0" fillId="28" borderId="12" xfId="0" applyNumberFormat="1" applyFill="1" applyBorder="1" applyProtection="1">
      <protection locked="0"/>
    </xf>
    <xf numFmtId="167" fontId="0" fillId="0" borderId="0" xfId="0" applyNumberFormat="1" applyFill="1" applyBorder="1" applyProtection="1">
      <protection locked="0"/>
    </xf>
    <xf numFmtId="0" fontId="31" fillId="34" borderId="112" xfId="0" applyFont="1" applyFill="1" applyBorder="1" applyAlignment="1" applyProtection="1">
      <alignment horizontal="center"/>
      <protection locked="0"/>
    </xf>
    <xf numFmtId="0" fontId="1" fillId="29" borderId="16" xfId="0" applyFont="1" applyFill="1" applyBorder="1" applyProtection="1">
      <protection locked="0"/>
    </xf>
    <xf numFmtId="9" fontId="7" fillId="28" borderId="0" xfId="0" applyNumberFormat="1" applyFont="1" applyFill="1" applyBorder="1" applyAlignment="1" applyProtection="1">
      <alignment horizontal="center"/>
      <protection locked="0"/>
    </xf>
    <xf numFmtId="9" fontId="29" fillId="34" borderId="0" xfId="0" applyNumberFormat="1" applyFont="1" applyFill="1" applyBorder="1" applyProtection="1">
      <protection locked="0"/>
    </xf>
    <xf numFmtId="9" fontId="29" fillId="34" borderId="0" xfId="0" applyNumberFormat="1" applyFont="1" applyFill="1" applyBorder="1" applyAlignment="1" applyProtection="1">
      <alignment horizontal="center"/>
      <protection locked="0"/>
    </xf>
    <xf numFmtId="0" fontId="28" fillId="25" borderId="11" xfId="0" applyFont="1" applyFill="1" applyBorder="1" applyProtection="1">
      <protection locked="0"/>
    </xf>
    <xf numFmtId="1" fontId="58" fillId="27" borderId="0" xfId="0" applyNumberFormat="1" applyFont="1" applyFill="1" applyBorder="1" applyProtection="1">
      <protection locked="0"/>
    </xf>
    <xf numFmtId="165" fontId="0" fillId="0" borderId="0" xfId="0" applyNumberFormat="1" applyFill="1" applyBorder="1" applyProtection="1">
      <protection locked="0"/>
    </xf>
    <xf numFmtId="169" fontId="58" fillId="27" borderId="5" xfId="0" applyNumberFormat="1" applyFont="1" applyFill="1" applyBorder="1" applyAlignment="1" applyProtection="1">
      <alignment horizontal="right"/>
      <protection locked="0"/>
    </xf>
    <xf numFmtId="174" fontId="0" fillId="28" borderId="87" xfId="0" applyNumberFormat="1" applyFill="1" applyBorder="1" applyProtection="1">
      <protection locked="0"/>
    </xf>
    <xf numFmtId="178" fontId="1" fillId="28" borderId="87" xfId="0" applyNumberFormat="1" applyFont="1" applyFill="1" applyBorder="1" applyProtection="1">
      <protection locked="0"/>
    </xf>
    <xf numFmtId="174" fontId="58" fillId="27" borderId="5" xfId="0" applyNumberFormat="1" applyFont="1" applyFill="1" applyBorder="1" applyProtection="1">
      <protection locked="0"/>
    </xf>
    <xf numFmtId="0" fontId="0" fillId="28" borderId="108" xfId="0" applyFill="1" applyBorder="1" applyProtection="1">
      <protection locked="0"/>
    </xf>
    <xf numFmtId="0" fontId="0" fillId="28" borderId="16" xfId="0" quotePrefix="1" applyFill="1" applyBorder="1" applyProtection="1">
      <protection locked="0"/>
    </xf>
    <xf numFmtId="0" fontId="7" fillId="28" borderId="16" xfId="0" applyFont="1" applyFill="1" applyBorder="1" applyProtection="1">
      <protection locked="0"/>
    </xf>
    <xf numFmtId="0" fontId="0" fillId="28" borderId="16" xfId="0" applyFill="1" applyBorder="1" applyProtection="1">
      <protection locked="0"/>
    </xf>
    <xf numFmtId="0" fontId="0" fillId="28" borderId="18" xfId="0" applyFill="1" applyBorder="1" applyProtection="1">
      <protection locked="0"/>
    </xf>
    <xf numFmtId="176" fontId="0" fillId="29" borderId="0" xfId="0" applyNumberFormat="1" applyFill="1" applyBorder="1" applyProtection="1">
      <protection locked="0"/>
    </xf>
    <xf numFmtId="0" fontId="60" fillId="34" borderId="16" xfId="0" applyFont="1" applyFill="1" applyBorder="1" applyProtection="1">
      <protection locked="0"/>
    </xf>
    <xf numFmtId="167" fontId="58" fillId="0" borderId="0" xfId="0" applyNumberFormat="1" applyFont="1" applyFill="1" applyBorder="1" applyProtection="1">
      <protection locked="0"/>
    </xf>
    <xf numFmtId="168" fontId="58" fillId="0" borderId="0" xfId="0" applyNumberFormat="1" applyFont="1" applyFill="1" applyBorder="1" applyProtection="1">
      <protection locked="0"/>
    </xf>
    <xf numFmtId="0" fontId="28" fillId="25" borderId="114" xfId="0" applyFont="1" applyFill="1" applyBorder="1" applyProtection="1">
      <protection locked="0"/>
    </xf>
    <xf numFmtId="170" fontId="0" fillId="28" borderId="0" xfId="0" applyNumberFormat="1" applyFill="1" applyBorder="1" applyProtection="1">
      <protection locked="0"/>
    </xf>
    <xf numFmtId="0" fontId="0" fillId="28" borderId="0" xfId="0" applyFill="1" applyBorder="1" applyAlignment="1" applyProtection="1">
      <alignment horizontal="left" indent="1"/>
      <protection locked="0"/>
    </xf>
    <xf numFmtId="168" fontId="7" fillId="28" borderId="0" xfId="0" applyNumberFormat="1" applyFont="1" applyFill="1" applyBorder="1" applyProtection="1">
      <protection locked="0"/>
    </xf>
    <xf numFmtId="2" fontId="7" fillId="27" borderId="0" xfId="0" applyNumberFormat="1" applyFont="1" applyFill="1" applyBorder="1" applyAlignment="1" applyProtection="1">
      <alignment horizontal="left" vertical="center"/>
      <protection locked="0"/>
    </xf>
    <xf numFmtId="0" fontId="7" fillId="0" borderId="0" xfId="0" applyFont="1" applyBorder="1" applyAlignment="1" applyProtection="1">
      <alignment horizontal="left"/>
      <protection locked="0"/>
    </xf>
    <xf numFmtId="0" fontId="56" fillId="35" borderId="109" xfId="0" applyFont="1" applyFill="1" applyBorder="1" applyProtection="1">
      <protection locked="0"/>
    </xf>
    <xf numFmtId="166" fontId="55" fillId="35" borderId="12" xfId="0" applyNumberFormat="1" applyFont="1" applyFill="1" applyBorder="1" applyAlignment="1" applyProtection="1">
      <alignment horizontal="center"/>
      <protection locked="0"/>
    </xf>
    <xf numFmtId="1" fontId="55" fillId="35" borderId="12" xfId="0" applyNumberFormat="1" applyFont="1" applyFill="1" applyBorder="1" applyAlignment="1" applyProtection="1">
      <alignment horizontal="center"/>
      <protection locked="0"/>
    </xf>
    <xf numFmtId="0" fontId="28" fillId="25" borderId="108" xfId="0" applyFont="1" applyFill="1" applyBorder="1" applyProtection="1">
      <protection locked="0"/>
    </xf>
    <xf numFmtId="0" fontId="28" fillId="25" borderId="109" xfId="0" applyFont="1" applyFill="1" applyBorder="1" applyProtection="1">
      <protection locked="0"/>
    </xf>
    <xf numFmtId="0" fontId="0" fillId="29" borderId="0" xfId="0" applyFill="1" applyAlignment="1" applyProtection="1">
      <alignment vertical="center"/>
      <protection locked="0"/>
    </xf>
    <xf numFmtId="0" fontId="0" fillId="0" borderId="0" xfId="0" applyFill="1" applyAlignment="1" applyProtection="1">
      <alignment vertical="center"/>
      <protection locked="0"/>
    </xf>
    <xf numFmtId="0" fontId="0" fillId="0" borderId="0" xfId="0" applyAlignment="1" applyProtection="1">
      <alignment vertical="center"/>
      <protection locked="0"/>
    </xf>
    <xf numFmtId="0" fontId="30" fillId="25" borderId="121" xfId="0" applyFont="1" applyFill="1" applyBorder="1" applyAlignment="1" applyProtection="1">
      <alignment horizontal="left" vertical="center"/>
      <protection locked="0"/>
    </xf>
    <xf numFmtId="0" fontId="30" fillId="25" borderId="122" xfId="0" applyFont="1" applyFill="1" applyBorder="1" applyAlignment="1" applyProtection="1">
      <alignment horizontal="left" vertical="center"/>
      <protection locked="0"/>
    </xf>
    <xf numFmtId="0" fontId="30" fillId="25" borderId="122" xfId="0" applyFont="1" applyFill="1" applyBorder="1" applyAlignment="1" applyProtection="1">
      <alignment vertical="center"/>
      <protection locked="0"/>
    </xf>
    <xf numFmtId="0" fontId="29" fillId="25" borderId="122" xfId="0" applyFont="1" applyFill="1" applyBorder="1" applyAlignment="1" applyProtection="1">
      <alignment vertical="center"/>
      <protection locked="0"/>
    </xf>
    <xf numFmtId="0" fontId="31" fillId="25" borderId="122" xfId="0" applyFont="1" applyFill="1" applyBorder="1" applyAlignment="1" applyProtection="1">
      <alignment horizontal="right" vertical="center"/>
      <protection locked="0"/>
    </xf>
    <xf numFmtId="0" fontId="0" fillId="25" borderId="122" xfId="0" applyFill="1" applyBorder="1" applyAlignment="1" applyProtection="1">
      <alignment vertical="center"/>
      <protection locked="0"/>
    </xf>
    <xf numFmtId="0" fontId="28" fillId="25" borderId="122" xfId="0" applyFont="1" applyFill="1" applyBorder="1" applyAlignment="1" applyProtection="1">
      <alignment horizontal="right" vertical="center"/>
      <protection locked="0"/>
    </xf>
    <xf numFmtId="0" fontId="30" fillId="25" borderId="0" xfId="0" applyFont="1" applyFill="1" applyBorder="1" applyAlignment="1" applyProtection="1">
      <alignment horizontal="left" vertical="center"/>
      <protection locked="0"/>
    </xf>
    <xf numFmtId="0" fontId="30" fillId="25" borderId="0" xfId="0" applyFont="1" applyFill="1" applyBorder="1" applyAlignment="1" applyProtection="1">
      <alignment horizontal="right" vertical="center"/>
      <protection locked="0"/>
    </xf>
    <xf numFmtId="0" fontId="0" fillId="0" borderId="0" xfId="0" applyFill="1" applyAlignment="1" applyProtection="1">
      <protection locked="0"/>
    </xf>
    <xf numFmtId="0" fontId="0" fillId="0" borderId="0" xfId="0" applyFill="1" applyBorder="1" applyAlignment="1" applyProtection="1">
      <alignment vertical="center"/>
      <protection locked="0"/>
    </xf>
    <xf numFmtId="0" fontId="7" fillId="28" borderId="123" xfId="0" applyFont="1" applyFill="1" applyBorder="1" applyAlignment="1" applyProtection="1">
      <alignment horizontal="left"/>
      <protection locked="0"/>
    </xf>
    <xf numFmtId="0" fontId="94" fillId="28" borderId="0" xfId="0" applyFont="1" applyFill="1" applyBorder="1" applyAlignment="1" applyProtection="1">
      <protection locked="0"/>
    </xf>
    <xf numFmtId="0" fontId="0" fillId="28" borderId="0" xfId="0" applyFill="1" applyBorder="1" applyAlignment="1" applyProtection="1">
      <protection locked="0"/>
    </xf>
    <xf numFmtId="0" fontId="0" fillId="28" borderId="124" xfId="0" applyFill="1" applyBorder="1" applyAlignment="1" applyProtection="1">
      <protection locked="0"/>
    </xf>
    <xf numFmtId="0" fontId="0" fillId="28" borderId="123" xfId="0" applyFill="1" applyBorder="1" applyAlignment="1" applyProtection="1">
      <alignment vertical="center"/>
      <protection locked="0"/>
    </xf>
    <xf numFmtId="0" fontId="0" fillId="28" borderId="0" xfId="0" applyFill="1" applyBorder="1" applyAlignment="1" applyProtection="1">
      <alignment vertical="center"/>
      <protection locked="0"/>
    </xf>
    <xf numFmtId="0" fontId="94" fillId="28" borderId="0" xfId="0" applyFont="1" applyFill="1" applyBorder="1" applyAlignment="1" applyProtection="1">
      <alignment vertical="center"/>
      <protection locked="0"/>
    </xf>
    <xf numFmtId="0" fontId="8" fillId="28" borderId="0" xfId="80" applyFill="1" applyBorder="1" applyAlignment="1" applyProtection="1">
      <alignment vertical="center"/>
      <protection locked="0"/>
    </xf>
    <xf numFmtId="0" fontId="7" fillId="28" borderId="123" xfId="0" applyFont="1" applyFill="1" applyBorder="1" applyAlignment="1" applyProtection="1">
      <alignment vertical="center"/>
      <protection locked="0"/>
    </xf>
    <xf numFmtId="0" fontId="0" fillId="28" borderId="124" xfId="0" applyFill="1" applyBorder="1" applyAlignment="1" applyProtection="1">
      <alignment vertical="center"/>
      <protection locked="0"/>
    </xf>
    <xf numFmtId="0" fontId="8" fillId="0" borderId="0" xfId="80" applyFill="1" applyAlignment="1" applyProtection="1">
      <alignment vertical="center"/>
      <protection locked="0"/>
    </xf>
    <xf numFmtId="0" fontId="84" fillId="28" borderId="123" xfId="0" applyFont="1" applyFill="1" applyBorder="1" applyAlignment="1" applyProtection="1">
      <alignment horizontal="left" vertical="center"/>
      <protection locked="0"/>
    </xf>
    <xf numFmtId="0" fontId="7" fillId="28" borderId="0" xfId="0" quotePrefix="1" applyFont="1" applyFill="1" applyBorder="1" applyAlignment="1" applyProtection="1">
      <alignment horizontal="left" vertical="center" wrapText="1"/>
      <protection locked="0"/>
    </xf>
    <xf numFmtId="0" fontId="7" fillId="28" borderId="0" xfId="0" quotePrefix="1" applyFont="1" applyFill="1" applyBorder="1" applyAlignment="1" applyProtection="1">
      <alignment vertical="center" wrapText="1"/>
      <protection locked="0"/>
    </xf>
    <xf numFmtId="0" fontId="7" fillId="0" borderId="0" xfId="0" quotePrefix="1" applyFont="1" applyFill="1" applyAlignment="1" applyProtection="1">
      <alignment vertical="center" wrapText="1"/>
      <protection locked="0"/>
    </xf>
    <xf numFmtId="0" fontId="8" fillId="28" borderId="125" xfId="80" applyFill="1" applyBorder="1" applyAlignment="1" applyProtection="1">
      <alignment vertical="center"/>
      <protection locked="0"/>
    </xf>
    <xf numFmtId="0" fontId="0" fillId="28" borderId="126" xfId="0" applyFill="1" applyBorder="1" applyAlignment="1" applyProtection="1">
      <alignment vertical="center"/>
      <protection locked="0"/>
    </xf>
    <xf numFmtId="0" fontId="30" fillId="0" borderId="0" xfId="0" applyFont="1" applyFill="1" applyBorder="1" applyAlignment="1" applyProtection="1">
      <alignment horizontal="left" vertical="center"/>
      <protection locked="0"/>
    </xf>
    <xf numFmtId="0" fontId="30" fillId="0" borderId="0" xfId="0" applyFont="1" applyFill="1" applyBorder="1" applyAlignment="1" applyProtection="1">
      <alignment horizontal="center" vertical="center"/>
      <protection locked="0"/>
    </xf>
    <xf numFmtId="0" fontId="30" fillId="0" borderId="0" xfId="0" applyFont="1" applyFill="1" applyBorder="1" applyAlignment="1" applyProtection="1">
      <alignment vertical="center"/>
      <protection locked="0"/>
    </xf>
    <xf numFmtId="0" fontId="29" fillId="0" borderId="0" xfId="0" applyFont="1" applyFill="1" applyBorder="1" applyAlignment="1" applyProtection="1">
      <alignment vertical="center"/>
      <protection locked="0"/>
    </xf>
    <xf numFmtId="0" fontId="31" fillId="0" borderId="0" xfId="0" applyFont="1" applyFill="1" applyBorder="1" applyAlignment="1" applyProtection="1">
      <alignment horizontal="right" vertical="center"/>
      <protection locked="0"/>
    </xf>
    <xf numFmtId="0" fontId="28" fillId="0" borderId="0" xfId="0" applyFont="1" applyFill="1" applyBorder="1" applyAlignment="1" applyProtection="1">
      <alignment horizontal="right" vertical="center"/>
      <protection locked="0"/>
    </xf>
    <xf numFmtId="0" fontId="100" fillId="36" borderId="127" xfId="0" applyFont="1" applyFill="1" applyBorder="1" applyAlignment="1" applyProtection="1">
      <alignment vertical="center"/>
      <protection locked="0"/>
    </xf>
    <xf numFmtId="0" fontId="100" fillId="36" borderId="128" xfId="0" applyFont="1" applyFill="1" applyBorder="1" applyAlignment="1" applyProtection="1">
      <alignment vertical="center"/>
      <protection locked="0"/>
    </xf>
    <xf numFmtId="0" fontId="0" fillId="36" borderId="128" xfId="0" applyFill="1" applyBorder="1" applyAlignment="1" applyProtection="1">
      <alignment vertical="center"/>
      <protection locked="0"/>
    </xf>
    <xf numFmtId="0" fontId="90" fillId="36" borderId="128" xfId="0" applyFont="1" applyFill="1" applyBorder="1" applyAlignment="1" applyProtection="1">
      <alignment vertical="center"/>
      <protection locked="0"/>
    </xf>
    <xf numFmtId="2" fontId="84" fillId="36" borderId="129" xfId="0" applyNumberFormat="1" applyFont="1" applyFill="1" applyBorder="1" applyAlignment="1" applyProtection="1">
      <alignment vertical="center"/>
      <protection locked="0"/>
    </xf>
    <xf numFmtId="0" fontId="29" fillId="0" borderId="0" xfId="0" applyFont="1" applyFill="1" applyAlignment="1" applyProtection="1">
      <alignment vertical="center"/>
      <protection locked="0"/>
    </xf>
    <xf numFmtId="0" fontId="29" fillId="0" borderId="0" xfId="0" applyFont="1" applyFill="1" applyProtection="1">
      <protection locked="0"/>
    </xf>
    <xf numFmtId="0" fontId="45" fillId="28" borderId="121" xfId="0" applyFont="1" applyFill="1" applyBorder="1" applyAlignment="1" applyProtection="1">
      <alignment vertical="center"/>
      <protection locked="0"/>
    </xf>
    <xf numFmtId="0" fontId="7" fillId="28" borderId="122" xfId="0" applyFont="1" applyFill="1" applyBorder="1" applyAlignment="1" applyProtection="1">
      <alignment vertical="center"/>
      <protection locked="0"/>
    </xf>
    <xf numFmtId="0" fontId="29" fillId="28" borderId="122" xfId="0" applyFont="1" applyFill="1" applyBorder="1" applyAlignment="1" applyProtection="1">
      <alignment vertical="center"/>
      <protection locked="0"/>
    </xf>
    <xf numFmtId="0" fontId="29" fillId="28" borderId="130" xfId="0" applyFont="1" applyFill="1" applyBorder="1" applyAlignment="1" applyProtection="1">
      <alignment vertical="center"/>
      <protection locked="0"/>
    </xf>
    <xf numFmtId="0" fontId="97" fillId="28" borderId="123" xfId="0" applyFont="1" applyFill="1" applyBorder="1" applyAlignment="1" applyProtection="1">
      <alignment vertical="center"/>
      <protection locked="0"/>
    </xf>
    <xf numFmtId="0" fontId="7" fillId="28" borderId="0" xfId="0" applyFont="1" applyFill="1" applyBorder="1" applyAlignment="1" applyProtection="1">
      <alignment vertical="center"/>
      <protection locked="0"/>
    </xf>
    <xf numFmtId="0" fontId="7" fillId="28" borderId="0" xfId="0" applyFont="1" applyFill="1" applyBorder="1" applyAlignment="1" applyProtection="1">
      <alignment horizontal="left" vertical="center"/>
      <protection locked="0"/>
    </xf>
    <xf numFmtId="0" fontId="29" fillId="28" borderId="0" xfId="0" applyFont="1" applyFill="1" applyBorder="1" applyAlignment="1" applyProtection="1">
      <alignment vertical="center"/>
      <protection locked="0"/>
    </xf>
    <xf numFmtId="0" fontId="29" fillId="28" borderId="0" xfId="0" applyFont="1" applyFill="1" applyProtection="1">
      <protection locked="0"/>
    </xf>
    <xf numFmtId="0" fontId="29" fillId="28" borderId="124" xfId="0" applyFont="1" applyFill="1" applyBorder="1" applyAlignment="1" applyProtection="1">
      <alignment vertical="center"/>
      <protection locked="0"/>
    </xf>
    <xf numFmtId="0" fontId="5" fillId="37" borderId="121" xfId="0" applyFont="1" applyFill="1" applyBorder="1" applyAlignment="1" applyProtection="1">
      <alignment horizontal="left" vertical="center"/>
      <protection locked="0"/>
    </xf>
    <xf numFmtId="0" fontId="5" fillId="37" borderId="122" xfId="0" applyFont="1" applyFill="1" applyBorder="1" applyAlignment="1" applyProtection="1">
      <alignment horizontal="center" vertical="center"/>
      <protection locked="0"/>
    </xf>
    <xf numFmtId="0" fontId="5" fillId="37" borderId="130" xfId="0" applyFont="1" applyFill="1" applyBorder="1" applyAlignment="1" applyProtection="1">
      <alignment horizontal="center" vertical="center"/>
      <protection locked="0"/>
    </xf>
    <xf numFmtId="0" fontId="97" fillId="28" borderId="123" xfId="0" applyFont="1" applyFill="1" applyBorder="1" applyAlignment="1" applyProtection="1">
      <alignment horizontal="left" vertical="center" wrapText="1"/>
      <protection locked="0"/>
    </xf>
    <xf numFmtId="0" fontId="7" fillId="28" borderId="0" xfId="0" applyFont="1" applyFill="1" applyBorder="1" applyAlignment="1" applyProtection="1">
      <alignment horizontal="right" vertical="center" wrapText="1"/>
      <protection locked="0"/>
    </xf>
    <xf numFmtId="1" fontId="90" fillId="0" borderId="131" xfId="0" applyNumberFormat="1" applyFont="1" applyFill="1" applyBorder="1" applyAlignment="1" applyProtection="1">
      <alignment horizontal="center" vertical="center"/>
      <protection locked="0"/>
    </xf>
    <xf numFmtId="0" fontId="95" fillId="28" borderId="0" xfId="0" applyFont="1" applyFill="1" applyBorder="1" applyAlignment="1" applyProtection="1">
      <alignment horizontal="left" vertical="center" wrapText="1" indent="1"/>
      <protection locked="0"/>
    </xf>
    <xf numFmtId="0" fontId="77" fillId="28" borderId="0" xfId="0" applyFont="1" applyFill="1" applyBorder="1" applyAlignment="1" applyProtection="1">
      <alignment vertical="center" wrapText="1"/>
      <protection locked="0"/>
    </xf>
    <xf numFmtId="0" fontId="7" fillId="37" borderId="121" xfId="0" applyFont="1" applyFill="1" applyBorder="1" applyAlignment="1" applyProtection="1">
      <alignment horizontal="left" vertical="center"/>
      <protection locked="0"/>
    </xf>
    <xf numFmtId="0" fontId="7" fillId="37" borderId="130" xfId="0" applyFont="1" applyFill="1" applyBorder="1" applyAlignment="1" applyProtection="1">
      <alignment horizontal="center" vertical="center" wrapText="1"/>
      <protection locked="0"/>
    </xf>
    <xf numFmtId="0" fontId="77" fillId="28" borderId="124" xfId="0" applyFont="1" applyFill="1" applyBorder="1" applyAlignment="1" applyProtection="1">
      <alignment vertical="center" wrapText="1"/>
      <protection locked="0"/>
    </xf>
    <xf numFmtId="0" fontId="29" fillId="0" borderId="0" xfId="0" applyFont="1" applyFill="1" applyBorder="1" applyAlignment="1" applyProtection="1">
      <alignment vertical="center" wrapText="1"/>
      <protection locked="0"/>
    </xf>
    <xf numFmtId="0" fontId="7" fillId="28" borderId="123" xfId="0" applyFont="1" applyFill="1" applyBorder="1" applyAlignment="1" applyProtection="1">
      <alignment horizontal="center" vertical="center"/>
      <protection locked="0"/>
    </xf>
    <xf numFmtId="0" fontId="7" fillId="28" borderId="0" xfId="0" applyFont="1" applyFill="1" applyBorder="1" applyAlignment="1" applyProtection="1">
      <alignment horizontal="center" vertical="center"/>
      <protection locked="0"/>
    </xf>
    <xf numFmtId="0" fontId="7" fillId="29" borderId="0" xfId="0" applyFont="1" applyFill="1" applyBorder="1" applyAlignment="1" applyProtection="1">
      <alignment horizontal="center" vertical="center"/>
      <protection locked="0"/>
    </xf>
    <xf numFmtId="0" fontId="7" fillId="29" borderId="124" xfId="0" applyFont="1" applyFill="1" applyBorder="1" applyAlignment="1" applyProtection="1">
      <alignment horizontal="center" vertical="center"/>
      <protection locked="0"/>
    </xf>
    <xf numFmtId="0" fontId="7" fillId="0" borderId="0" xfId="0" applyFont="1" applyFill="1" applyAlignment="1" applyProtection="1">
      <alignment vertical="center" wrapText="1"/>
      <protection locked="0"/>
    </xf>
    <xf numFmtId="0" fontId="7" fillId="0" borderId="0" xfId="0" applyFont="1" applyFill="1" applyAlignment="1" applyProtection="1">
      <alignment wrapText="1"/>
      <protection locked="0"/>
    </xf>
    <xf numFmtId="0" fontId="7" fillId="28" borderId="123" xfId="0" applyFont="1" applyFill="1" applyBorder="1" applyAlignment="1" applyProtection="1">
      <alignment horizontal="right" vertical="center"/>
      <protection locked="0"/>
    </xf>
    <xf numFmtId="0" fontId="7" fillId="28" borderId="0" xfId="0" applyFont="1" applyFill="1" applyBorder="1" applyAlignment="1" applyProtection="1">
      <alignment horizontal="right" vertical="center"/>
      <protection locked="0"/>
    </xf>
    <xf numFmtId="3" fontId="90" fillId="0" borderId="132" xfId="0" applyNumberFormat="1" applyFont="1" applyFill="1" applyBorder="1" applyAlignment="1" applyProtection="1">
      <alignment horizontal="center" vertical="center"/>
      <protection locked="0"/>
    </xf>
    <xf numFmtId="0" fontId="7" fillId="28" borderId="0" xfId="0" applyFont="1" applyFill="1" applyBorder="1" applyAlignment="1" applyProtection="1">
      <alignment horizontal="left" vertical="center" indent="1"/>
      <protection locked="0"/>
    </xf>
    <xf numFmtId="0" fontId="96" fillId="28" borderId="0" xfId="0" applyFont="1" applyFill="1" applyBorder="1" applyAlignment="1" applyProtection="1">
      <alignment vertical="center" wrapText="1"/>
      <protection locked="0"/>
    </xf>
    <xf numFmtId="0" fontId="7" fillId="37" borderId="123" xfId="0" applyFont="1" applyFill="1" applyBorder="1" applyAlignment="1" applyProtection="1">
      <alignment horizontal="center" vertical="center" wrapText="1"/>
      <protection locked="0"/>
    </xf>
    <xf numFmtId="0" fontId="7" fillId="37" borderId="124" xfId="0" applyFont="1" applyFill="1" applyBorder="1" applyAlignment="1" applyProtection="1">
      <alignment horizontal="center" vertical="center" wrapText="1"/>
      <protection locked="0"/>
    </xf>
    <xf numFmtId="0" fontId="96" fillId="28" borderId="124" xfId="0" applyFont="1" applyFill="1" applyBorder="1" applyAlignment="1" applyProtection="1">
      <alignment vertical="center" wrapText="1"/>
      <protection locked="0"/>
    </xf>
    <xf numFmtId="0" fontId="96" fillId="0" borderId="0" xfId="0" applyFont="1" applyFill="1" applyBorder="1" applyAlignment="1" applyProtection="1">
      <alignment vertical="center" wrapText="1"/>
      <protection locked="0"/>
    </xf>
    <xf numFmtId="0" fontId="7" fillId="33" borderId="133" xfId="0" applyFont="1" applyFill="1" applyBorder="1" applyAlignment="1" applyProtection="1">
      <alignment vertical="center"/>
      <protection locked="0"/>
    </xf>
    <xf numFmtId="0" fontId="7" fillId="33" borderId="134" xfId="0" applyFont="1" applyFill="1" applyBorder="1" applyAlignment="1" applyProtection="1">
      <alignment vertical="center"/>
      <protection locked="0"/>
    </xf>
    <xf numFmtId="0" fontId="7" fillId="33" borderId="135" xfId="0" applyFont="1" applyFill="1" applyBorder="1" applyAlignment="1" applyProtection="1">
      <alignment vertical="center"/>
      <protection locked="0"/>
    </xf>
    <xf numFmtId="0" fontId="7" fillId="0" borderId="0" xfId="0" applyFont="1" applyFill="1" applyAlignment="1" applyProtection="1">
      <alignment vertical="center"/>
      <protection locked="0"/>
    </xf>
    <xf numFmtId="169" fontId="90" fillId="0" borderId="132" xfId="0" applyNumberFormat="1" applyFont="1" applyFill="1" applyBorder="1" applyAlignment="1" applyProtection="1">
      <alignment horizontal="center" vertical="center" wrapText="1"/>
      <protection locked="0"/>
    </xf>
    <xf numFmtId="0" fontId="96" fillId="28" borderId="0" xfId="0" applyFont="1" applyFill="1" applyBorder="1" applyAlignment="1" applyProtection="1">
      <alignment horizontal="left" vertical="center" indent="1"/>
      <protection locked="0"/>
    </xf>
    <xf numFmtId="0" fontId="7" fillId="37" borderId="123" xfId="0" applyFont="1" applyFill="1" applyBorder="1" applyAlignment="1" applyProtection="1">
      <alignment horizontal="center" vertical="center"/>
      <protection locked="0"/>
    </xf>
    <xf numFmtId="0" fontId="7" fillId="37" borderId="124" xfId="0" applyFont="1" applyFill="1" applyBorder="1" applyAlignment="1" applyProtection="1">
      <alignment horizontal="center" vertical="center"/>
      <protection locked="0"/>
    </xf>
    <xf numFmtId="1" fontId="7" fillId="28" borderId="136" xfId="0" applyNumberFormat="1" applyFont="1" applyFill="1" applyBorder="1" applyAlignment="1" applyProtection="1">
      <alignment horizontal="center" vertical="center"/>
      <protection locked="0"/>
    </xf>
    <xf numFmtId="0" fontId="7" fillId="28" borderId="124" xfId="0" applyFont="1" applyFill="1" applyBorder="1" applyAlignment="1" applyProtection="1">
      <alignment vertical="center"/>
      <protection locked="0"/>
    </xf>
    <xf numFmtId="0" fontId="7" fillId="37" borderId="133" xfId="0" applyFont="1" applyFill="1" applyBorder="1" applyAlignment="1" applyProtection="1">
      <alignment horizontal="center" vertical="center"/>
      <protection locked="0"/>
    </xf>
    <xf numFmtId="0" fontId="7" fillId="37" borderId="135" xfId="0" applyFont="1" applyFill="1" applyBorder="1" applyAlignment="1" applyProtection="1">
      <alignment horizontal="center" vertical="center"/>
      <protection locked="0"/>
    </xf>
    <xf numFmtId="0" fontId="77" fillId="28" borderId="0" xfId="0" applyFont="1" applyFill="1" applyBorder="1" applyAlignment="1" applyProtection="1">
      <alignment vertical="center"/>
      <protection locked="0"/>
    </xf>
    <xf numFmtId="0" fontId="77" fillId="28" borderId="0" xfId="0" applyFont="1" applyFill="1" applyProtection="1">
      <protection locked="0"/>
    </xf>
    <xf numFmtId="0" fontId="77" fillId="28" borderId="124" xfId="0" applyFont="1" applyFill="1" applyBorder="1" applyAlignment="1" applyProtection="1">
      <alignment vertical="center"/>
      <protection locked="0"/>
    </xf>
    <xf numFmtId="0" fontId="77" fillId="0" borderId="0" xfId="0" applyFont="1" applyFill="1" applyAlignment="1" applyProtection="1">
      <alignment vertical="center"/>
      <protection locked="0"/>
    </xf>
    <xf numFmtId="0" fontId="77" fillId="0" borderId="0" xfId="0" applyFont="1" applyFill="1" applyProtection="1">
      <protection locked="0"/>
    </xf>
    <xf numFmtId="0" fontId="7" fillId="28" borderId="123" xfId="0" applyFont="1" applyFill="1" applyBorder="1" applyAlignment="1" applyProtection="1">
      <alignment horizontal="right" vertical="center" wrapText="1"/>
      <protection locked="0"/>
    </xf>
    <xf numFmtId="0" fontId="111" fillId="28" borderId="123" xfId="0" applyFont="1" applyFill="1" applyBorder="1" applyAlignment="1" applyProtection="1">
      <alignment vertical="center" wrapText="1"/>
      <protection locked="0"/>
    </xf>
    <xf numFmtId="0" fontId="111" fillId="28" borderId="0" xfId="0" applyFont="1" applyFill="1" applyBorder="1" applyAlignment="1" applyProtection="1">
      <alignment horizontal="center" vertical="center"/>
      <protection locked="0"/>
    </xf>
    <xf numFmtId="0" fontId="112" fillId="28" borderId="0" xfId="0" applyFont="1" applyFill="1" applyBorder="1" applyAlignment="1" applyProtection="1">
      <alignment vertical="center"/>
      <protection locked="0"/>
    </xf>
    <xf numFmtId="0" fontId="97" fillId="28" borderId="121" xfId="0" applyFont="1" applyFill="1" applyBorder="1" applyAlignment="1" applyProtection="1">
      <alignment horizontal="left" vertical="center"/>
      <protection locked="0"/>
    </xf>
    <xf numFmtId="0" fontId="111" fillId="28" borderId="122" xfId="0" applyFont="1" applyFill="1" applyBorder="1" applyAlignment="1" applyProtection="1">
      <alignment horizontal="center" vertical="center"/>
      <protection locked="0"/>
    </xf>
    <xf numFmtId="0" fontId="112" fillId="28" borderId="122" xfId="0" applyFont="1" applyFill="1" applyBorder="1" applyAlignment="1" applyProtection="1">
      <alignment vertical="center"/>
      <protection locked="0"/>
    </xf>
    <xf numFmtId="0" fontId="77" fillId="28" borderId="130" xfId="0" applyFont="1" applyFill="1" applyBorder="1" applyAlignment="1" applyProtection="1">
      <alignment vertical="center"/>
      <protection locked="0"/>
    </xf>
    <xf numFmtId="1" fontId="90" fillId="0" borderId="131" xfId="0" applyNumberFormat="1" applyFont="1" applyFill="1" applyBorder="1" applyAlignment="1" applyProtection="1">
      <alignment horizontal="left" vertical="center"/>
      <protection locked="0"/>
    </xf>
    <xf numFmtId="0" fontId="29" fillId="0" borderId="0" xfId="0" applyFont="1" applyFill="1" applyAlignment="1" applyProtection="1">
      <alignment horizontal="left" vertical="center"/>
      <protection locked="0"/>
    </xf>
    <xf numFmtId="0" fontId="8" fillId="28" borderId="0" xfId="79" applyFill="1" applyBorder="1" applyAlignment="1" applyProtection="1">
      <alignment vertical="center"/>
      <protection locked="0"/>
    </xf>
    <xf numFmtId="0" fontId="8" fillId="28" borderId="0" xfId="79" applyFont="1" applyFill="1" applyBorder="1" applyAlignment="1" applyProtection="1">
      <alignment vertical="center"/>
      <protection locked="0"/>
    </xf>
    <xf numFmtId="0" fontId="111" fillId="28" borderId="133" xfId="0" applyFont="1" applyFill="1" applyBorder="1" applyAlignment="1" applyProtection="1">
      <alignment vertical="center" wrapText="1"/>
      <protection locked="0"/>
    </xf>
    <xf numFmtId="0" fontId="111" fillId="28" borderId="134" xfId="0" applyFont="1" applyFill="1" applyBorder="1" applyAlignment="1" applyProtection="1">
      <alignment horizontal="center" vertical="center"/>
      <protection locked="0"/>
    </xf>
    <xf numFmtId="0" fontId="7" fillId="28" borderId="134" xfId="0" applyFont="1" applyFill="1" applyBorder="1" applyAlignment="1" applyProtection="1">
      <alignment vertical="center"/>
      <protection locked="0"/>
    </xf>
    <xf numFmtId="0" fontId="8" fillId="28" borderId="134" xfId="79" applyFill="1" applyBorder="1" applyAlignment="1" applyProtection="1">
      <alignment vertical="center"/>
      <protection locked="0"/>
    </xf>
    <xf numFmtId="0" fontId="77" fillId="28" borderId="135" xfId="0" applyFont="1" applyFill="1" applyBorder="1" applyAlignment="1" applyProtection="1">
      <alignment vertical="center"/>
      <protection locked="0"/>
    </xf>
    <xf numFmtId="0" fontId="7" fillId="28" borderId="122" xfId="0" applyFont="1" applyFill="1" applyBorder="1" applyAlignment="1" applyProtection="1">
      <alignment horizontal="right" vertical="center"/>
      <protection locked="0"/>
    </xf>
    <xf numFmtId="0" fontId="90" fillId="28" borderId="122" xfId="0" applyFont="1" applyFill="1" applyBorder="1" applyAlignment="1" applyProtection="1">
      <alignment horizontal="left" vertical="center"/>
      <protection locked="0"/>
    </xf>
    <xf numFmtId="0" fontId="7" fillId="28" borderId="122" xfId="0" applyFont="1" applyFill="1" applyBorder="1" applyAlignment="1" applyProtection="1">
      <alignment horizontal="left" vertical="center" indent="1"/>
      <protection locked="0"/>
    </xf>
    <xf numFmtId="0" fontId="7" fillId="28" borderId="122" xfId="0" applyFont="1" applyFill="1" applyBorder="1" applyAlignment="1" applyProtection="1">
      <alignment horizontal="center" vertical="center"/>
      <protection locked="0"/>
    </xf>
    <xf numFmtId="0" fontId="7" fillId="28" borderId="130" xfId="0" applyFont="1" applyFill="1" applyBorder="1" applyAlignment="1" applyProtection="1">
      <alignment vertical="center"/>
      <protection locked="0"/>
    </xf>
    <xf numFmtId="0" fontId="97" fillId="28" borderId="123" xfId="0" applyFont="1" applyFill="1" applyBorder="1" applyAlignment="1" applyProtection="1">
      <alignment horizontal="left" vertical="center"/>
      <protection locked="0"/>
    </xf>
    <xf numFmtId="0" fontId="97" fillId="28" borderId="123" xfId="0" applyFont="1" applyFill="1" applyBorder="1" applyAlignment="1" applyProtection="1">
      <alignment horizontal="center" vertical="center"/>
      <protection locked="0"/>
    </xf>
    <xf numFmtId="0" fontId="7" fillId="28" borderId="123" xfId="0" applyFont="1" applyFill="1" applyBorder="1" applyAlignment="1" applyProtection="1">
      <alignment horizontal="left" vertical="center"/>
      <protection locked="0"/>
    </xf>
    <xf numFmtId="2" fontId="95" fillId="0" borderId="131" xfId="0" applyNumberFormat="1" applyFont="1" applyFill="1" applyBorder="1" applyAlignment="1" applyProtection="1">
      <alignment horizontal="center" vertical="center"/>
      <protection locked="0"/>
    </xf>
    <xf numFmtId="179" fontId="95" fillId="0" borderId="132" xfId="0" applyNumberFormat="1" applyFont="1" applyFill="1" applyBorder="1" applyAlignment="1" applyProtection="1">
      <alignment horizontal="center" vertical="center"/>
      <protection locked="0"/>
    </xf>
    <xf numFmtId="1" fontId="7" fillId="28" borderId="0" xfId="0" applyNumberFormat="1" applyFont="1" applyFill="1" applyBorder="1" applyAlignment="1" applyProtection="1">
      <alignment vertical="center"/>
      <protection locked="0"/>
    </xf>
    <xf numFmtId="4" fontId="95" fillId="0" borderId="132" xfId="0" applyNumberFormat="1" applyFont="1" applyFill="1" applyBorder="1" applyAlignment="1" applyProtection="1">
      <alignment horizontal="center" vertical="center"/>
      <protection locked="0"/>
    </xf>
    <xf numFmtId="0" fontId="126" fillId="28" borderId="0" xfId="0" applyFont="1" applyFill="1" applyBorder="1" applyAlignment="1" applyProtection="1">
      <alignment vertical="center"/>
      <protection locked="0"/>
    </xf>
    <xf numFmtId="9" fontId="95" fillId="0" borderId="132" xfId="102" applyFont="1" applyFill="1" applyBorder="1" applyAlignment="1" applyProtection="1">
      <alignment horizontal="center" vertical="center"/>
      <protection locked="0"/>
    </xf>
    <xf numFmtId="0" fontId="7" fillId="28" borderId="133" xfId="0" applyFont="1" applyFill="1" applyBorder="1" applyAlignment="1" applyProtection="1">
      <alignment horizontal="right" vertical="center"/>
      <protection locked="0"/>
    </xf>
    <xf numFmtId="0" fontId="7" fillId="28" borderId="134" xfId="0" applyFont="1" applyFill="1" applyBorder="1" applyAlignment="1" applyProtection="1">
      <alignment horizontal="right" vertical="center"/>
      <protection locked="0"/>
    </xf>
    <xf numFmtId="0" fontId="7" fillId="28" borderId="134" xfId="0" applyFont="1" applyFill="1" applyBorder="1" applyAlignment="1" applyProtection="1">
      <alignment horizontal="center" vertical="center"/>
      <protection locked="0"/>
    </xf>
    <xf numFmtId="0" fontId="7" fillId="28" borderId="134" xfId="0" applyFont="1" applyFill="1" applyBorder="1" applyAlignment="1" applyProtection="1">
      <alignment horizontal="left" vertical="center" indent="1"/>
      <protection locked="0"/>
    </xf>
    <xf numFmtId="0" fontId="7" fillId="28" borderId="135" xfId="0" applyFont="1" applyFill="1" applyBorder="1" applyAlignment="1" applyProtection="1">
      <alignment vertical="center"/>
      <protection locked="0"/>
    </xf>
    <xf numFmtId="0" fontId="3" fillId="0" borderId="0" xfId="0" applyFont="1" applyFill="1" applyAlignment="1" applyProtection="1">
      <alignment vertical="center"/>
      <protection locked="0"/>
    </xf>
    <xf numFmtId="0" fontId="7" fillId="0" borderId="0" xfId="0" applyFont="1" applyFill="1" applyBorder="1" applyAlignment="1" applyProtection="1">
      <alignment vertical="center"/>
      <protection locked="0"/>
    </xf>
    <xf numFmtId="0" fontId="7" fillId="36" borderId="128" xfId="0" applyFont="1" applyFill="1" applyBorder="1" applyAlignment="1" applyProtection="1">
      <alignment vertical="center"/>
      <protection locked="0"/>
    </xf>
    <xf numFmtId="0" fontId="90" fillId="28" borderId="121" xfId="0" applyFont="1" applyFill="1" applyBorder="1" applyAlignment="1" applyProtection="1">
      <alignment vertical="center"/>
      <protection locked="0"/>
    </xf>
    <xf numFmtId="0" fontId="94" fillId="28" borderId="122" xfId="0" applyFont="1" applyFill="1" applyBorder="1" applyAlignment="1" applyProtection="1">
      <alignment vertical="center"/>
      <protection locked="0"/>
    </xf>
    <xf numFmtId="0" fontId="94" fillId="28" borderId="130" xfId="0" applyFont="1" applyFill="1" applyBorder="1" applyAlignment="1" applyProtection="1">
      <alignment vertical="center"/>
      <protection locked="0"/>
    </xf>
    <xf numFmtId="0" fontId="94" fillId="0" borderId="0" xfId="0" applyFont="1" applyFill="1" applyAlignment="1" applyProtection="1">
      <alignment vertical="center"/>
      <protection locked="0"/>
    </xf>
    <xf numFmtId="0" fontId="5" fillId="37" borderId="121" xfId="0" applyFont="1" applyFill="1" applyBorder="1" applyAlignment="1" applyProtection="1">
      <alignment horizontal="center" vertical="center"/>
      <protection locked="0"/>
    </xf>
    <xf numFmtId="0" fontId="5" fillId="37" borderId="122" xfId="0" applyFont="1" applyFill="1" applyBorder="1" applyAlignment="1" applyProtection="1">
      <alignment vertical="center"/>
      <protection locked="0"/>
    </xf>
    <xf numFmtId="0" fontId="5" fillId="37" borderId="130" xfId="0" applyFont="1" applyFill="1" applyBorder="1" applyAlignment="1" applyProtection="1">
      <alignment vertical="center"/>
      <protection locked="0"/>
    </xf>
    <xf numFmtId="0" fontId="5" fillId="37" borderId="121" xfId="0" applyFont="1" applyFill="1" applyBorder="1" applyAlignment="1" applyProtection="1">
      <alignment vertical="center"/>
      <protection locked="0"/>
    </xf>
    <xf numFmtId="0" fontId="5" fillId="37" borderId="137" xfId="0" applyFont="1" applyFill="1" applyBorder="1" applyAlignment="1" applyProtection="1">
      <alignment horizontal="center" vertical="center"/>
      <protection locked="0"/>
    </xf>
    <xf numFmtId="0" fontId="94" fillId="0" borderId="0" xfId="0" applyFont="1" applyFill="1" applyProtection="1">
      <protection locked="0"/>
    </xf>
    <xf numFmtId="0" fontId="5" fillId="28" borderId="0" xfId="0" applyFont="1" applyFill="1" applyBorder="1" applyAlignment="1" applyProtection="1">
      <alignment vertical="center"/>
      <protection locked="0"/>
    </xf>
    <xf numFmtId="0" fontId="7" fillId="28" borderId="121" xfId="0" applyFont="1" applyFill="1" applyBorder="1" applyAlignment="1" applyProtection="1">
      <alignment vertical="center"/>
      <protection locked="0"/>
    </xf>
    <xf numFmtId="3" fontId="7" fillId="28" borderId="122" xfId="0" applyNumberFormat="1" applyFont="1" applyFill="1" applyBorder="1" applyAlignment="1" applyProtection="1">
      <alignment vertical="center"/>
      <protection locked="0"/>
    </xf>
    <xf numFmtId="1" fontId="7" fillId="28" borderId="122" xfId="0" applyNumberFormat="1" applyFont="1" applyFill="1" applyBorder="1" applyAlignment="1" applyProtection="1">
      <alignment horizontal="center" vertical="center"/>
      <protection locked="0"/>
    </xf>
    <xf numFmtId="0" fontId="7" fillId="28" borderId="130" xfId="0" applyFont="1" applyFill="1" applyBorder="1" applyAlignment="1" applyProtection="1">
      <alignment horizontal="center" vertical="center"/>
      <protection locked="0"/>
    </xf>
    <xf numFmtId="170" fontId="7" fillId="28" borderId="121" xfId="0" applyNumberFormat="1" applyFont="1" applyFill="1" applyBorder="1" applyAlignment="1" applyProtection="1">
      <alignment horizontal="center" vertical="center"/>
      <protection locked="0"/>
    </xf>
    <xf numFmtId="2" fontId="7" fillId="28" borderId="122" xfId="0" applyNumberFormat="1" applyFont="1" applyFill="1" applyBorder="1" applyAlignment="1" applyProtection="1">
      <alignment horizontal="center" vertical="center"/>
      <protection locked="0"/>
    </xf>
    <xf numFmtId="170" fontId="7" fillId="28" borderId="122" xfId="0" applyNumberFormat="1" applyFont="1" applyFill="1" applyBorder="1" applyAlignment="1" applyProtection="1">
      <alignment horizontal="center" vertical="center"/>
      <protection locked="0"/>
    </xf>
    <xf numFmtId="2" fontId="7" fillId="28" borderId="137" xfId="0" applyNumberFormat="1" applyFont="1" applyFill="1" applyBorder="1" applyAlignment="1" applyProtection="1">
      <alignment horizontal="center" vertical="center"/>
      <protection locked="0"/>
    </xf>
    <xf numFmtId="0" fontId="7" fillId="28" borderId="124" xfId="0" applyFont="1" applyFill="1" applyBorder="1" applyProtection="1">
      <protection locked="0"/>
    </xf>
    <xf numFmtId="2" fontId="90" fillId="0" borderId="131" xfId="0" applyNumberFormat="1" applyFont="1" applyFill="1" applyBorder="1" applyAlignment="1" applyProtection="1">
      <alignment horizontal="center" vertical="center"/>
      <protection locked="0"/>
    </xf>
    <xf numFmtId="1" fontId="7" fillId="28" borderId="0" xfId="0" applyNumberFormat="1" applyFont="1" applyFill="1" applyBorder="1" applyAlignment="1" applyProtection="1">
      <alignment horizontal="center" vertical="center"/>
      <protection locked="0"/>
    </xf>
    <xf numFmtId="0" fontId="7" fillId="28" borderId="124" xfId="0" applyFont="1" applyFill="1" applyBorder="1" applyAlignment="1" applyProtection="1">
      <alignment horizontal="center" vertical="center"/>
      <protection locked="0"/>
    </xf>
    <xf numFmtId="168" fontId="7" fillId="28" borderId="0" xfId="0" applyNumberFormat="1" applyFont="1" applyFill="1" applyBorder="1" applyAlignment="1" applyProtection="1">
      <alignment vertical="center"/>
      <protection locked="0"/>
    </xf>
    <xf numFmtId="0" fontId="7" fillId="28" borderId="133" xfId="0" applyFont="1" applyFill="1" applyBorder="1" applyAlignment="1" applyProtection="1">
      <alignment horizontal="center" vertical="center"/>
      <protection locked="0"/>
    </xf>
    <xf numFmtId="1" fontId="7" fillId="28" borderId="134" xfId="0" applyNumberFormat="1" applyFont="1" applyFill="1" applyBorder="1" applyAlignment="1" applyProtection="1">
      <alignment horizontal="center" vertical="center"/>
      <protection locked="0"/>
    </xf>
    <xf numFmtId="0" fontId="105" fillId="28" borderId="135" xfId="0" applyFont="1" applyFill="1" applyBorder="1" applyAlignment="1" applyProtection="1">
      <alignment horizontal="center" vertical="center"/>
      <protection locked="0"/>
    </xf>
    <xf numFmtId="0" fontId="7" fillId="0" borderId="0" xfId="0" applyNumberFormat="1" applyFont="1" applyFill="1" applyProtection="1">
      <protection locked="0"/>
    </xf>
    <xf numFmtId="2" fontId="7" fillId="28" borderId="0" xfId="0" applyNumberFormat="1" applyFont="1" applyFill="1" applyBorder="1" applyAlignment="1" applyProtection="1">
      <alignment horizontal="center" vertical="center"/>
      <protection locked="0"/>
    </xf>
    <xf numFmtId="2" fontId="7" fillId="28" borderId="0" xfId="0" applyNumberFormat="1" applyFont="1" applyFill="1" applyBorder="1" applyAlignment="1" applyProtection="1">
      <alignment vertical="center"/>
      <protection locked="0"/>
    </xf>
    <xf numFmtId="0" fontId="45" fillId="33" borderId="127" xfId="0" applyFont="1" applyFill="1" applyBorder="1" applyAlignment="1" applyProtection="1">
      <alignment vertical="center"/>
      <protection locked="0"/>
    </xf>
    <xf numFmtId="0" fontId="45" fillId="33" borderId="128" xfId="0" applyFont="1" applyFill="1" applyBorder="1" applyProtection="1">
      <protection locked="0"/>
    </xf>
    <xf numFmtId="0" fontId="45" fillId="33" borderId="129" xfId="0" applyFont="1" applyFill="1" applyBorder="1" applyProtection="1">
      <protection locked="0"/>
    </xf>
    <xf numFmtId="0" fontId="7" fillId="0" borderId="0" xfId="0" applyFont="1" applyFill="1" applyAlignment="1" applyProtection="1">
      <protection locked="0"/>
    </xf>
    <xf numFmtId="0" fontId="7" fillId="28" borderId="123" xfId="0" applyFont="1" applyFill="1" applyBorder="1" applyProtection="1">
      <protection locked="0"/>
    </xf>
    <xf numFmtId="0" fontId="105" fillId="28" borderId="121" xfId="0" applyFont="1" applyFill="1" applyBorder="1" applyAlignment="1" applyProtection="1">
      <alignment horizontal="center" vertical="center"/>
      <protection locked="0"/>
    </xf>
    <xf numFmtId="0" fontId="110" fillId="28" borderId="122" xfId="0" applyFont="1" applyFill="1" applyBorder="1" applyAlignment="1" applyProtection="1">
      <alignment horizontal="center" vertical="center"/>
      <protection locked="0"/>
    </xf>
    <xf numFmtId="0" fontId="110" fillId="28" borderId="130" xfId="0" applyFont="1" applyFill="1" applyBorder="1" applyAlignment="1" applyProtection="1">
      <alignment horizontal="center" vertical="center"/>
      <protection locked="0"/>
    </xf>
    <xf numFmtId="0" fontId="110" fillId="28" borderId="0" xfId="0" applyFont="1" applyFill="1" applyBorder="1" applyAlignment="1" applyProtection="1">
      <alignment horizontal="center" vertical="center"/>
      <protection locked="0"/>
    </xf>
    <xf numFmtId="0" fontId="7" fillId="28" borderId="127" xfId="0" applyFont="1" applyFill="1" applyBorder="1" applyAlignment="1" applyProtection="1">
      <alignment vertical="center"/>
      <protection locked="0"/>
    </xf>
    <xf numFmtId="2" fontId="7" fillId="28" borderId="128" xfId="0" applyNumberFormat="1" applyFont="1" applyFill="1" applyBorder="1" applyAlignment="1" applyProtection="1">
      <alignment horizontal="center" vertical="center"/>
      <protection locked="0"/>
    </xf>
    <xf numFmtId="0" fontId="104" fillId="28" borderId="123" xfId="0" applyFont="1" applyFill="1" applyBorder="1" applyAlignment="1" applyProtection="1">
      <alignment horizontal="center" vertical="center"/>
      <protection locked="0"/>
    </xf>
    <xf numFmtId="0" fontId="105" fillId="28" borderId="127" xfId="0" applyFont="1" applyFill="1" applyBorder="1" applyAlignment="1" applyProtection="1">
      <alignment horizontal="center" vertical="center"/>
      <protection locked="0"/>
    </xf>
    <xf numFmtId="169" fontId="105" fillId="28" borderId="127" xfId="102" applyNumberFormat="1" applyFont="1" applyFill="1" applyBorder="1" applyAlignment="1" applyProtection="1">
      <alignment horizontal="center" vertical="center"/>
      <protection locked="0"/>
    </xf>
    <xf numFmtId="169" fontId="110" fillId="28" borderId="128" xfId="102" applyNumberFormat="1" applyFont="1" applyFill="1" applyBorder="1" applyAlignment="1" applyProtection="1">
      <alignment horizontal="center" vertical="center"/>
      <protection locked="0"/>
    </xf>
    <xf numFmtId="169" fontId="110" fillId="28" borderId="129" xfId="102" applyNumberFormat="1" applyFont="1" applyFill="1" applyBorder="1" applyAlignment="1" applyProtection="1">
      <alignment horizontal="center" vertical="center"/>
      <protection locked="0"/>
    </xf>
    <xf numFmtId="0" fontId="5" fillId="28" borderId="123" xfId="0" applyFont="1" applyFill="1" applyBorder="1" applyAlignment="1" applyProtection="1">
      <alignment vertical="center"/>
      <protection locked="0"/>
    </xf>
    <xf numFmtId="0" fontId="105" fillId="28" borderId="124" xfId="0" applyFont="1" applyFill="1" applyBorder="1" applyAlignment="1" applyProtection="1">
      <alignment horizontal="center" vertical="center"/>
      <protection locked="0"/>
    </xf>
    <xf numFmtId="0" fontId="7" fillId="29" borderId="127" xfId="0" applyFont="1" applyFill="1" applyBorder="1" applyAlignment="1" applyProtection="1">
      <alignment vertical="center"/>
      <protection locked="0"/>
    </xf>
    <xf numFmtId="0" fontId="5" fillId="28" borderId="133" xfId="0" applyFont="1" applyFill="1" applyBorder="1" applyAlignment="1" applyProtection="1">
      <alignment vertical="center"/>
      <protection locked="0"/>
    </xf>
    <xf numFmtId="1" fontId="7" fillId="28" borderId="134" xfId="0" applyNumberFormat="1" applyFont="1" applyFill="1" applyBorder="1" applyAlignment="1" applyProtection="1">
      <alignment horizontal="right" vertical="center"/>
      <protection locked="0"/>
    </xf>
    <xf numFmtId="170" fontId="7" fillId="29" borderId="127" xfId="0" applyNumberFormat="1" applyFont="1" applyFill="1" applyBorder="1" applyAlignment="1" applyProtection="1">
      <alignment horizontal="center" vertical="center"/>
      <protection locked="0"/>
    </xf>
    <xf numFmtId="2" fontId="7" fillId="29" borderId="128" xfId="0" applyNumberFormat="1" applyFont="1" applyFill="1" applyBorder="1" applyAlignment="1" applyProtection="1">
      <alignment horizontal="center" vertical="center"/>
      <protection locked="0"/>
    </xf>
    <xf numFmtId="170" fontId="7" fillId="29" borderId="128" xfId="0" applyNumberFormat="1" applyFont="1" applyFill="1" applyBorder="1" applyAlignment="1" applyProtection="1">
      <alignment horizontal="center" vertical="center"/>
      <protection locked="0"/>
    </xf>
    <xf numFmtId="2" fontId="7" fillId="29" borderId="137" xfId="0" applyNumberFormat="1" applyFont="1" applyFill="1" applyBorder="1" applyAlignment="1" applyProtection="1">
      <alignment horizontal="center" vertical="center"/>
      <protection locked="0"/>
    </xf>
    <xf numFmtId="0" fontId="7" fillId="28" borderId="127" xfId="0" applyFont="1" applyFill="1" applyBorder="1" applyAlignment="1" applyProtection="1">
      <alignment horizontal="center" vertical="center"/>
      <protection locked="0"/>
    </xf>
    <xf numFmtId="0" fontId="7" fillId="28" borderId="121" xfId="0" applyFont="1" applyFill="1" applyBorder="1" applyAlignment="1" applyProtection="1">
      <alignment horizontal="center" vertical="center"/>
      <protection locked="0"/>
    </xf>
    <xf numFmtId="0" fontId="45" fillId="0" borderId="0" xfId="0" applyFont="1" applyFill="1" applyBorder="1" applyAlignment="1" applyProtection="1">
      <alignment vertical="center"/>
      <protection locked="0"/>
    </xf>
    <xf numFmtId="0" fontId="45" fillId="0" borderId="0" xfId="0" applyFont="1" applyFill="1" applyBorder="1" applyProtection="1">
      <protection locked="0"/>
    </xf>
    <xf numFmtId="0" fontId="7" fillId="28" borderId="138" xfId="0" applyFont="1" applyFill="1" applyBorder="1" applyAlignment="1" applyProtection="1">
      <alignment horizontal="center" vertical="center"/>
      <protection locked="0"/>
    </xf>
    <xf numFmtId="2" fontId="7" fillId="37" borderId="127" xfId="0" applyNumberFormat="1" applyFont="1" applyFill="1" applyBorder="1" applyAlignment="1" applyProtection="1">
      <alignment horizontal="center" vertical="center"/>
      <protection locked="0"/>
    </xf>
    <xf numFmtId="2" fontId="110" fillId="37" borderId="128" xfId="0" applyNumberFormat="1" applyFont="1" applyFill="1" applyBorder="1" applyAlignment="1" applyProtection="1">
      <alignment horizontal="center" vertical="center"/>
      <protection locked="0"/>
    </xf>
    <xf numFmtId="2" fontId="110" fillId="37" borderId="129" xfId="0" applyNumberFormat="1" applyFont="1" applyFill="1" applyBorder="1" applyAlignment="1" applyProtection="1">
      <alignment horizontal="center" vertical="center"/>
      <protection locked="0"/>
    </xf>
    <xf numFmtId="2" fontId="7" fillId="37" borderId="128" xfId="0" applyNumberFormat="1" applyFont="1" applyFill="1" applyBorder="1" applyAlignment="1" applyProtection="1">
      <alignment horizontal="center" vertical="center"/>
      <protection locked="0"/>
    </xf>
    <xf numFmtId="166" fontId="7" fillId="0" borderId="0" xfId="0" applyNumberFormat="1" applyFont="1" applyFill="1" applyBorder="1" applyAlignment="1" applyProtection="1">
      <alignment vertical="center"/>
      <protection locked="0"/>
    </xf>
    <xf numFmtId="170" fontId="7" fillId="37" borderId="122" xfId="0" applyNumberFormat="1" applyFont="1" applyFill="1" applyBorder="1" applyAlignment="1" applyProtection="1">
      <alignment horizontal="left" vertical="center"/>
      <protection locked="0"/>
    </xf>
    <xf numFmtId="2" fontId="7" fillId="37" borderId="122" xfId="0" applyNumberFormat="1" applyFont="1" applyFill="1" applyBorder="1" applyAlignment="1" applyProtection="1">
      <alignment horizontal="center" vertical="center"/>
      <protection locked="0"/>
    </xf>
    <xf numFmtId="170" fontId="7" fillId="37" borderId="122" xfId="0" applyNumberFormat="1" applyFont="1" applyFill="1" applyBorder="1" applyAlignment="1" applyProtection="1">
      <alignment horizontal="center" vertical="center"/>
      <protection locked="0"/>
    </xf>
    <xf numFmtId="2" fontId="7" fillId="37" borderId="130" xfId="0" applyNumberFormat="1" applyFont="1" applyFill="1" applyBorder="1" applyAlignment="1" applyProtection="1">
      <alignment horizontal="center" vertical="center"/>
      <protection locked="0"/>
    </xf>
    <xf numFmtId="0" fontId="5" fillId="37" borderId="123" xfId="0" applyFont="1" applyFill="1" applyBorder="1" applyAlignment="1" applyProtection="1">
      <alignment horizontal="center" vertical="center"/>
      <protection locked="0"/>
    </xf>
    <xf numFmtId="170" fontId="7" fillId="37" borderId="0" xfId="0" applyNumberFormat="1" applyFont="1" applyFill="1" applyBorder="1" applyAlignment="1" applyProtection="1">
      <alignment horizontal="left" vertical="center"/>
      <protection locked="0"/>
    </xf>
    <xf numFmtId="2" fontId="7" fillId="37" borderId="0" xfId="0" applyNumberFormat="1" applyFont="1" applyFill="1" applyBorder="1" applyAlignment="1" applyProtection="1">
      <alignment horizontal="center" vertical="center"/>
      <protection locked="0"/>
    </xf>
    <xf numFmtId="0" fontId="5" fillId="37" borderId="0" xfId="0" applyFont="1" applyFill="1" applyBorder="1" applyAlignment="1" applyProtection="1">
      <alignment horizontal="center" vertical="center"/>
      <protection locked="0"/>
    </xf>
    <xf numFmtId="2" fontId="7" fillId="37" borderId="0" xfId="0" applyNumberFormat="1" applyFont="1" applyFill="1" applyBorder="1" applyAlignment="1" applyProtection="1">
      <alignment horizontal="left" vertical="center"/>
      <protection locked="0"/>
    </xf>
    <xf numFmtId="170" fontId="7" fillId="37" borderId="0" xfId="0" applyNumberFormat="1" applyFont="1" applyFill="1" applyBorder="1" applyAlignment="1" applyProtection="1">
      <alignment horizontal="center" vertical="center"/>
      <protection locked="0"/>
    </xf>
    <xf numFmtId="2" fontId="7" fillId="37" borderId="124" xfId="0" applyNumberFormat="1" applyFont="1" applyFill="1" applyBorder="1" applyAlignment="1" applyProtection="1">
      <alignment horizontal="center" vertical="center"/>
      <protection locked="0"/>
    </xf>
    <xf numFmtId="2" fontId="7" fillId="37" borderId="127" xfId="0" applyNumberFormat="1" applyFont="1" applyFill="1" applyBorder="1" applyAlignment="1" applyProtection="1">
      <alignment vertical="center"/>
      <protection locked="0"/>
    </xf>
    <xf numFmtId="0" fontId="110" fillId="37" borderId="128" xfId="0" applyFont="1" applyFill="1" applyBorder="1" applyAlignment="1" applyProtection="1">
      <alignment vertical="center"/>
      <protection locked="0"/>
    </xf>
    <xf numFmtId="0" fontId="110" fillId="37" borderId="129" xfId="0" applyFont="1" applyFill="1" applyBorder="1" applyAlignment="1" applyProtection="1">
      <alignment vertical="center"/>
      <protection locked="0"/>
    </xf>
    <xf numFmtId="2" fontId="45" fillId="37" borderId="0" xfId="0" applyNumberFormat="1" applyFont="1" applyFill="1" applyBorder="1" applyAlignment="1" applyProtection="1">
      <alignment horizontal="center" vertical="center"/>
      <protection locked="0"/>
    </xf>
    <xf numFmtId="0" fontId="5" fillId="28" borderId="123" xfId="0" applyFont="1" applyFill="1" applyBorder="1" applyAlignment="1" applyProtection="1">
      <alignment horizontal="right" vertical="center"/>
      <protection locked="0"/>
    </xf>
    <xf numFmtId="168" fontId="7" fillId="37" borderId="127" xfId="0" applyNumberFormat="1" applyFont="1" applyFill="1" applyBorder="1" applyAlignment="1" applyProtection="1">
      <alignment horizontal="center" vertical="center"/>
      <protection locked="0"/>
    </xf>
    <xf numFmtId="168" fontId="110" fillId="37" borderId="127" xfId="0" applyNumberFormat="1" applyFont="1" applyFill="1" applyBorder="1" applyAlignment="1" applyProtection="1">
      <alignment horizontal="center" vertical="center"/>
      <protection locked="0"/>
    </xf>
    <xf numFmtId="168" fontId="110" fillId="37" borderId="138" xfId="0" applyNumberFormat="1" applyFont="1" applyFill="1" applyBorder="1" applyAlignment="1" applyProtection="1">
      <alignment horizontal="center" vertical="center"/>
      <protection locked="0"/>
    </xf>
    <xf numFmtId="0" fontId="5" fillId="37" borderId="133" xfId="0" applyFont="1" applyFill="1" applyBorder="1" applyAlignment="1" applyProtection="1">
      <alignment horizontal="center" vertical="center"/>
      <protection locked="0"/>
    </xf>
    <xf numFmtId="170" fontId="7" fillId="37" borderId="134" xfId="0" applyNumberFormat="1" applyFont="1" applyFill="1" applyBorder="1" applyAlignment="1" applyProtection="1">
      <alignment horizontal="left" vertical="center"/>
      <protection locked="0"/>
    </xf>
    <xf numFmtId="2" fontId="7" fillId="37" borderId="134" xfId="0" applyNumberFormat="1" applyFont="1" applyFill="1" applyBorder="1" applyAlignment="1" applyProtection="1">
      <alignment horizontal="center" vertical="center"/>
      <protection locked="0"/>
    </xf>
    <xf numFmtId="2" fontId="7" fillId="37" borderId="134" xfId="0" applyNumberFormat="1" applyFont="1" applyFill="1" applyBorder="1" applyAlignment="1" applyProtection="1">
      <alignment horizontal="left" vertical="center"/>
      <protection locked="0"/>
    </xf>
    <xf numFmtId="170" fontId="7" fillId="37" borderId="134" xfId="0" applyNumberFormat="1" applyFont="1" applyFill="1" applyBorder="1" applyAlignment="1" applyProtection="1">
      <alignment horizontal="center" vertical="center"/>
      <protection locked="0"/>
    </xf>
    <xf numFmtId="2" fontId="7" fillId="37" borderId="135" xfId="0" applyNumberFormat="1" applyFont="1" applyFill="1" applyBorder="1" applyAlignment="1" applyProtection="1">
      <alignment horizontal="center" vertical="center"/>
      <protection locked="0"/>
    </xf>
    <xf numFmtId="0" fontId="7" fillId="28" borderId="133" xfId="0" applyFont="1" applyFill="1" applyBorder="1" applyAlignment="1" applyProtection="1">
      <alignment vertical="center"/>
      <protection locked="0"/>
    </xf>
    <xf numFmtId="2" fontId="7" fillId="0" borderId="0" xfId="0" applyNumberFormat="1" applyFont="1" applyFill="1" applyAlignment="1" applyProtection="1">
      <alignment vertical="center"/>
      <protection locked="0"/>
    </xf>
    <xf numFmtId="0" fontId="5" fillId="37" borderId="122" xfId="0" applyFont="1" applyFill="1" applyBorder="1" applyAlignment="1" applyProtection="1">
      <alignment horizontal="left" vertical="center"/>
      <protection locked="0"/>
    </xf>
    <xf numFmtId="0" fontId="5" fillId="37" borderId="128" xfId="0" applyFont="1" applyFill="1" applyBorder="1" applyAlignment="1" applyProtection="1">
      <alignment horizontal="center" vertical="center"/>
      <protection locked="0"/>
    </xf>
    <xf numFmtId="0" fontId="105" fillId="37" borderId="130" xfId="0" applyFont="1" applyFill="1" applyBorder="1" applyAlignment="1" applyProtection="1">
      <alignment horizontal="center" vertical="center"/>
      <protection locked="0"/>
    </xf>
    <xf numFmtId="0" fontId="5" fillId="37" borderId="122" xfId="0" applyFont="1" applyFill="1" applyBorder="1" applyAlignment="1" applyProtection="1">
      <alignment horizontal="right" vertical="center"/>
      <protection locked="0"/>
    </xf>
    <xf numFmtId="0" fontId="7" fillId="28" borderId="121" xfId="0" applyFont="1" applyFill="1" applyBorder="1" applyProtection="1">
      <protection locked="0"/>
    </xf>
    <xf numFmtId="0" fontId="7" fillId="28" borderId="122" xfId="0" applyFont="1" applyFill="1" applyBorder="1" applyProtection="1">
      <protection locked="0"/>
    </xf>
    <xf numFmtId="0" fontId="7" fillId="28" borderId="130" xfId="0" applyFont="1" applyFill="1" applyBorder="1" applyProtection="1">
      <protection locked="0"/>
    </xf>
    <xf numFmtId="0" fontId="7" fillId="33" borderId="121" xfId="0" applyFont="1" applyFill="1" applyBorder="1" applyAlignment="1" applyProtection="1">
      <alignment horizontal="center" vertical="center"/>
      <protection locked="0"/>
    </xf>
    <xf numFmtId="1" fontId="7" fillId="33" borderId="122" xfId="0" applyNumberFormat="1" applyFont="1" applyFill="1" applyBorder="1" applyAlignment="1" applyProtection="1">
      <alignment horizontal="center" vertical="center"/>
      <protection locked="0"/>
    </xf>
    <xf numFmtId="0" fontId="110" fillId="33" borderId="122" xfId="0" applyFont="1" applyFill="1" applyBorder="1" applyAlignment="1" applyProtection="1">
      <alignment horizontal="center" vertical="center"/>
      <protection locked="0"/>
    </xf>
    <xf numFmtId="0" fontId="7" fillId="33" borderId="130" xfId="0" applyFont="1" applyFill="1" applyBorder="1" applyAlignment="1" applyProtection="1">
      <alignment horizontal="center" vertical="center"/>
      <protection locked="0"/>
    </xf>
    <xf numFmtId="1" fontId="7" fillId="37" borderId="122" xfId="0" applyNumberFormat="1" applyFont="1" applyFill="1" applyBorder="1" applyAlignment="1" applyProtection="1">
      <alignment vertical="center"/>
      <protection locked="0"/>
    </xf>
    <xf numFmtId="0" fontId="7" fillId="37" borderId="122" xfId="0" applyFont="1" applyFill="1" applyBorder="1" applyAlignment="1" applyProtection="1">
      <alignment horizontal="center" vertical="center"/>
      <protection locked="0"/>
    </xf>
    <xf numFmtId="0" fontId="110" fillId="37" borderId="122" xfId="0" applyFont="1" applyFill="1" applyBorder="1" applyAlignment="1" applyProtection="1">
      <alignment horizontal="center" vertical="center"/>
      <protection locked="0"/>
    </xf>
    <xf numFmtId="0" fontId="7" fillId="37" borderId="130" xfId="0" applyFont="1" applyFill="1" applyBorder="1" applyAlignment="1" applyProtection="1">
      <alignment horizontal="center" vertical="center"/>
      <protection locked="0"/>
    </xf>
    <xf numFmtId="0" fontId="29" fillId="28" borderId="124" xfId="0" applyFont="1" applyFill="1" applyBorder="1" applyProtection="1">
      <protection locked="0"/>
    </xf>
    <xf numFmtId="0" fontId="7" fillId="28" borderId="123" xfId="0" applyFont="1" applyFill="1" applyBorder="1" applyAlignment="1" applyProtection="1">
      <alignment horizontal="left" vertical="center" indent="1"/>
      <protection locked="0"/>
    </xf>
    <xf numFmtId="0" fontId="7" fillId="37" borderId="123" xfId="0" applyFont="1" applyFill="1" applyBorder="1" applyAlignment="1" applyProtection="1">
      <alignment horizontal="left" vertical="center"/>
      <protection locked="0"/>
    </xf>
    <xf numFmtId="1" fontId="7" fillId="37" borderId="0" xfId="0" applyNumberFormat="1" applyFont="1" applyFill="1" applyBorder="1" applyAlignment="1" applyProtection="1">
      <alignment vertical="center"/>
      <protection locked="0"/>
    </xf>
    <xf numFmtId="0" fontId="7" fillId="37" borderId="0" xfId="0" applyFont="1" applyFill="1" applyBorder="1" applyAlignment="1" applyProtection="1">
      <alignment horizontal="center" vertical="center"/>
      <protection locked="0"/>
    </xf>
    <xf numFmtId="0" fontId="7" fillId="37" borderId="0" xfId="0" applyFont="1" applyFill="1" applyBorder="1" applyAlignment="1" applyProtection="1">
      <alignment horizontal="right" vertical="center"/>
      <protection locked="0"/>
    </xf>
    <xf numFmtId="0" fontId="110" fillId="28" borderId="128" xfId="0" applyFont="1" applyFill="1" applyBorder="1" applyAlignment="1" applyProtection="1">
      <alignment horizontal="center" vertical="center"/>
      <protection locked="0"/>
    </xf>
    <xf numFmtId="0" fontId="110" fillId="28" borderId="129" xfId="0" applyFont="1" applyFill="1" applyBorder="1" applyAlignment="1" applyProtection="1">
      <alignment horizontal="center" vertical="center"/>
      <protection locked="0"/>
    </xf>
    <xf numFmtId="168" fontId="7" fillId="28" borderId="0" xfId="0" applyNumberFormat="1" applyFont="1" applyFill="1" applyBorder="1" applyAlignment="1" applyProtection="1">
      <alignment horizontal="center" vertical="center"/>
      <protection locked="0"/>
    </xf>
    <xf numFmtId="0" fontId="7" fillId="37" borderId="0" xfId="0" applyFont="1" applyFill="1" applyBorder="1" applyAlignment="1" applyProtection="1">
      <alignment vertical="center"/>
      <protection locked="0"/>
    </xf>
    <xf numFmtId="166" fontId="7" fillId="28" borderId="127" xfId="102" applyNumberFormat="1" applyFont="1" applyFill="1" applyBorder="1" applyAlignment="1" applyProtection="1">
      <alignment horizontal="center" vertical="center"/>
      <protection locked="0"/>
    </xf>
    <xf numFmtId="166" fontId="110" fillId="28" borderId="128" xfId="102" applyNumberFormat="1" applyFont="1" applyFill="1" applyBorder="1" applyAlignment="1" applyProtection="1">
      <alignment horizontal="center" vertical="center"/>
      <protection locked="0"/>
    </xf>
    <xf numFmtId="166" fontId="110" fillId="28" borderId="129" xfId="102" applyNumberFormat="1" applyFont="1" applyFill="1" applyBorder="1" applyAlignment="1" applyProtection="1">
      <alignment horizontal="center" vertical="center"/>
      <protection locked="0"/>
    </xf>
    <xf numFmtId="9" fontId="7" fillId="28" borderId="0" xfId="102" applyFont="1" applyFill="1" applyBorder="1" applyAlignment="1" applyProtection="1">
      <alignment horizontal="center" vertical="center"/>
      <protection locked="0"/>
    </xf>
    <xf numFmtId="9" fontId="110" fillId="28" borderId="0" xfId="102" applyFont="1" applyFill="1" applyBorder="1" applyAlignment="1" applyProtection="1">
      <alignment horizontal="center" vertical="center"/>
      <protection locked="0"/>
    </xf>
    <xf numFmtId="0" fontId="110" fillId="37" borderId="0" xfId="0" applyFont="1" applyFill="1" applyBorder="1" applyAlignment="1" applyProtection="1">
      <alignment horizontal="center" vertical="center"/>
      <protection locked="0"/>
    </xf>
    <xf numFmtId="0" fontId="5" fillId="28" borderId="123" xfId="0" applyFont="1" applyFill="1" applyBorder="1" applyAlignment="1" applyProtection="1">
      <alignment horizontal="right" vertical="center" indent="1"/>
      <protection locked="0"/>
    </xf>
    <xf numFmtId="2" fontId="5" fillId="28" borderId="122" xfId="0" applyNumberFormat="1" applyFont="1" applyFill="1" applyBorder="1" applyAlignment="1" applyProtection="1">
      <alignment horizontal="center" vertical="center"/>
      <protection locked="0"/>
    </xf>
    <xf numFmtId="0" fontId="113" fillId="28" borderId="122" xfId="0" applyFont="1" applyFill="1" applyBorder="1" applyAlignment="1" applyProtection="1">
      <alignment horizontal="center" vertical="center"/>
      <protection locked="0"/>
    </xf>
    <xf numFmtId="2" fontId="5" fillId="28" borderId="124" xfId="0" applyNumberFormat="1" applyFont="1" applyFill="1" applyBorder="1" applyAlignment="1" applyProtection="1">
      <alignment horizontal="center" vertical="center"/>
      <protection locked="0"/>
    </xf>
    <xf numFmtId="0" fontId="113" fillId="37" borderId="0" xfId="0" applyFont="1" applyFill="1" applyBorder="1" applyAlignment="1" applyProtection="1">
      <alignment horizontal="center" vertical="center"/>
      <protection locked="0"/>
    </xf>
    <xf numFmtId="0" fontId="5" fillId="28" borderId="123" xfId="0" applyFont="1" applyFill="1" applyBorder="1" applyAlignment="1" applyProtection="1">
      <alignment horizontal="left" vertical="center" indent="1"/>
      <protection locked="0"/>
    </xf>
    <xf numFmtId="1" fontId="5" fillId="28" borderId="122" xfId="0" applyNumberFormat="1" applyFont="1" applyFill="1" applyBorder="1" applyAlignment="1" applyProtection="1">
      <alignment horizontal="center" vertical="center"/>
      <protection locked="0"/>
    </xf>
    <xf numFmtId="0" fontId="5" fillId="28" borderId="124" xfId="0" applyFont="1" applyFill="1" applyBorder="1" applyAlignment="1" applyProtection="1">
      <alignment horizontal="center" vertical="center"/>
      <protection locked="0"/>
    </xf>
    <xf numFmtId="1" fontId="7" fillId="37" borderId="0" xfId="0" applyNumberFormat="1" applyFont="1" applyFill="1" applyBorder="1" applyAlignment="1" applyProtection="1">
      <alignment horizontal="left" vertical="center"/>
      <protection locked="0"/>
    </xf>
    <xf numFmtId="0" fontId="5" fillId="37" borderId="124" xfId="0" applyFont="1" applyFill="1" applyBorder="1" applyAlignment="1" applyProtection="1">
      <alignment horizontal="center" vertical="center"/>
      <protection locked="0"/>
    </xf>
    <xf numFmtId="10" fontId="105" fillId="28" borderId="127" xfId="102" applyNumberFormat="1" applyFont="1" applyFill="1" applyBorder="1" applyAlignment="1" applyProtection="1">
      <alignment horizontal="center" vertical="center"/>
      <protection locked="0"/>
    </xf>
    <xf numFmtId="0" fontId="7" fillId="28" borderId="133" xfId="0" applyFont="1" applyFill="1" applyBorder="1" applyProtection="1">
      <protection locked="0"/>
    </xf>
    <xf numFmtId="0" fontId="7" fillId="28" borderId="134" xfId="0" applyFont="1" applyFill="1" applyBorder="1" applyProtection="1">
      <protection locked="0"/>
    </xf>
    <xf numFmtId="0" fontId="110" fillId="28" borderId="134" xfId="0" applyFont="1" applyFill="1" applyBorder="1" applyProtection="1">
      <protection locked="0"/>
    </xf>
    <xf numFmtId="0" fontId="7" fillId="28" borderId="135" xfId="0" applyFont="1" applyFill="1" applyBorder="1" applyAlignment="1" applyProtection="1">
      <alignment horizontal="center" vertical="center"/>
      <protection locked="0"/>
    </xf>
    <xf numFmtId="10" fontId="7" fillId="37" borderId="0" xfId="102" applyNumberFormat="1" applyFont="1" applyFill="1" applyBorder="1" applyAlignment="1" applyProtection="1">
      <alignment horizontal="left" vertical="center"/>
      <protection locked="0"/>
    </xf>
    <xf numFmtId="10" fontId="110" fillId="37" borderId="0" xfId="102" applyNumberFormat="1" applyFont="1" applyFill="1" applyBorder="1" applyAlignment="1" applyProtection="1">
      <alignment horizontal="center" vertical="center"/>
      <protection locked="0"/>
    </xf>
    <xf numFmtId="0" fontId="7" fillId="28" borderId="133" xfId="0" applyFont="1" applyFill="1" applyBorder="1" applyAlignment="1" applyProtection="1">
      <alignment horizontal="left" vertical="center" indent="1"/>
      <protection locked="0"/>
    </xf>
    <xf numFmtId="169" fontId="7" fillId="28" borderId="134" xfId="102" applyNumberFormat="1" applyFont="1" applyFill="1" applyBorder="1" applyAlignment="1" applyProtection="1">
      <alignment horizontal="center" vertical="center"/>
      <protection locked="0"/>
    </xf>
    <xf numFmtId="169" fontId="110" fillId="28" borderId="134" xfId="102" applyNumberFormat="1" applyFont="1" applyFill="1" applyBorder="1" applyAlignment="1" applyProtection="1">
      <alignment horizontal="center" vertical="center"/>
      <protection locked="0"/>
    </xf>
    <xf numFmtId="10" fontId="7" fillId="28" borderId="134" xfId="102" applyNumberFormat="1" applyFont="1" applyFill="1" applyBorder="1" applyAlignment="1" applyProtection="1">
      <alignment horizontal="center" vertical="center"/>
      <protection locked="0"/>
    </xf>
    <xf numFmtId="10" fontId="110" fillId="28" borderId="134" xfId="102" applyNumberFormat="1" applyFont="1" applyFill="1" applyBorder="1" applyAlignment="1" applyProtection="1">
      <alignment horizontal="center" vertical="center"/>
      <protection locked="0"/>
    </xf>
    <xf numFmtId="10" fontId="7" fillId="37" borderId="134" xfId="102" applyNumberFormat="1" applyFont="1" applyFill="1" applyBorder="1" applyAlignment="1" applyProtection="1">
      <alignment horizontal="left" vertical="center"/>
      <protection locked="0"/>
    </xf>
    <xf numFmtId="10" fontId="110" fillId="37" borderId="134" xfId="102" applyNumberFormat="1" applyFont="1" applyFill="1" applyBorder="1" applyAlignment="1" applyProtection="1">
      <alignment horizontal="center" vertical="center"/>
      <protection locked="0"/>
    </xf>
    <xf numFmtId="0" fontId="45" fillId="33" borderId="134" xfId="0" applyFont="1" applyFill="1" applyBorder="1" applyProtection="1">
      <protection locked="0"/>
    </xf>
    <xf numFmtId="0" fontId="45" fillId="33" borderId="135" xfId="0" applyFont="1" applyFill="1" applyBorder="1" applyProtection="1">
      <protection locked="0"/>
    </xf>
    <xf numFmtId="2" fontId="7" fillId="37" borderId="121" xfId="0" applyNumberFormat="1" applyFont="1" applyFill="1" applyBorder="1" applyAlignment="1" applyProtection="1">
      <alignment horizontal="center" vertical="center"/>
      <protection locked="0"/>
    </xf>
    <xf numFmtId="168" fontId="110" fillId="37" borderId="122" xfId="0" applyNumberFormat="1" applyFont="1" applyFill="1" applyBorder="1" applyAlignment="1" applyProtection="1">
      <alignment horizontal="center" vertical="center"/>
      <protection locked="0"/>
    </xf>
    <xf numFmtId="2" fontId="110" fillId="37" borderId="130" xfId="0" applyNumberFormat="1" applyFont="1" applyFill="1" applyBorder="1" applyAlignment="1" applyProtection="1">
      <alignment horizontal="center" vertical="center"/>
      <protection locked="0"/>
    </xf>
    <xf numFmtId="2" fontId="110" fillId="37" borderId="122" xfId="0" applyNumberFormat="1" applyFont="1" applyFill="1" applyBorder="1" applyAlignment="1" applyProtection="1">
      <alignment horizontal="center" vertical="center"/>
      <protection locked="0"/>
    </xf>
    <xf numFmtId="168" fontId="110" fillId="37" borderId="128" xfId="0" applyNumberFormat="1" applyFont="1" applyFill="1" applyBorder="1" applyAlignment="1" applyProtection="1">
      <alignment horizontal="center" vertical="center"/>
      <protection locked="0"/>
    </xf>
    <xf numFmtId="0" fontId="5" fillId="28" borderId="134" xfId="0" applyFont="1" applyFill="1" applyBorder="1" applyAlignment="1" applyProtection="1">
      <alignment vertical="center"/>
      <protection locked="0"/>
    </xf>
    <xf numFmtId="2" fontId="7" fillId="28" borderId="134" xfId="0" applyNumberFormat="1" applyFont="1" applyFill="1" applyBorder="1" applyAlignment="1" applyProtection="1">
      <alignment vertical="center"/>
      <protection locked="0"/>
    </xf>
    <xf numFmtId="0" fontId="7" fillId="28" borderId="135" xfId="0" applyFont="1" applyFill="1" applyBorder="1" applyProtection="1">
      <protection locked="0"/>
    </xf>
    <xf numFmtId="0" fontId="31" fillId="0" borderId="0" xfId="0" applyFont="1" applyFill="1" applyAlignment="1" applyProtection="1">
      <alignment vertical="center"/>
      <protection locked="0"/>
    </xf>
    <xf numFmtId="0" fontId="28" fillId="25" borderId="130" xfId="0" applyFont="1" applyFill="1" applyBorder="1" applyAlignment="1" applyProtection="1">
      <alignment horizontal="right" vertical="center"/>
      <protection locked="0"/>
    </xf>
    <xf numFmtId="0" fontId="31" fillId="28" borderId="121" xfId="0" applyFont="1" applyFill="1" applyBorder="1" applyAlignment="1" applyProtection="1">
      <alignment vertical="center"/>
      <protection locked="0"/>
    </xf>
    <xf numFmtId="0" fontId="31" fillId="28" borderId="122" xfId="0" applyFont="1" applyFill="1" applyBorder="1" applyAlignment="1" applyProtection="1">
      <alignment vertical="center"/>
      <protection locked="0"/>
    </xf>
    <xf numFmtId="0" fontId="31" fillId="28" borderId="123" xfId="0" applyFont="1" applyFill="1" applyBorder="1" applyAlignment="1" applyProtection="1">
      <alignment vertical="center"/>
      <protection locked="0"/>
    </xf>
    <xf numFmtId="0" fontId="31" fillId="28" borderId="0" xfId="0" applyFont="1" applyFill="1" applyBorder="1" applyAlignment="1" applyProtection="1">
      <alignment vertical="center"/>
      <protection locked="0"/>
    </xf>
    <xf numFmtId="0" fontId="110" fillId="28" borderId="124" xfId="0" applyFont="1" applyFill="1" applyBorder="1" applyAlignment="1" applyProtection="1">
      <alignment horizontal="center" vertical="center"/>
      <protection locked="0"/>
    </xf>
    <xf numFmtId="0" fontId="7" fillId="28" borderId="123" xfId="0" applyFont="1" applyFill="1" applyBorder="1" applyAlignment="1" applyProtection="1">
      <alignment horizontal="right" vertical="center" indent="2"/>
      <protection locked="0"/>
    </xf>
    <xf numFmtId="0" fontId="7" fillId="28" borderId="0" xfId="0" applyFont="1" applyFill="1" applyBorder="1" applyAlignment="1" applyProtection="1">
      <alignment horizontal="right" vertical="center" indent="2"/>
      <protection locked="0"/>
    </xf>
    <xf numFmtId="2" fontId="7" fillId="37" borderId="123" xfId="0" applyNumberFormat="1" applyFont="1" applyFill="1" applyBorder="1" applyAlignment="1" applyProtection="1">
      <alignment horizontal="center" vertical="center"/>
      <protection locked="0"/>
    </xf>
    <xf numFmtId="2" fontId="110" fillId="37" borderId="0" xfId="0" applyNumberFormat="1" applyFont="1" applyFill="1" applyBorder="1" applyAlignment="1" applyProtection="1">
      <alignment horizontal="center" vertical="center"/>
      <protection locked="0"/>
    </xf>
    <xf numFmtId="2" fontId="110" fillId="37" borderId="124" xfId="0" applyNumberFormat="1" applyFont="1" applyFill="1" applyBorder="1" applyAlignment="1" applyProtection="1">
      <alignment horizontal="center" vertical="center"/>
      <protection locked="0"/>
    </xf>
    <xf numFmtId="170" fontId="7" fillId="37" borderId="133" xfId="0" applyNumberFormat="1" applyFont="1" applyFill="1" applyBorder="1" applyAlignment="1" applyProtection="1">
      <alignment horizontal="center" vertical="center"/>
      <protection locked="0"/>
    </xf>
    <xf numFmtId="170" fontId="110" fillId="37" borderId="134" xfId="0" applyNumberFormat="1" applyFont="1" applyFill="1" applyBorder="1" applyAlignment="1" applyProtection="1">
      <alignment horizontal="center" vertical="center"/>
      <protection locked="0"/>
    </xf>
    <xf numFmtId="170" fontId="110" fillId="37" borderId="135" xfId="0" applyNumberFormat="1" applyFont="1" applyFill="1" applyBorder="1" applyAlignment="1" applyProtection="1">
      <alignment horizontal="center" vertical="center"/>
      <protection locked="0"/>
    </xf>
    <xf numFmtId="2" fontId="7" fillId="37" borderId="133" xfId="0" applyNumberFormat="1" applyFont="1" applyFill="1" applyBorder="1" applyAlignment="1" applyProtection="1">
      <alignment horizontal="center" vertical="center"/>
      <protection locked="0"/>
    </xf>
    <xf numFmtId="2" fontId="110" fillId="37" borderId="134" xfId="0" applyNumberFormat="1" applyFont="1" applyFill="1" applyBorder="1" applyAlignment="1" applyProtection="1">
      <alignment horizontal="center" vertical="center"/>
      <protection locked="0"/>
    </xf>
    <xf numFmtId="2" fontId="110" fillId="37" borderId="135" xfId="0" applyNumberFormat="1" applyFont="1" applyFill="1" applyBorder="1" applyAlignment="1" applyProtection="1">
      <alignment horizontal="center" vertical="center"/>
      <protection locked="0"/>
    </xf>
    <xf numFmtId="0" fontId="94" fillId="0" borderId="0" xfId="0" applyFont="1" applyAlignment="1" applyProtection="1">
      <alignment vertical="center"/>
      <protection locked="0"/>
    </xf>
    <xf numFmtId="0" fontId="94" fillId="0" borderId="0" xfId="0" applyFont="1" applyProtection="1">
      <protection locked="0"/>
    </xf>
    <xf numFmtId="0" fontId="5" fillId="28" borderId="123" xfId="0" applyFont="1" applyFill="1" applyBorder="1" applyAlignment="1" applyProtection="1">
      <alignment horizontal="center" vertical="center"/>
      <protection locked="0"/>
    </xf>
    <xf numFmtId="0" fontId="5" fillId="28" borderId="0" xfId="0" applyFont="1" applyFill="1" applyBorder="1" applyAlignment="1" applyProtection="1">
      <alignment horizontal="right" vertical="center" indent="2"/>
      <protection locked="0"/>
    </xf>
    <xf numFmtId="2" fontId="5" fillId="36" borderId="127" xfId="0" applyNumberFormat="1" applyFont="1" applyFill="1" applyBorder="1" applyAlignment="1" applyProtection="1">
      <alignment horizontal="right" vertical="center" indent="2"/>
      <protection locked="0"/>
    </xf>
    <xf numFmtId="0" fontId="5" fillId="36" borderId="128" xfId="0" applyFont="1" applyFill="1" applyBorder="1" applyAlignment="1" applyProtection="1">
      <alignment vertical="center"/>
      <protection locked="0"/>
    </xf>
    <xf numFmtId="0" fontId="5" fillId="36" borderId="129" xfId="0" applyFont="1" applyFill="1" applyBorder="1" applyAlignment="1" applyProtection="1">
      <alignment horizontal="right" vertical="center" indent="2"/>
      <protection locked="0"/>
    </xf>
    <xf numFmtId="0" fontId="94" fillId="28" borderId="133" xfId="0" applyFont="1" applyFill="1" applyBorder="1" applyAlignment="1" applyProtection="1">
      <alignment vertical="center"/>
      <protection locked="0"/>
    </xf>
    <xf numFmtId="0" fontId="94" fillId="28" borderId="134" xfId="0" applyFont="1" applyFill="1" applyBorder="1" applyAlignment="1" applyProtection="1">
      <alignment vertical="center"/>
      <protection locked="0"/>
    </xf>
    <xf numFmtId="0" fontId="94" fillId="28" borderId="135" xfId="0" applyFont="1" applyFill="1" applyBorder="1" applyAlignment="1" applyProtection="1">
      <alignment vertical="center"/>
      <protection locked="0"/>
    </xf>
    <xf numFmtId="2" fontId="94" fillId="0" borderId="0" xfId="0" applyNumberFormat="1" applyFont="1" applyAlignment="1" applyProtection="1">
      <alignment vertical="center"/>
      <protection locked="0"/>
    </xf>
    <xf numFmtId="0" fontId="94" fillId="28" borderId="139" xfId="0" applyFont="1" applyFill="1" applyBorder="1" applyProtection="1">
      <protection locked="0"/>
    </xf>
    <xf numFmtId="0" fontId="94" fillId="28" borderId="140" xfId="0" applyFont="1" applyFill="1" applyBorder="1" applyProtection="1">
      <protection locked="0"/>
    </xf>
    <xf numFmtId="0" fontId="94" fillId="28" borderId="141" xfId="0" applyFont="1" applyFill="1" applyBorder="1" applyAlignment="1" applyProtection="1">
      <alignment vertical="center"/>
      <protection locked="0"/>
    </xf>
    <xf numFmtId="0" fontId="94" fillId="28" borderId="125" xfId="0" applyFont="1" applyFill="1" applyBorder="1" applyAlignment="1" applyProtection="1">
      <alignment vertical="center"/>
      <protection locked="0"/>
    </xf>
    <xf numFmtId="0" fontId="94" fillId="28" borderId="126" xfId="0" applyFont="1" applyFill="1" applyBorder="1" applyAlignment="1" applyProtection="1">
      <alignment vertical="center"/>
      <protection locked="0"/>
    </xf>
    <xf numFmtId="0" fontId="94" fillId="0" borderId="0" xfId="0" applyFont="1" applyBorder="1" applyAlignment="1" applyProtection="1">
      <alignment vertical="center"/>
      <protection locked="0"/>
    </xf>
    <xf numFmtId="0" fontId="30" fillId="25" borderId="0" xfId="0" applyFont="1" applyFill="1" applyBorder="1" applyAlignment="1" applyProtection="1">
      <alignment horizontal="center" vertical="center"/>
      <protection locked="0"/>
    </xf>
    <xf numFmtId="0" fontId="30" fillId="25" borderId="0" xfId="0" applyFont="1" applyFill="1" applyBorder="1" applyAlignment="1" applyProtection="1">
      <alignment vertical="center"/>
      <protection locked="0"/>
    </xf>
    <xf numFmtId="0" fontId="29" fillId="25" borderId="0" xfId="0" applyFont="1" applyFill="1" applyBorder="1" applyAlignment="1" applyProtection="1">
      <alignment vertical="center"/>
      <protection locked="0"/>
    </xf>
    <xf numFmtId="0" fontId="31" fillId="25" borderId="0" xfId="0" applyFont="1" applyFill="1" applyBorder="1" applyAlignment="1" applyProtection="1">
      <alignment horizontal="right" vertical="center"/>
      <protection locked="0"/>
    </xf>
    <xf numFmtId="0" fontId="0" fillId="25" borderId="0" xfId="0" applyFill="1" applyBorder="1" applyAlignment="1" applyProtection="1">
      <alignment vertical="center"/>
      <protection locked="0"/>
    </xf>
    <xf numFmtId="0" fontId="28" fillId="25" borderId="0" xfId="0" applyFont="1" applyFill="1" applyBorder="1" applyAlignment="1" applyProtection="1">
      <alignment horizontal="right" vertical="center"/>
      <protection locked="0"/>
    </xf>
    <xf numFmtId="0" fontId="0" fillId="0" borderId="0" xfId="0" applyBorder="1" applyProtection="1">
      <protection locked="0"/>
    </xf>
    <xf numFmtId="0" fontId="5" fillId="29" borderId="0" xfId="0" applyFont="1" applyFill="1" applyAlignment="1" applyProtection="1">
      <alignment vertical="center"/>
      <protection locked="0"/>
    </xf>
    <xf numFmtId="0" fontId="7" fillId="29" borderId="0" xfId="0" applyFont="1" applyFill="1" applyAlignment="1" applyProtection="1">
      <alignment vertical="center"/>
      <protection locked="0"/>
    </xf>
    <xf numFmtId="0" fontId="89" fillId="29" borderId="0" xfId="0" applyFont="1" applyFill="1" applyAlignment="1" applyProtection="1">
      <alignment vertical="center"/>
      <protection locked="0"/>
    </xf>
    <xf numFmtId="0" fontId="8" fillId="29" borderId="0" xfId="79" applyFill="1" applyAlignment="1" applyProtection="1">
      <alignment vertical="center"/>
      <protection locked="0"/>
    </xf>
    <xf numFmtId="0" fontId="7" fillId="29" borderId="0" xfId="0" applyNumberFormat="1" applyFont="1" applyFill="1" applyAlignment="1" applyProtection="1">
      <alignment vertical="center"/>
      <protection locked="0"/>
    </xf>
    <xf numFmtId="0" fontId="45" fillId="29" borderId="0" xfId="0" applyFont="1" applyFill="1" applyAlignment="1" applyProtection="1">
      <alignment vertical="center"/>
      <protection locked="0"/>
    </xf>
    <xf numFmtId="0" fontId="0" fillId="29" borderId="0" xfId="0" applyFill="1" applyAlignment="1" applyProtection="1">
      <alignment horizontal="left" vertical="center"/>
      <protection locked="0"/>
    </xf>
    <xf numFmtId="0" fontId="0" fillId="29" borderId="0" xfId="0" applyNumberFormat="1" applyFill="1" applyAlignment="1" applyProtection="1">
      <alignment vertical="center"/>
      <protection locked="0"/>
    </xf>
    <xf numFmtId="0" fontId="5" fillId="32" borderId="142" xfId="0" applyFont="1" applyFill="1" applyBorder="1" applyAlignment="1" applyProtection="1">
      <alignment vertical="center"/>
      <protection locked="0"/>
    </xf>
    <xf numFmtId="0" fontId="0" fillId="32" borderId="143" xfId="0" applyFill="1" applyBorder="1" applyAlignment="1" applyProtection="1">
      <alignment vertical="center"/>
      <protection locked="0"/>
    </xf>
    <xf numFmtId="0" fontId="0" fillId="32" borderId="144" xfId="0" applyFill="1" applyBorder="1" applyAlignment="1" applyProtection="1">
      <alignment vertical="center"/>
      <protection locked="0"/>
    </xf>
    <xf numFmtId="0" fontId="5" fillId="29" borderId="0" xfId="0" applyFont="1" applyFill="1" applyBorder="1" applyAlignment="1" applyProtection="1">
      <alignment vertical="center"/>
      <protection locked="0"/>
    </xf>
    <xf numFmtId="0" fontId="0" fillId="29" borderId="0" xfId="0" applyFill="1" applyBorder="1" applyAlignment="1" applyProtection="1">
      <alignment vertical="center"/>
      <protection locked="0"/>
    </xf>
    <xf numFmtId="0" fontId="0" fillId="29" borderId="145" xfId="0" applyFill="1" applyBorder="1" applyAlignment="1" applyProtection="1">
      <alignment vertical="center"/>
      <protection locked="0"/>
    </xf>
    <xf numFmtId="0" fontId="109" fillId="29" borderId="0" xfId="0" applyFont="1" applyFill="1" applyAlignment="1" applyProtection="1">
      <alignment vertical="center"/>
      <protection locked="0"/>
    </xf>
    <xf numFmtId="0" fontId="7" fillId="29" borderId="0" xfId="0" applyFont="1" applyFill="1" applyBorder="1" applyAlignment="1" applyProtection="1">
      <alignment vertical="center"/>
      <protection locked="0"/>
    </xf>
    <xf numFmtId="0" fontId="7" fillId="29" borderId="0" xfId="0" applyFont="1" applyFill="1" applyAlignment="1" applyProtection="1">
      <alignment vertical="center" wrapText="1"/>
      <protection locked="0"/>
    </xf>
    <xf numFmtId="0" fontId="5" fillId="37" borderId="142" xfId="0" applyFont="1" applyFill="1" applyBorder="1" applyAlignment="1" applyProtection="1">
      <alignment vertical="center"/>
      <protection locked="0"/>
    </xf>
    <xf numFmtId="0" fontId="0" fillId="37" borderId="143" xfId="0" applyFill="1" applyBorder="1" applyAlignment="1" applyProtection="1">
      <alignment vertical="center"/>
      <protection locked="0"/>
    </xf>
    <xf numFmtId="0" fontId="0" fillId="37" borderId="144" xfId="0" applyFill="1" applyBorder="1" applyAlignment="1" applyProtection="1">
      <alignment vertical="center"/>
      <protection locked="0"/>
    </xf>
    <xf numFmtId="0" fontId="76" fillId="29" borderId="0" xfId="0" applyFont="1" applyFill="1" applyAlignment="1" applyProtection="1">
      <alignment horizontal="left" vertical="center"/>
      <protection locked="0"/>
    </xf>
    <xf numFmtId="0" fontId="0" fillId="29" borderId="0" xfId="0" applyFill="1" applyAlignment="1" applyProtection="1">
      <alignment horizontal="right" vertical="center"/>
      <protection locked="0"/>
    </xf>
    <xf numFmtId="0" fontId="7" fillId="29" borderId="0" xfId="0" applyFont="1" applyFill="1" applyAlignment="1" applyProtection="1">
      <alignment horizontal="left" vertical="center"/>
      <protection locked="0"/>
    </xf>
    <xf numFmtId="0" fontId="0" fillId="27" borderId="131" xfId="0" applyFill="1" applyBorder="1" applyAlignment="1" applyProtection="1">
      <alignment vertical="center"/>
      <protection locked="0"/>
    </xf>
    <xf numFmtId="0" fontId="0" fillId="37" borderId="131" xfId="0" applyFill="1" applyBorder="1" applyAlignment="1" applyProtection="1">
      <alignment vertical="center"/>
      <protection locked="0"/>
    </xf>
    <xf numFmtId="0" fontId="0" fillId="27" borderId="131" xfId="0" applyFill="1" applyBorder="1" applyAlignment="1" applyProtection="1">
      <alignment horizontal="right" vertical="center"/>
      <protection locked="0"/>
    </xf>
    <xf numFmtId="0" fontId="7" fillId="29" borderId="0" xfId="0" applyFont="1" applyFill="1" applyAlignment="1" applyProtection="1">
      <alignment horizontal="center" vertical="center"/>
      <protection locked="0"/>
    </xf>
    <xf numFmtId="166" fontId="0" fillId="29" borderId="0" xfId="0" applyNumberFormat="1" applyFill="1" applyAlignment="1" applyProtection="1">
      <alignment vertical="center"/>
      <protection locked="0"/>
    </xf>
    <xf numFmtId="166" fontId="7" fillId="29" borderId="0" xfId="0" applyNumberFormat="1" applyFont="1" applyFill="1" applyAlignment="1" applyProtection="1">
      <alignment vertical="center"/>
      <protection locked="0"/>
    </xf>
    <xf numFmtId="0" fontId="5" fillId="29" borderId="0" xfId="0" applyFont="1" applyFill="1" applyAlignment="1" applyProtection="1">
      <alignment horizontal="right" vertical="center"/>
      <protection locked="0"/>
    </xf>
    <xf numFmtId="166" fontId="5" fillId="29" borderId="0" xfId="0" applyNumberFormat="1" applyFont="1" applyFill="1" applyAlignment="1" applyProtection="1">
      <alignment horizontal="right" vertical="center"/>
      <protection locked="0"/>
    </xf>
    <xf numFmtId="0" fontId="5" fillId="29" borderId="0" xfId="0" applyFont="1" applyFill="1" applyAlignment="1" applyProtection="1">
      <alignment horizontal="left" vertical="center"/>
      <protection locked="0"/>
    </xf>
    <xf numFmtId="166" fontId="93" fillId="29" borderId="0" xfId="0" applyNumberFormat="1" applyFont="1" applyFill="1" applyAlignment="1" applyProtection="1">
      <alignment vertical="center"/>
      <protection locked="0"/>
    </xf>
    <xf numFmtId="166" fontId="8" fillId="29" borderId="0" xfId="79" applyNumberFormat="1" applyFill="1" applyAlignment="1" applyProtection="1">
      <alignment vertical="center"/>
      <protection locked="0"/>
    </xf>
    <xf numFmtId="0" fontId="5" fillId="29" borderId="0" xfId="0" applyNumberFormat="1" applyFont="1" applyFill="1" applyAlignment="1" applyProtection="1">
      <alignment vertical="center"/>
      <protection locked="0"/>
    </xf>
    <xf numFmtId="0" fontId="7" fillId="29" borderId="0" xfId="0" applyFont="1" applyFill="1" applyAlignment="1" applyProtection="1">
      <alignment horizontal="right" vertical="center"/>
      <protection locked="0"/>
    </xf>
    <xf numFmtId="0" fontId="0" fillId="27" borderId="146" xfId="0" applyFill="1" applyBorder="1" applyAlignment="1" applyProtection="1">
      <alignment horizontal="center" vertical="center"/>
      <protection locked="0"/>
    </xf>
    <xf numFmtId="0" fontId="93" fillId="29" borderId="0" xfId="0" applyFont="1" applyFill="1" applyAlignment="1" applyProtection="1">
      <alignment horizontal="center" vertical="center"/>
      <protection locked="0"/>
    </xf>
    <xf numFmtId="166" fontId="0" fillId="27" borderId="146" xfId="0" applyNumberFormat="1" applyFill="1" applyBorder="1" applyAlignment="1" applyProtection="1">
      <alignment vertical="center"/>
      <protection locked="0"/>
    </xf>
    <xf numFmtId="0" fontId="5" fillId="36" borderId="142" xfId="0" applyFont="1" applyFill="1" applyBorder="1" applyAlignment="1" applyProtection="1">
      <alignment vertical="center"/>
      <protection locked="0"/>
    </xf>
    <xf numFmtId="0" fontId="0" fillId="36" borderId="143" xfId="0" applyFill="1" applyBorder="1" applyAlignment="1" applyProtection="1">
      <alignment vertical="center"/>
      <protection locked="0"/>
    </xf>
    <xf numFmtId="0" fontId="90" fillId="36" borderId="143" xfId="0" applyFont="1" applyFill="1" applyBorder="1" applyAlignment="1" applyProtection="1">
      <alignment vertical="center"/>
      <protection locked="0"/>
    </xf>
    <xf numFmtId="168" fontId="91" fillId="36" borderId="143" xfId="0" applyNumberFormat="1" applyFont="1" applyFill="1" applyBorder="1" applyAlignment="1" applyProtection="1">
      <alignment vertical="center"/>
      <protection locked="0"/>
    </xf>
    <xf numFmtId="0" fontId="91" fillId="36" borderId="143" xfId="0" applyFont="1" applyFill="1" applyBorder="1" applyAlignment="1" applyProtection="1">
      <alignment horizontal="left" vertical="center" indent="2"/>
      <protection locked="0"/>
    </xf>
    <xf numFmtId="0" fontId="0" fillId="36" borderId="144" xfId="0" applyFill="1" applyBorder="1" applyAlignment="1" applyProtection="1">
      <alignment vertical="center"/>
      <protection locked="0"/>
    </xf>
    <xf numFmtId="0" fontId="0" fillId="0" borderId="0" xfId="0" applyFill="1" applyAlignment="1" applyProtection="1">
      <alignment horizontal="left" vertical="center"/>
      <protection locked="0"/>
    </xf>
    <xf numFmtId="0" fontId="0" fillId="0" borderId="0" xfId="0" applyFill="1" applyAlignment="1" applyProtection="1">
      <alignment horizontal="center" vertical="center"/>
      <protection locked="0"/>
    </xf>
    <xf numFmtId="0" fontId="0" fillId="0" borderId="0" xfId="0" applyAlignment="1" applyProtection="1">
      <alignment horizontal="center" vertical="center"/>
      <protection locked="0"/>
    </xf>
    <xf numFmtId="0" fontId="0" fillId="0" borderId="0" xfId="0" applyFill="1" applyBorder="1" applyAlignment="1" applyProtection="1">
      <alignment horizontal="center" vertical="center"/>
      <protection locked="0"/>
    </xf>
    <xf numFmtId="0" fontId="0" fillId="0" borderId="0" xfId="0" applyBorder="1" applyAlignment="1" applyProtection="1">
      <alignment horizontal="center" vertical="center"/>
      <protection locked="0"/>
    </xf>
    <xf numFmtId="0" fontId="0" fillId="0" borderId="0" xfId="0" applyBorder="1" applyAlignment="1" applyProtection="1">
      <alignment vertical="center"/>
      <protection locked="0"/>
    </xf>
    <xf numFmtId="0" fontId="8" fillId="29" borderId="0" xfId="79" applyFill="1" applyAlignment="1" applyProtection="1">
      <protection locked="0"/>
    </xf>
    <xf numFmtId="0" fontId="5" fillId="29" borderId="0" xfId="0" applyFont="1" applyFill="1" applyProtection="1">
      <protection locked="0"/>
    </xf>
    <xf numFmtId="0" fontId="0" fillId="29" borderId="0" xfId="0" applyFill="1" applyAlignment="1" applyProtection="1">
      <alignment horizontal="left"/>
      <protection locked="0"/>
    </xf>
    <xf numFmtId="0" fontId="118" fillId="29" borderId="0" xfId="0" applyFont="1" applyFill="1" applyAlignment="1" applyProtection="1">
      <alignment vertical="center"/>
      <protection locked="0"/>
    </xf>
    <xf numFmtId="0" fontId="0" fillId="29" borderId="0" xfId="0" applyFill="1" applyAlignment="1" applyProtection="1">
      <alignment horizontal="right" vertical="center" indent="1"/>
      <protection locked="0"/>
    </xf>
    <xf numFmtId="0" fontId="5" fillId="33" borderId="0" xfId="0" applyFont="1" applyFill="1" applyAlignment="1" applyProtection="1">
      <alignment horizontal="left" vertical="center"/>
      <protection locked="0"/>
    </xf>
    <xf numFmtId="0" fontId="5" fillId="33" borderId="0" xfId="0" applyFont="1" applyFill="1" applyAlignment="1" applyProtection="1">
      <alignment vertical="center"/>
      <protection locked="0"/>
    </xf>
    <xf numFmtId="0" fontId="5" fillId="33" borderId="0" xfId="0" applyFont="1" applyFill="1" applyBorder="1" applyAlignment="1" applyProtection="1">
      <alignment vertical="center"/>
      <protection locked="0"/>
    </xf>
    <xf numFmtId="0" fontId="5" fillId="33" borderId="0" xfId="0" applyFont="1" applyFill="1" applyAlignment="1" applyProtection="1">
      <alignment horizontal="center" vertical="center"/>
      <protection locked="0"/>
    </xf>
    <xf numFmtId="0" fontId="45" fillId="29" borderId="0" xfId="0" applyFont="1" applyFill="1" applyAlignment="1" applyProtection="1">
      <alignment horizontal="left" vertical="center"/>
      <protection locked="0"/>
    </xf>
    <xf numFmtId="0" fontId="0" fillId="29" borderId="0" xfId="0" applyFill="1" applyAlignment="1" applyProtection="1">
      <alignment horizontal="center" vertical="center"/>
      <protection locked="0"/>
    </xf>
    <xf numFmtId="0" fontId="45" fillId="29" borderId="0" xfId="0" applyFont="1" applyFill="1" applyAlignment="1" applyProtection="1">
      <alignment horizontal="right" vertical="center"/>
      <protection locked="0"/>
    </xf>
    <xf numFmtId="0" fontId="97" fillId="29" borderId="0" xfId="0" applyFont="1" applyFill="1" applyAlignment="1" applyProtection="1">
      <alignment horizontal="left" vertical="center"/>
      <protection locked="0"/>
    </xf>
    <xf numFmtId="0" fontId="7" fillId="29" borderId="0" xfId="0" quotePrefix="1" applyFont="1" applyFill="1" applyAlignment="1" applyProtection="1">
      <alignment vertical="center"/>
      <protection locked="0"/>
    </xf>
    <xf numFmtId="0" fontId="7" fillId="29" borderId="0" xfId="0" applyFont="1" applyFill="1" applyAlignment="1" applyProtection="1">
      <alignment horizontal="center" vertical="center" wrapText="1"/>
      <protection locked="0"/>
    </xf>
    <xf numFmtId="0" fontId="0" fillId="27" borderId="146" xfId="0" applyFill="1" applyBorder="1" applyAlignment="1" applyProtection="1">
      <alignment vertical="center"/>
      <protection locked="0"/>
    </xf>
    <xf numFmtId="0" fontId="7" fillId="29" borderId="0" xfId="0" quotePrefix="1" applyFont="1" applyFill="1" applyAlignment="1" applyProtection="1">
      <alignment vertical="center" wrapText="1"/>
      <protection locked="0"/>
    </xf>
    <xf numFmtId="0" fontId="110" fillId="27" borderId="131" xfId="0" applyFont="1" applyFill="1" applyBorder="1" applyAlignment="1" applyProtection="1">
      <alignment vertical="center"/>
      <protection locked="0"/>
    </xf>
    <xf numFmtId="0" fontId="45" fillId="29" borderId="0" xfId="0" applyFont="1" applyFill="1" applyAlignment="1" applyProtection="1">
      <alignment horizontal="right" vertical="center" wrapText="1"/>
      <protection locked="0"/>
    </xf>
    <xf numFmtId="0" fontId="0" fillId="27" borderId="146" xfId="0" applyFill="1" applyBorder="1" applyAlignment="1" applyProtection="1">
      <alignment horizontal="right" vertical="center"/>
      <protection locked="0"/>
    </xf>
    <xf numFmtId="0" fontId="87" fillId="29" borderId="0" xfId="0" applyFont="1" applyFill="1" applyAlignment="1" applyProtection="1">
      <alignment horizontal="center" vertical="center"/>
      <protection locked="0"/>
    </xf>
    <xf numFmtId="2" fontId="5" fillId="29" borderId="0" xfId="0" applyNumberFormat="1" applyFont="1" applyFill="1" applyAlignment="1" applyProtection="1">
      <alignment vertical="center"/>
      <protection locked="0"/>
    </xf>
    <xf numFmtId="0" fontId="0" fillId="29" borderId="147" xfId="0" applyFill="1" applyBorder="1" applyAlignment="1" applyProtection="1">
      <alignment vertical="center"/>
      <protection locked="0"/>
    </xf>
    <xf numFmtId="0" fontId="0" fillId="27" borderId="148" xfId="0" applyFill="1" applyBorder="1" applyAlignment="1" applyProtection="1">
      <alignment horizontal="center" vertical="center"/>
      <protection locked="0"/>
    </xf>
    <xf numFmtId="0" fontId="0" fillId="27" borderId="149" xfId="0" applyFill="1" applyBorder="1" applyAlignment="1" applyProtection="1">
      <alignment horizontal="center" vertical="center"/>
      <protection locked="0"/>
    </xf>
    <xf numFmtId="0" fontId="119" fillId="36" borderId="143" xfId="0" applyFont="1" applyFill="1" applyBorder="1" applyAlignment="1" applyProtection="1">
      <alignment vertical="center"/>
      <protection locked="0"/>
    </xf>
    <xf numFmtId="2" fontId="120" fillId="36" borderId="143" xfId="0" applyNumberFormat="1" applyFont="1" applyFill="1" applyBorder="1" applyAlignment="1" applyProtection="1">
      <alignment vertical="center"/>
      <protection locked="0"/>
    </xf>
    <xf numFmtId="0" fontId="119" fillId="36" borderId="144" xfId="0" applyFont="1" applyFill="1" applyBorder="1" applyAlignment="1" applyProtection="1">
      <alignment vertical="center"/>
      <protection locked="0"/>
    </xf>
    <xf numFmtId="2" fontId="0" fillId="29" borderId="0" xfId="0" applyNumberFormat="1" applyFill="1" applyAlignment="1" applyProtection="1">
      <alignment vertical="center"/>
      <protection locked="0"/>
    </xf>
    <xf numFmtId="0" fontId="130" fillId="0" borderId="0" xfId="0" applyFont="1" applyProtection="1">
      <protection hidden="1"/>
    </xf>
    <xf numFmtId="2" fontId="58" fillId="27" borderId="150" xfId="0" applyNumberFormat="1" applyFont="1" applyFill="1" applyBorder="1" applyProtection="1">
      <protection locked="0"/>
    </xf>
    <xf numFmtId="166" fontId="5" fillId="28" borderId="12" xfId="0" applyNumberFormat="1" applyFont="1" applyFill="1" applyBorder="1" applyProtection="1">
      <protection locked="0"/>
    </xf>
    <xf numFmtId="2" fontId="7" fillId="28" borderId="18" xfId="0" applyNumberFormat="1" applyFont="1" applyFill="1" applyBorder="1" applyProtection="1">
      <protection locked="0"/>
    </xf>
    <xf numFmtId="166" fontId="0" fillId="28" borderId="18" xfId="0" applyNumberFormat="1" applyFill="1" applyBorder="1" applyProtection="1">
      <protection locked="0"/>
    </xf>
    <xf numFmtId="0" fontId="0" fillId="32" borderId="0" xfId="0" applyFill="1" applyBorder="1" applyAlignment="1" applyProtection="1">
      <alignment vertical="top"/>
      <protection locked="0"/>
    </xf>
    <xf numFmtId="0" fontId="0" fillId="32" borderId="19" xfId="0" applyFill="1" applyBorder="1" applyAlignment="1" applyProtection="1">
      <alignment vertical="top"/>
      <protection locked="0"/>
    </xf>
    <xf numFmtId="0" fontId="5" fillId="28" borderId="87" xfId="0" applyFont="1" applyFill="1" applyBorder="1" applyAlignment="1" applyProtection="1">
      <alignment horizontal="left"/>
      <protection locked="0"/>
    </xf>
    <xf numFmtId="0" fontId="5" fillId="28" borderId="17" xfId="0" applyFont="1" applyFill="1" applyBorder="1" applyAlignment="1" applyProtection="1">
      <alignment horizontal="left"/>
      <protection locked="0"/>
    </xf>
    <xf numFmtId="2" fontId="7" fillId="28" borderId="87" xfId="0" applyNumberFormat="1" applyFont="1" applyFill="1" applyBorder="1" applyProtection="1">
      <protection locked="0"/>
    </xf>
    <xf numFmtId="2" fontId="7" fillId="28" borderId="17" xfId="0" applyNumberFormat="1" applyFont="1" applyFill="1" applyBorder="1" applyProtection="1">
      <protection locked="0"/>
    </xf>
    <xf numFmtId="2" fontId="7" fillId="28" borderId="108" xfId="0" applyNumberFormat="1" applyFont="1" applyFill="1" applyBorder="1" applyProtection="1">
      <protection locked="0"/>
    </xf>
    <xf numFmtId="166" fontId="5" fillId="28" borderId="17" xfId="0" applyNumberFormat="1" applyFont="1" applyFill="1" applyBorder="1" applyProtection="1">
      <protection locked="0"/>
    </xf>
    <xf numFmtId="166" fontId="0" fillId="28" borderId="109" xfId="0" applyNumberFormat="1" applyFill="1" applyBorder="1" applyProtection="1">
      <protection locked="0"/>
    </xf>
    <xf numFmtId="166" fontId="0" fillId="27" borderId="0" xfId="0" applyNumberFormat="1" applyFill="1" applyBorder="1" applyProtection="1">
      <protection locked="0"/>
    </xf>
    <xf numFmtId="2" fontId="27" fillId="28" borderId="12" xfId="0" applyNumberFormat="1" applyFont="1" applyFill="1" applyBorder="1" applyAlignment="1" applyProtection="1">
      <alignment horizontal="left"/>
      <protection locked="0"/>
    </xf>
    <xf numFmtId="2" fontId="7" fillId="28" borderId="12" xfId="0" applyNumberFormat="1" applyFont="1" applyFill="1" applyBorder="1" applyAlignment="1" applyProtection="1">
      <alignment horizontal="left"/>
      <protection locked="0"/>
    </xf>
    <xf numFmtId="2" fontId="78" fillId="28" borderId="12" xfId="0" applyNumberFormat="1" applyFont="1" applyFill="1" applyBorder="1" applyAlignment="1" applyProtection="1">
      <alignment horizontal="left"/>
      <protection locked="0"/>
    </xf>
    <xf numFmtId="0" fontId="28" fillId="25" borderId="0" xfId="0" applyFont="1" applyFill="1" applyBorder="1" applyAlignment="1">
      <alignment horizontal="left" wrapText="1"/>
    </xf>
    <xf numFmtId="0" fontId="28" fillId="25" borderId="0" xfId="0" applyFont="1" applyFill="1" applyBorder="1" applyAlignment="1">
      <alignment horizontal="right" wrapText="1"/>
    </xf>
    <xf numFmtId="0" fontId="38" fillId="0" borderId="0" xfId="0" applyFont="1" applyProtection="1">
      <protection locked="0"/>
    </xf>
    <xf numFmtId="0" fontId="39" fillId="0" borderId="0" xfId="0" applyFont="1" applyProtection="1">
      <protection locked="0"/>
    </xf>
    <xf numFmtId="0" fontId="38" fillId="0" borderId="0" xfId="0" applyFont="1" applyProtection="1"/>
    <xf numFmtId="0" fontId="39" fillId="0" borderId="0" xfId="0" applyFont="1" applyProtection="1"/>
    <xf numFmtId="0" fontId="62" fillId="25" borderId="11" xfId="0" applyFont="1" applyFill="1" applyBorder="1" applyProtection="1"/>
    <xf numFmtId="0" fontId="38" fillId="0" borderId="0" xfId="0" applyFont="1" applyBorder="1" applyProtection="1"/>
    <xf numFmtId="0" fontId="68" fillId="25" borderId="24" xfId="0" applyFont="1" applyFill="1" applyBorder="1" applyAlignment="1" applyProtection="1">
      <alignment horizontal="left"/>
    </xf>
    <xf numFmtId="0" fontId="62" fillId="25" borderId="24" xfId="0" applyFont="1" applyFill="1" applyBorder="1" applyProtection="1"/>
    <xf numFmtId="0" fontId="61" fillId="25" borderId="24" xfId="0" applyFont="1" applyFill="1" applyBorder="1" applyAlignment="1" applyProtection="1">
      <alignment horizontal="center"/>
    </xf>
    <xf numFmtId="0" fontId="62" fillId="25" borderId="27" xfId="0" applyFont="1" applyFill="1" applyBorder="1" applyProtection="1"/>
    <xf numFmtId="0" fontId="63" fillId="25" borderId="117" xfId="0" applyFont="1" applyFill="1" applyBorder="1" applyProtection="1"/>
    <xf numFmtId="0" fontId="64" fillId="25" borderId="118" xfId="0" applyFont="1" applyFill="1" applyBorder="1" applyAlignment="1" applyProtection="1">
      <alignment horizontal="right"/>
    </xf>
    <xf numFmtId="0" fontId="64" fillId="25" borderId="118" xfId="0" applyFont="1" applyFill="1" applyBorder="1" applyAlignment="1" applyProtection="1">
      <alignment horizontal="center"/>
    </xf>
    <xf numFmtId="0" fontId="65" fillId="25" borderId="118" xfId="0" applyFont="1" applyFill="1" applyBorder="1" applyAlignment="1" applyProtection="1">
      <alignment horizontal="left" wrapText="1"/>
    </xf>
    <xf numFmtId="0" fontId="64" fillId="25" borderId="99" xfId="0" applyFont="1" applyFill="1" applyBorder="1" applyProtection="1"/>
    <xf numFmtId="0" fontId="71" fillId="0" borderId="0" xfId="0" applyFont="1" applyFill="1" applyAlignment="1">
      <alignment horizontal="left" wrapText="1"/>
    </xf>
    <xf numFmtId="0" fontId="7" fillId="41" borderId="0" xfId="111" applyFill="1" applyProtection="1">
      <protection locked="0"/>
    </xf>
    <xf numFmtId="0" fontId="30" fillId="25" borderId="110" xfId="111" applyFont="1" applyFill="1" applyBorder="1" applyAlignment="1" applyProtection="1">
      <alignment horizontal="left" vertical="center"/>
      <protection locked="0"/>
    </xf>
    <xf numFmtId="0" fontId="30" fillId="25" borderId="49" xfId="111" applyFont="1" applyFill="1" applyBorder="1" applyAlignment="1" applyProtection="1">
      <alignment horizontal="center" vertical="center"/>
      <protection locked="0"/>
    </xf>
    <xf numFmtId="0" fontId="30" fillId="25" borderId="49" xfId="111" applyFont="1" applyFill="1" applyBorder="1" applyAlignment="1" applyProtection="1">
      <alignment vertical="center"/>
      <protection locked="0"/>
    </xf>
    <xf numFmtId="0" fontId="29" fillId="25" borderId="49" xfId="111" applyFont="1" applyFill="1" applyBorder="1" applyAlignment="1" applyProtection="1">
      <alignment vertical="center"/>
      <protection locked="0"/>
    </xf>
    <xf numFmtId="0" fontId="31" fillId="25" borderId="49" xfId="111" applyFont="1" applyFill="1" applyBorder="1" applyAlignment="1" applyProtection="1">
      <alignment horizontal="right" vertical="center"/>
      <protection locked="0"/>
    </xf>
    <xf numFmtId="0" fontId="7" fillId="25" borderId="49" xfId="111" applyFill="1" applyBorder="1" applyAlignment="1" applyProtection="1">
      <alignment vertical="center"/>
      <protection locked="0"/>
    </xf>
    <xf numFmtId="0" fontId="28" fillId="25" borderId="49" xfId="111" applyFont="1" applyFill="1" applyBorder="1" applyAlignment="1" applyProtection="1">
      <alignment horizontal="right" vertical="center"/>
      <protection locked="0"/>
    </xf>
    <xf numFmtId="0" fontId="28" fillId="25" borderId="11" xfId="111" applyFont="1" applyFill="1" applyBorder="1" applyAlignment="1" applyProtection="1">
      <alignment horizontal="right" vertical="center"/>
      <protection locked="0"/>
    </xf>
    <xf numFmtId="0" fontId="7" fillId="41" borderId="0" xfId="111" applyFill="1" applyBorder="1" applyProtection="1">
      <protection locked="0"/>
    </xf>
    <xf numFmtId="0" fontId="7" fillId="41" borderId="0" xfId="112" applyFill="1" applyProtection="1">
      <protection locked="0"/>
    </xf>
    <xf numFmtId="0" fontId="7" fillId="42" borderId="116" xfId="112" applyFill="1" applyBorder="1" applyProtection="1">
      <protection locked="0"/>
    </xf>
    <xf numFmtId="0" fontId="134" fillId="42" borderId="24" xfId="112" applyFont="1" applyFill="1" applyBorder="1" applyProtection="1">
      <protection locked="0"/>
    </xf>
    <xf numFmtId="0" fontId="7" fillId="42" borderId="24" xfId="112" applyFill="1" applyBorder="1" applyAlignment="1" applyProtection="1">
      <alignment horizontal="right"/>
      <protection locked="0"/>
    </xf>
    <xf numFmtId="0" fontId="7" fillId="42" borderId="24" xfId="112" applyFill="1" applyBorder="1" applyProtection="1">
      <protection locked="0"/>
    </xf>
    <xf numFmtId="0" fontId="7" fillId="42" borderId="27" xfId="112" applyFill="1" applyBorder="1" applyProtection="1">
      <protection locked="0"/>
    </xf>
    <xf numFmtId="0" fontId="7" fillId="42" borderId="33" xfId="112" applyFill="1" applyBorder="1" applyProtection="1">
      <protection locked="0"/>
    </xf>
    <xf numFmtId="0" fontId="7" fillId="42" borderId="0" xfId="112" applyFill="1" applyBorder="1" applyProtection="1">
      <protection locked="0"/>
    </xf>
    <xf numFmtId="0" fontId="7" fillId="42" borderId="0" xfId="112" applyFont="1" applyFill="1" applyBorder="1" applyAlignment="1" applyProtection="1">
      <alignment horizontal="center" wrapText="1"/>
      <protection locked="0"/>
    </xf>
    <xf numFmtId="0" fontId="7" fillId="42" borderId="0" xfId="112" applyFill="1" applyBorder="1" applyAlignment="1" applyProtection="1">
      <alignment horizontal="center"/>
      <protection locked="0"/>
    </xf>
    <xf numFmtId="0" fontId="7" fillId="42" borderId="19" xfId="112" applyFill="1" applyBorder="1" applyProtection="1">
      <protection locked="0"/>
    </xf>
    <xf numFmtId="0" fontId="7" fillId="42" borderId="0" xfId="112" applyFont="1" applyFill="1" applyBorder="1" applyAlignment="1" applyProtection="1">
      <alignment horizontal="center"/>
      <protection locked="0"/>
    </xf>
    <xf numFmtId="0" fontId="7" fillId="42" borderId="0" xfId="112" applyFill="1" applyProtection="1">
      <protection locked="0"/>
    </xf>
    <xf numFmtId="166" fontId="58" fillId="41" borderId="151" xfId="112" applyNumberFormat="1" applyFont="1" applyFill="1" applyBorder="1" applyAlignment="1" applyProtection="1">
      <alignment horizontal="left"/>
      <protection locked="0"/>
    </xf>
    <xf numFmtId="166" fontId="58" fillId="41" borderId="152" xfId="112" applyNumberFormat="1" applyFont="1" applyFill="1" applyBorder="1" applyAlignment="1" applyProtection="1">
      <alignment horizontal="right" indent="1"/>
      <protection locked="0"/>
    </xf>
    <xf numFmtId="9" fontId="58" fillId="41" borderId="153" xfId="112" applyNumberFormat="1" applyFont="1" applyFill="1" applyBorder="1" applyAlignment="1" applyProtection="1">
      <alignment horizontal="center"/>
      <protection locked="0"/>
    </xf>
    <xf numFmtId="0" fontId="7" fillId="42" borderId="0" xfId="112" applyFill="1" applyBorder="1" applyAlignment="1" applyProtection="1">
      <alignment horizontal="right" indent="1"/>
      <protection locked="0"/>
    </xf>
    <xf numFmtId="0" fontId="7" fillId="42" borderId="0" xfId="112" applyFont="1" applyFill="1" applyBorder="1" applyAlignment="1" applyProtection="1">
      <alignment horizontal="right" indent="1"/>
      <protection locked="0"/>
    </xf>
    <xf numFmtId="166" fontId="58" fillId="41" borderId="154" xfId="112" applyNumberFormat="1" applyFont="1" applyFill="1" applyBorder="1" applyAlignment="1" applyProtection="1">
      <alignment horizontal="left"/>
      <protection locked="0"/>
    </xf>
    <xf numFmtId="166" fontId="58" fillId="41" borderId="5" xfId="112" applyNumberFormat="1" applyFont="1" applyFill="1" applyBorder="1" applyAlignment="1" applyProtection="1">
      <alignment horizontal="right" indent="1"/>
      <protection locked="0"/>
    </xf>
    <xf numFmtId="9" fontId="58" fillId="41" borderId="155" xfId="112" applyNumberFormat="1" applyFont="1" applyFill="1" applyBorder="1" applyAlignment="1" applyProtection="1">
      <alignment horizontal="center"/>
      <protection locked="0"/>
    </xf>
    <xf numFmtId="1" fontId="58" fillId="41" borderId="197" xfId="112" applyNumberFormat="1" applyFont="1" applyFill="1" applyBorder="1" applyAlignment="1" applyProtection="1">
      <alignment horizontal="right" indent="1"/>
      <protection locked="0"/>
    </xf>
    <xf numFmtId="1" fontId="58" fillId="41" borderId="198" xfId="112" applyNumberFormat="1" applyFont="1" applyFill="1" applyBorder="1" applyAlignment="1" applyProtection="1">
      <alignment horizontal="right" indent="1"/>
      <protection locked="0"/>
    </xf>
    <xf numFmtId="1" fontId="58" fillId="41" borderId="11" xfId="112" applyNumberFormat="1" applyFont="1" applyFill="1" applyBorder="1" applyAlignment="1" applyProtection="1">
      <alignment horizontal="right" indent="1"/>
      <protection locked="0"/>
    </xf>
    <xf numFmtId="166" fontId="58" fillId="41" borderId="154" xfId="112" applyNumberFormat="1" applyFont="1" applyFill="1" applyBorder="1" applyAlignment="1" applyProtection="1">
      <alignment horizontal="left" indent="1"/>
      <protection locked="0"/>
    </xf>
    <xf numFmtId="9" fontId="7" fillId="41" borderId="155" xfId="112" applyNumberFormat="1" applyFill="1" applyBorder="1" applyAlignment="1" applyProtection="1">
      <alignment horizontal="center"/>
      <protection locked="0"/>
    </xf>
    <xf numFmtId="1" fontId="58" fillId="41" borderId="151" xfId="112" applyNumberFormat="1" applyFont="1" applyFill="1" applyBorder="1" applyAlignment="1" applyProtection="1">
      <alignment horizontal="right" indent="1"/>
      <protection locked="0"/>
    </xf>
    <xf numFmtId="1" fontId="58" fillId="41" borderId="152" xfId="112" applyNumberFormat="1" applyFont="1" applyFill="1" applyBorder="1" applyAlignment="1" applyProtection="1">
      <alignment horizontal="right" indent="1"/>
      <protection locked="0"/>
    </xf>
    <xf numFmtId="1" fontId="58" fillId="41" borderId="156" xfId="112" applyNumberFormat="1" applyFont="1" applyFill="1" applyBorder="1" applyAlignment="1" applyProtection="1">
      <alignment horizontal="right" indent="1"/>
      <protection locked="0"/>
    </xf>
    <xf numFmtId="1" fontId="58" fillId="41" borderId="154" xfId="112" applyNumberFormat="1" applyFont="1" applyFill="1" applyBorder="1" applyAlignment="1" applyProtection="1">
      <alignment horizontal="right" indent="1"/>
      <protection locked="0"/>
    </xf>
    <xf numFmtId="1" fontId="58" fillId="41" borderId="5" xfId="112" applyNumberFormat="1" applyFont="1" applyFill="1" applyBorder="1" applyAlignment="1" applyProtection="1">
      <alignment horizontal="right" indent="1"/>
      <protection locked="0"/>
    </xf>
    <xf numFmtId="1" fontId="58" fillId="41" borderId="157" xfId="112" applyNumberFormat="1" applyFont="1" applyFill="1" applyBorder="1" applyAlignment="1" applyProtection="1">
      <alignment horizontal="right" indent="1"/>
      <protection locked="0"/>
    </xf>
    <xf numFmtId="1" fontId="58" fillId="41" borderId="158" xfId="112" applyNumberFormat="1" applyFont="1" applyFill="1" applyBorder="1" applyAlignment="1" applyProtection="1">
      <alignment horizontal="right" indent="1"/>
      <protection locked="0"/>
    </xf>
    <xf numFmtId="1" fontId="58" fillId="41" borderId="159" xfId="112" applyNumberFormat="1" applyFont="1" applyFill="1" applyBorder="1" applyAlignment="1" applyProtection="1">
      <alignment horizontal="right" indent="1"/>
      <protection locked="0"/>
    </xf>
    <xf numFmtId="1" fontId="58" fillId="41" borderId="160" xfId="112" applyNumberFormat="1" applyFont="1" applyFill="1" applyBorder="1" applyAlignment="1" applyProtection="1">
      <alignment horizontal="right" indent="1"/>
      <protection locked="0"/>
    </xf>
    <xf numFmtId="166" fontId="58" fillId="41" borderId="158" xfId="112" applyNumberFormat="1" applyFont="1" applyFill="1" applyBorder="1" applyAlignment="1" applyProtection="1">
      <alignment horizontal="left" indent="1"/>
      <protection locked="0"/>
    </xf>
    <xf numFmtId="166" fontId="58" fillId="41" borderId="159" xfId="112" applyNumberFormat="1" applyFont="1" applyFill="1" applyBorder="1" applyAlignment="1" applyProtection="1">
      <alignment horizontal="right" indent="1"/>
      <protection locked="0"/>
    </xf>
    <xf numFmtId="9" fontId="7" fillId="41" borderId="161" xfId="112" applyNumberFormat="1" applyFill="1" applyBorder="1" applyAlignment="1" applyProtection="1">
      <alignment horizontal="center"/>
      <protection locked="0"/>
    </xf>
    <xf numFmtId="0" fontId="7" fillId="42" borderId="0" xfId="112" applyFont="1" applyFill="1" applyBorder="1" applyAlignment="1" applyProtection="1">
      <alignment horizontal="left" vertical="top"/>
      <protection locked="0"/>
    </xf>
    <xf numFmtId="0" fontId="7" fillId="42" borderId="117" xfId="112" applyFill="1" applyBorder="1" applyProtection="1">
      <protection locked="0"/>
    </xf>
    <xf numFmtId="0" fontId="7" fillId="42" borderId="118" xfId="112" applyFill="1" applyBorder="1" applyProtection="1">
      <protection locked="0"/>
    </xf>
    <xf numFmtId="0" fontId="7" fillId="42" borderId="99" xfId="112" applyFill="1" applyBorder="1" applyProtection="1">
      <protection locked="0"/>
    </xf>
    <xf numFmtId="0" fontId="134" fillId="42" borderId="0" xfId="112" applyFont="1" applyFill="1" applyBorder="1" applyProtection="1">
      <protection locked="0"/>
    </xf>
    <xf numFmtId="0" fontId="7" fillId="42" borderId="0" xfId="112" applyFill="1" applyBorder="1" applyAlignment="1" applyProtection="1">
      <alignment horizontal="right"/>
      <protection locked="0"/>
    </xf>
    <xf numFmtId="0" fontId="7" fillId="42" borderId="33" xfId="112" applyFill="1" applyBorder="1" applyAlignment="1" applyProtection="1">
      <alignment horizontal="center"/>
      <protection locked="0"/>
    </xf>
    <xf numFmtId="0" fontId="7" fillId="42" borderId="0" xfId="112" quotePrefix="1" applyFill="1" applyBorder="1" applyProtection="1">
      <protection locked="0"/>
    </xf>
    <xf numFmtId="1" fontId="7" fillId="43" borderId="162" xfId="112" applyNumberFormat="1" applyFont="1" applyFill="1" applyBorder="1" applyAlignment="1" applyProtection="1">
      <alignment horizontal="right" indent="1"/>
      <protection locked="0"/>
    </xf>
    <xf numFmtId="1" fontId="7" fillId="43" borderId="163" xfId="112" applyNumberFormat="1" applyFont="1" applyFill="1" applyBorder="1" applyAlignment="1" applyProtection="1">
      <alignment horizontal="right" indent="1"/>
      <protection locked="0"/>
    </xf>
    <xf numFmtId="1" fontId="7" fillId="43" borderId="164" xfId="112" applyNumberFormat="1" applyFont="1" applyFill="1" applyBorder="1" applyAlignment="1" applyProtection="1">
      <alignment horizontal="right" indent="1"/>
      <protection locked="0"/>
    </xf>
    <xf numFmtId="1" fontId="7" fillId="43" borderId="115" xfId="112" applyNumberFormat="1" applyFill="1" applyBorder="1" applyAlignment="1" applyProtection="1">
      <alignment horizontal="right" indent="1"/>
      <protection locked="0"/>
    </xf>
    <xf numFmtId="1" fontId="135" fillId="43" borderId="162" xfId="112" applyNumberFormat="1" applyFont="1" applyFill="1" applyBorder="1" applyAlignment="1" applyProtection="1">
      <alignment horizontal="right" indent="1"/>
      <protection locked="0"/>
    </xf>
    <xf numFmtId="1" fontId="135" fillId="43" borderId="163" xfId="112" applyNumberFormat="1" applyFont="1" applyFill="1" applyBorder="1" applyAlignment="1" applyProtection="1">
      <alignment horizontal="right" indent="1"/>
      <protection locked="0"/>
    </xf>
    <xf numFmtId="1" fontId="135" fillId="43" borderId="164" xfId="112" applyNumberFormat="1" applyFont="1" applyFill="1" applyBorder="1" applyAlignment="1" applyProtection="1">
      <alignment horizontal="right" indent="1"/>
      <protection locked="0"/>
    </xf>
    <xf numFmtId="0" fontId="7" fillId="43" borderId="115" xfId="112" applyFill="1" applyBorder="1" applyAlignment="1" applyProtection="1">
      <alignment horizontal="right" indent="1"/>
      <protection locked="0"/>
    </xf>
    <xf numFmtId="166" fontId="7" fillId="43" borderId="115" xfId="112" applyNumberFormat="1" applyFill="1" applyBorder="1" applyAlignment="1" applyProtection="1">
      <alignment horizontal="right" indent="1"/>
      <protection locked="0"/>
    </xf>
    <xf numFmtId="0" fontId="58" fillId="27" borderId="5" xfId="0" applyFont="1" applyFill="1" applyBorder="1" applyAlignment="1" applyProtection="1">
      <alignment horizontal="left"/>
      <protection locked="0"/>
    </xf>
    <xf numFmtId="2" fontId="7" fillId="28" borderId="0" xfId="0" applyNumberFormat="1" applyFont="1" applyFill="1" applyBorder="1" applyProtection="1">
      <protection locked="0"/>
    </xf>
    <xf numFmtId="0" fontId="0" fillId="25" borderId="16" xfId="0" applyFill="1" applyBorder="1" applyProtection="1">
      <protection locked="0"/>
    </xf>
    <xf numFmtId="0" fontId="29" fillId="25" borderId="16" xfId="0" applyFont="1" applyFill="1" applyBorder="1" applyProtection="1">
      <protection locked="0"/>
    </xf>
    <xf numFmtId="0" fontId="28" fillId="25" borderId="16" xfId="0" applyFont="1" applyFill="1" applyBorder="1" applyProtection="1">
      <protection locked="0"/>
    </xf>
    <xf numFmtId="0" fontId="0" fillId="25" borderId="109" xfId="0" applyFill="1" applyBorder="1" applyProtection="1">
      <protection locked="0"/>
    </xf>
    <xf numFmtId="0" fontId="28" fillId="25" borderId="12" xfId="0" applyFont="1" applyFill="1" applyBorder="1" applyProtection="1">
      <protection locked="0"/>
    </xf>
    <xf numFmtId="0" fontId="7" fillId="32" borderId="117" xfId="0" applyFont="1" applyFill="1" applyBorder="1" applyAlignment="1" applyProtection="1">
      <alignment horizontal="left" vertical="top"/>
      <protection locked="0"/>
    </xf>
    <xf numFmtId="0" fontId="5" fillId="32" borderId="118" xfId="0" applyFont="1" applyFill="1" applyBorder="1" applyAlignment="1" applyProtection="1">
      <alignment horizontal="center"/>
      <protection locked="0"/>
    </xf>
    <xf numFmtId="166" fontId="5" fillId="32" borderId="118" xfId="0" applyNumberFormat="1" applyFont="1" applyFill="1" applyBorder="1" applyAlignment="1" applyProtection="1">
      <alignment horizontal="center"/>
      <protection locked="0"/>
    </xf>
    <xf numFmtId="166" fontId="5" fillId="32" borderId="118" xfId="0" applyNumberFormat="1" applyFont="1" applyFill="1" applyBorder="1" applyAlignment="1" applyProtection="1">
      <alignment horizontal="right"/>
      <protection locked="0"/>
    </xf>
    <xf numFmtId="0" fontId="0" fillId="41" borderId="0" xfId="0" applyFill="1" applyAlignment="1" applyProtection="1">
      <alignment vertical="center"/>
      <protection locked="0"/>
    </xf>
    <xf numFmtId="0" fontId="0" fillId="41" borderId="0" xfId="0" applyFill="1" applyProtection="1">
      <protection locked="0"/>
    </xf>
    <xf numFmtId="0" fontId="121" fillId="32" borderId="0" xfId="0" applyFont="1" applyFill="1" applyBorder="1" applyAlignment="1">
      <alignment vertical="top" wrapText="1"/>
    </xf>
    <xf numFmtId="0" fontId="71" fillId="0" borderId="0" xfId="0" applyFont="1" applyAlignment="1">
      <alignment vertical="top" wrapText="1"/>
    </xf>
    <xf numFmtId="0" fontId="28" fillId="25" borderId="110" xfId="0" applyFont="1" applyFill="1" applyBorder="1" applyAlignment="1">
      <alignment horizontal="left" wrapText="1"/>
    </xf>
    <xf numFmtId="0" fontId="28" fillId="25" borderId="49" xfId="0" applyFont="1" applyFill="1" applyBorder="1" applyAlignment="1">
      <alignment horizontal="left" wrapText="1"/>
    </xf>
    <xf numFmtId="0" fontId="28" fillId="25" borderId="0" xfId="0" applyFont="1" applyFill="1" applyBorder="1" applyAlignment="1">
      <alignment horizontal="left" wrapText="1"/>
    </xf>
    <xf numFmtId="0" fontId="7" fillId="27" borderId="0" xfId="0" applyFont="1" applyFill="1" applyAlignment="1">
      <alignment horizontal="left" vertical="center" wrapText="1"/>
    </xf>
    <xf numFmtId="0" fontId="0" fillId="0" borderId="0" xfId="0" applyAlignment="1">
      <alignment horizontal="left" vertical="center" wrapText="1"/>
    </xf>
    <xf numFmtId="0" fontId="0" fillId="27" borderId="0" xfId="0" applyFill="1" applyAlignment="1">
      <alignment horizontal="left" vertical="center" wrapText="1"/>
    </xf>
    <xf numFmtId="0" fontId="49" fillId="27" borderId="0" xfId="0" applyFont="1" applyFill="1" applyAlignment="1">
      <alignment vertical="center" wrapText="1"/>
    </xf>
    <xf numFmtId="0" fontId="0" fillId="27" borderId="0" xfId="0" applyFill="1" applyAlignment="1">
      <alignment vertical="center" wrapText="1"/>
    </xf>
    <xf numFmtId="0" fontId="5" fillId="27" borderId="0" xfId="0" applyFont="1" applyFill="1" applyAlignment="1">
      <alignment horizontal="left" vertical="center" wrapText="1"/>
    </xf>
    <xf numFmtId="0" fontId="0" fillId="0" borderId="0" xfId="0" applyAlignment="1">
      <alignment vertical="center" wrapText="1"/>
    </xf>
    <xf numFmtId="0" fontId="0" fillId="27" borderId="0" xfId="0" applyFill="1" applyBorder="1" applyAlignment="1">
      <alignment horizontal="left" vertical="center" wrapText="1"/>
    </xf>
    <xf numFmtId="0" fontId="0" fillId="27" borderId="0" xfId="0" applyFill="1" applyAlignment="1">
      <alignment horizontal="left" vertical="center" wrapText="1" indent="2"/>
    </xf>
    <xf numFmtId="0" fontId="49" fillId="27" borderId="0" xfId="0" applyFont="1" applyFill="1" applyAlignment="1">
      <alignment horizontal="left" vertical="center" wrapText="1"/>
    </xf>
    <xf numFmtId="0" fontId="0" fillId="27" borderId="0" xfId="0" quotePrefix="1" applyFill="1" applyAlignment="1">
      <alignment horizontal="left" vertical="center" wrapText="1"/>
    </xf>
    <xf numFmtId="0" fontId="8" fillId="27" borderId="0" xfId="79" applyFill="1" applyAlignment="1" applyProtection="1">
      <alignment horizontal="left" vertical="center" wrapText="1" indent="2"/>
    </xf>
    <xf numFmtId="0" fontId="0" fillId="0" borderId="0" xfId="0" applyAlignment="1">
      <alignment horizontal="left" vertical="center" wrapText="1" indent="2"/>
    </xf>
    <xf numFmtId="0" fontId="0" fillId="27" borderId="0" xfId="0" applyFill="1" applyAlignment="1">
      <alignment horizontal="left" vertical="center" wrapText="1" indent="1"/>
    </xf>
    <xf numFmtId="0" fontId="54" fillId="27" borderId="0" xfId="0" applyFont="1" applyFill="1" applyAlignment="1">
      <alignment horizontal="left" vertical="center" wrapText="1"/>
    </xf>
    <xf numFmtId="0" fontId="8" fillId="27" borderId="0" xfId="79" applyFill="1" applyAlignment="1" applyProtection="1">
      <alignment horizontal="left" vertical="center" wrapText="1"/>
    </xf>
    <xf numFmtId="0" fontId="74" fillId="0" borderId="0" xfId="79" applyFont="1" applyBorder="1" applyAlignment="1" applyProtection="1">
      <alignment horizontal="justify" vertical="top" wrapText="1"/>
    </xf>
    <xf numFmtId="0" fontId="0" fillId="0" borderId="0" xfId="0" applyAlignment="1"/>
    <xf numFmtId="0" fontId="0" fillId="27" borderId="165" xfId="0" applyFill="1" applyBorder="1" applyAlignment="1" applyProtection="1">
      <alignment horizontal="center" vertical="center"/>
      <protection locked="0"/>
    </xf>
    <xf numFmtId="0" fontId="0" fillId="27" borderId="145" xfId="0" applyFill="1" applyBorder="1" applyAlignment="1" applyProtection="1">
      <alignment horizontal="center" vertical="center"/>
      <protection locked="0"/>
    </xf>
    <xf numFmtId="0" fontId="0" fillId="27" borderId="166" xfId="0" applyFill="1" applyBorder="1" applyAlignment="1" applyProtection="1">
      <alignment horizontal="center" vertical="center"/>
      <protection locked="0"/>
    </xf>
    <xf numFmtId="0" fontId="0" fillId="27" borderId="142" xfId="0" applyFill="1" applyBorder="1" applyAlignment="1" applyProtection="1">
      <alignment horizontal="center" vertical="center"/>
      <protection locked="0"/>
    </xf>
    <xf numFmtId="0" fontId="0" fillId="27" borderId="143" xfId="0" applyFill="1" applyBorder="1" applyAlignment="1" applyProtection="1">
      <alignment horizontal="center" vertical="center"/>
      <protection locked="0"/>
    </xf>
    <xf numFmtId="0" fontId="0" fillId="27" borderId="144" xfId="0" applyFill="1" applyBorder="1" applyAlignment="1" applyProtection="1">
      <alignment horizontal="center" vertical="center"/>
      <protection locked="0"/>
    </xf>
    <xf numFmtId="0" fontId="0" fillId="27" borderId="167" xfId="0" applyFill="1" applyBorder="1" applyAlignment="1" applyProtection="1">
      <alignment horizontal="center" vertical="center"/>
      <protection locked="0"/>
    </xf>
    <xf numFmtId="0" fontId="0" fillId="27" borderId="168" xfId="0" applyFill="1" applyBorder="1" applyAlignment="1" applyProtection="1">
      <alignment horizontal="center" vertical="center"/>
      <protection locked="0"/>
    </xf>
    <xf numFmtId="0" fontId="0" fillId="27" borderId="169" xfId="0" applyFill="1" applyBorder="1" applyAlignment="1" applyProtection="1">
      <alignment horizontal="center" vertical="center"/>
      <protection locked="0"/>
    </xf>
    <xf numFmtId="0" fontId="0" fillId="27" borderId="147" xfId="0" applyFill="1" applyBorder="1" applyAlignment="1" applyProtection="1">
      <alignment horizontal="center" vertical="center"/>
      <protection locked="0"/>
    </xf>
    <xf numFmtId="0" fontId="0" fillId="27" borderId="0" xfId="0" applyFill="1" applyBorder="1" applyAlignment="1" applyProtection="1">
      <alignment horizontal="center" vertical="center"/>
      <protection locked="0"/>
    </xf>
    <xf numFmtId="0" fontId="0" fillId="27" borderId="170" xfId="0" applyFill="1" applyBorder="1" applyAlignment="1" applyProtection="1">
      <alignment horizontal="center" vertical="center"/>
      <protection locked="0"/>
    </xf>
    <xf numFmtId="0" fontId="0" fillId="27" borderId="142" xfId="0" applyFill="1" applyBorder="1" applyAlignment="1" applyProtection="1">
      <alignment vertical="center" wrapText="1"/>
      <protection locked="0"/>
    </xf>
    <xf numFmtId="0" fontId="0" fillId="0" borderId="143" xfId="0" applyBorder="1" applyAlignment="1" applyProtection="1">
      <alignment vertical="center" wrapText="1"/>
      <protection locked="0"/>
    </xf>
    <xf numFmtId="0" fontId="0" fillId="0" borderId="144" xfId="0" applyBorder="1" applyAlignment="1" applyProtection="1">
      <alignment vertical="center" wrapText="1"/>
      <protection locked="0"/>
    </xf>
    <xf numFmtId="0" fontId="0" fillId="27" borderId="142" xfId="0" quotePrefix="1" applyFill="1" applyBorder="1" applyAlignment="1" applyProtection="1">
      <alignment vertical="center" wrapText="1"/>
      <protection locked="0"/>
    </xf>
    <xf numFmtId="0" fontId="0" fillId="37" borderId="167" xfId="0" applyFill="1" applyBorder="1" applyAlignment="1" applyProtection="1">
      <alignment vertical="center" wrapText="1"/>
      <protection locked="0"/>
    </xf>
    <xf numFmtId="0" fontId="0" fillId="37" borderId="168" xfId="0" applyFill="1" applyBorder="1" applyAlignment="1" applyProtection="1">
      <alignment vertical="center" wrapText="1"/>
      <protection locked="0"/>
    </xf>
    <xf numFmtId="0" fontId="0" fillId="37" borderId="169" xfId="0" applyFill="1" applyBorder="1" applyAlignment="1" applyProtection="1">
      <alignment vertical="center" wrapText="1"/>
      <protection locked="0"/>
    </xf>
    <xf numFmtId="0" fontId="0" fillId="27" borderId="171" xfId="0" applyFill="1" applyBorder="1" applyAlignment="1" applyProtection="1">
      <alignment horizontal="left" vertical="center"/>
      <protection locked="0"/>
    </xf>
    <xf numFmtId="0" fontId="0" fillId="27" borderId="172" xfId="0" applyFill="1" applyBorder="1" applyAlignment="1" applyProtection="1">
      <alignment horizontal="left" vertical="center"/>
      <protection locked="0"/>
    </xf>
    <xf numFmtId="0" fontId="0" fillId="27" borderId="173" xfId="0" applyFill="1" applyBorder="1" applyAlignment="1" applyProtection="1">
      <alignment horizontal="left" vertical="center"/>
      <protection locked="0"/>
    </xf>
    <xf numFmtId="0" fontId="0" fillId="27" borderId="174" xfId="0" applyFill="1" applyBorder="1" applyAlignment="1" applyProtection="1">
      <alignment horizontal="left" vertical="center"/>
      <protection locked="0"/>
    </xf>
    <xf numFmtId="0" fontId="0" fillId="27" borderId="0" xfId="0" applyFill="1" applyBorder="1" applyAlignment="1" applyProtection="1">
      <alignment horizontal="left" vertical="center"/>
      <protection locked="0"/>
    </xf>
    <xf numFmtId="0" fontId="0" fillId="27" borderId="175" xfId="0" applyFill="1" applyBorder="1" applyAlignment="1" applyProtection="1">
      <alignment horizontal="left" vertical="center"/>
      <protection locked="0"/>
    </xf>
    <xf numFmtId="0" fontId="0" fillId="27" borderId="176" xfId="0" applyFill="1" applyBorder="1" applyAlignment="1" applyProtection="1">
      <alignment horizontal="left" vertical="center"/>
      <protection locked="0"/>
    </xf>
    <xf numFmtId="0" fontId="0" fillId="27" borderId="177" xfId="0" applyFill="1" applyBorder="1" applyAlignment="1" applyProtection="1">
      <alignment horizontal="left" vertical="center"/>
      <protection locked="0"/>
    </xf>
    <xf numFmtId="0" fontId="0" fillId="27" borderId="178" xfId="0" applyFill="1" applyBorder="1" applyAlignment="1" applyProtection="1">
      <alignment horizontal="left" vertical="center"/>
      <protection locked="0"/>
    </xf>
    <xf numFmtId="0" fontId="0" fillId="29" borderId="179" xfId="0" applyFill="1" applyBorder="1" applyAlignment="1" applyProtection="1">
      <alignment horizontal="center" vertical="center"/>
      <protection locked="0"/>
    </xf>
    <xf numFmtId="0" fontId="0" fillId="29" borderId="180" xfId="0" applyFill="1" applyBorder="1" applyAlignment="1" applyProtection="1">
      <alignment horizontal="center" vertical="center"/>
      <protection locked="0"/>
    </xf>
    <xf numFmtId="0" fontId="0" fillId="29" borderId="181" xfId="0" applyFill="1" applyBorder="1" applyAlignment="1" applyProtection="1">
      <alignment horizontal="center" vertical="center"/>
      <protection locked="0"/>
    </xf>
    <xf numFmtId="0" fontId="7" fillId="27" borderId="142" xfId="0" applyFont="1" applyFill="1" applyBorder="1" applyAlignment="1" applyProtection="1">
      <alignment vertical="center" wrapText="1"/>
      <protection locked="0"/>
    </xf>
    <xf numFmtId="0" fontId="0" fillId="27" borderId="182" xfId="0" applyFill="1" applyBorder="1" applyAlignment="1" applyProtection="1">
      <alignment vertical="center" wrapText="1"/>
      <protection locked="0"/>
    </xf>
    <xf numFmtId="0" fontId="0" fillId="0" borderId="183" xfId="0" applyBorder="1" applyAlignment="1" applyProtection="1">
      <alignment vertical="center" wrapText="1"/>
      <protection locked="0"/>
    </xf>
    <xf numFmtId="0" fontId="0" fillId="0" borderId="184" xfId="0" applyBorder="1" applyAlignment="1" applyProtection="1">
      <alignment vertical="center" wrapText="1"/>
      <protection locked="0"/>
    </xf>
    <xf numFmtId="0" fontId="0" fillId="27" borderId="167" xfId="0" quotePrefix="1" applyFill="1" applyBorder="1" applyAlignment="1" applyProtection="1">
      <alignment vertical="center" wrapText="1"/>
      <protection locked="0"/>
    </xf>
    <xf numFmtId="0" fontId="0" fillId="0" borderId="168" xfId="0" applyBorder="1" applyAlignment="1" applyProtection="1">
      <alignment vertical="center" wrapText="1"/>
      <protection locked="0"/>
    </xf>
    <xf numFmtId="0" fontId="0" fillId="0" borderId="169" xfId="0" applyBorder="1" applyAlignment="1" applyProtection="1">
      <alignment vertical="center" wrapText="1"/>
      <protection locked="0"/>
    </xf>
    <xf numFmtId="0" fontId="0" fillId="37" borderId="185" xfId="0" applyFill="1" applyBorder="1" applyAlignment="1" applyProtection="1">
      <alignment vertical="center" wrapText="1"/>
      <protection locked="0"/>
    </xf>
    <xf numFmtId="0" fontId="0" fillId="37" borderId="186" xfId="0" applyFill="1" applyBorder="1" applyAlignment="1" applyProtection="1">
      <alignment vertical="center" wrapText="1"/>
      <protection locked="0"/>
    </xf>
    <xf numFmtId="0" fontId="0" fillId="37" borderId="187" xfId="0" applyFill="1" applyBorder="1" applyAlignment="1" applyProtection="1">
      <alignment vertical="center" wrapText="1"/>
      <protection locked="0"/>
    </xf>
    <xf numFmtId="0" fontId="0" fillId="27" borderId="165" xfId="0" applyFill="1" applyBorder="1" applyAlignment="1" applyProtection="1">
      <alignment vertical="center" wrapText="1"/>
      <protection locked="0"/>
    </xf>
    <xf numFmtId="0" fontId="0" fillId="0" borderId="145" xfId="0" applyBorder="1" applyAlignment="1" applyProtection="1">
      <alignment vertical="center" wrapText="1"/>
      <protection locked="0"/>
    </xf>
    <xf numFmtId="0" fontId="0" fillId="0" borderId="166" xfId="0" applyBorder="1" applyAlignment="1" applyProtection="1">
      <alignment vertical="center" wrapText="1"/>
      <protection locked="0"/>
    </xf>
    <xf numFmtId="0" fontId="0" fillId="27" borderId="143" xfId="0" applyFill="1" applyBorder="1" applyAlignment="1" applyProtection="1">
      <alignment vertical="center" wrapText="1"/>
      <protection locked="0"/>
    </xf>
    <xf numFmtId="0" fontId="0" fillId="27" borderId="144" xfId="0" applyFill="1" applyBorder="1" applyAlignment="1" applyProtection="1">
      <alignment vertical="center" wrapText="1"/>
      <protection locked="0"/>
    </xf>
    <xf numFmtId="0" fontId="0" fillId="37" borderId="142" xfId="0" applyFill="1" applyBorder="1" applyAlignment="1" applyProtection="1">
      <alignment vertical="center" wrapText="1"/>
      <protection locked="0"/>
    </xf>
    <xf numFmtId="0" fontId="0" fillId="37" borderId="143" xfId="0" applyFill="1" applyBorder="1" applyAlignment="1" applyProtection="1">
      <alignment vertical="center" wrapText="1"/>
      <protection locked="0"/>
    </xf>
    <xf numFmtId="0" fontId="0" fillId="37" borderId="144" xfId="0" applyFill="1" applyBorder="1" applyAlignment="1" applyProtection="1">
      <alignment vertical="center" wrapText="1"/>
      <protection locked="0"/>
    </xf>
    <xf numFmtId="0" fontId="0" fillId="29" borderId="0" xfId="0" applyFill="1" applyBorder="1" applyAlignment="1" applyProtection="1">
      <alignment vertical="center"/>
      <protection locked="0"/>
    </xf>
    <xf numFmtId="0" fontId="7" fillId="27" borderId="185" xfId="0" applyFont="1" applyFill="1" applyBorder="1" applyAlignment="1" applyProtection="1">
      <alignment vertical="center" wrapText="1"/>
      <protection locked="0"/>
    </xf>
    <xf numFmtId="0" fontId="0" fillId="0" borderId="186" xfId="0" applyBorder="1" applyAlignment="1" applyProtection="1">
      <alignment vertical="center" wrapText="1"/>
      <protection locked="0"/>
    </xf>
    <xf numFmtId="0" fontId="0" fillId="0" borderId="187" xfId="0" applyBorder="1" applyAlignment="1" applyProtection="1">
      <alignment vertical="center" wrapText="1"/>
      <protection locked="0"/>
    </xf>
    <xf numFmtId="0" fontId="0" fillId="27" borderId="185" xfId="0" applyFill="1" applyBorder="1" applyAlignment="1" applyProtection="1">
      <alignment vertical="center" wrapText="1"/>
      <protection locked="0"/>
    </xf>
    <xf numFmtId="0" fontId="7" fillId="27" borderId="185" xfId="0" applyFont="1" applyFill="1" applyBorder="1" applyAlignment="1" applyProtection="1">
      <alignment horizontal="center" vertical="center" wrapText="1"/>
      <protection locked="0"/>
    </xf>
    <xf numFmtId="0" fontId="0" fillId="0" borderId="186" xfId="0" applyBorder="1" applyAlignment="1" applyProtection="1">
      <alignment horizontal="center" vertical="center" wrapText="1"/>
      <protection locked="0"/>
    </xf>
    <xf numFmtId="0" fontId="0" fillId="0" borderId="187" xfId="0" applyBorder="1" applyAlignment="1" applyProtection="1">
      <alignment horizontal="center" vertical="center" wrapText="1"/>
      <protection locked="0"/>
    </xf>
    <xf numFmtId="0" fontId="45" fillId="28" borderId="0" xfId="0" applyFont="1" applyFill="1" applyBorder="1" applyAlignment="1" applyProtection="1">
      <alignment horizontal="left" vertical="center" wrapText="1"/>
      <protection locked="0"/>
    </xf>
    <xf numFmtId="0" fontId="45" fillId="28" borderId="125" xfId="0" applyFont="1" applyFill="1" applyBorder="1" applyAlignment="1" applyProtection="1">
      <alignment horizontal="left" vertical="center" wrapText="1"/>
      <protection locked="0"/>
    </xf>
    <xf numFmtId="0" fontId="45" fillId="28" borderId="188" xfId="0" applyFont="1" applyFill="1" applyBorder="1" applyAlignment="1" applyProtection="1">
      <alignment horizontal="left" vertical="center" wrapText="1"/>
      <protection locked="0"/>
    </xf>
    <xf numFmtId="0" fontId="7" fillId="28" borderId="127" xfId="0" applyFont="1" applyFill="1" applyBorder="1" applyAlignment="1" applyProtection="1">
      <alignment horizontal="center" vertical="center"/>
      <protection locked="0"/>
    </xf>
    <xf numFmtId="0" fontId="0" fillId="0" borderId="128" xfId="0" applyBorder="1" applyAlignment="1" applyProtection="1">
      <alignment horizontal="center" vertical="center"/>
      <protection locked="0"/>
    </xf>
    <xf numFmtId="0" fontId="0" fillId="0" borderId="129" xfId="0" applyBorder="1" applyAlignment="1" applyProtection="1">
      <alignment horizontal="center" vertical="center"/>
      <protection locked="0"/>
    </xf>
    <xf numFmtId="0" fontId="7" fillId="28" borderId="128" xfId="0" applyFont="1" applyFill="1" applyBorder="1" applyAlignment="1" applyProtection="1">
      <alignment horizontal="center" vertical="center"/>
      <protection locked="0"/>
    </xf>
    <xf numFmtId="0" fontId="7" fillId="28" borderId="129" xfId="0" applyFont="1" applyFill="1" applyBorder="1" applyAlignment="1" applyProtection="1">
      <alignment horizontal="center" vertical="center"/>
      <protection locked="0"/>
    </xf>
    <xf numFmtId="0" fontId="45" fillId="28" borderId="189" xfId="0" applyFont="1" applyFill="1" applyBorder="1" applyAlignment="1" applyProtection="1">
      <alignment horizontal="left" vertical="center" wrapText="1"/>
      <protection locked="0"/>
    </xf>
    <xf numFmtId="0" fontId="45" fillId="28" borderId="139" xfId="0" applyFont="1" applyFill="1" applyBorder="1" applyAlignment="1" applyProtection="1">
      <alignment horizontal="left" vertical="center" wrapText="1"/>
      <protection locked="0"/>
    </xf>
    <xf numFmtId="170" fontId="7" fillId="37" borderId="0" xfId="0" applyNumberFormat="1" applyFont="1" applyFill="1" applyBorder="1" applyAlignment="1" applyProtection="1">
      <alignment horizontal="center" vertical="center" wrapText="1"/>
      <protection locked="0"/>
    </xf>
    <xf numFmtId="0" fontId="78" fillId="28" borderId="123" xfId="0" applyFont="1" applyFill="1" applyBorder="1" applyAlignment="1" applyProtection="1">
      <alignment horizontal="left" vertical="center" wrapText="1"/>
      <protection locked="0"/>
    </xf>
    <xf numFmtId="0" fontId="78" fillId="28" borderId="0" xfId="0" quotePrefix="1" applyFont="1" applyFill="1" applyBorder="1" applyAlignment="1" applyProtection="1">
      <alignment horizontal="left" vertical="center" wrapText="1"/>
      <protection locked="0"/>
    </xf>
    <xf numFmtId="0" fontId="7" fillId="28" borderId="190" xfId="0" applyFont="1" applyFill="1" applyBorder="1" applyAlignment="1" applyProtection="1">
      <alignment horizontal="left" vertical="center" wrapText="1"/>
      <protection locked="0"/>
    </xf>
    <xf numFmtId="0" fontId="7" fillId="28" borderId="125" xfId="0" quotePrefix="1" applyFont="1" applyFill="1" applyBorder="1" applyAlignment="1" applyProtection="1">
      <alignment horizontal="left" vertical="center" wrapText="1"/>
      <protection locked="0"/>
    </xf>
    <xf numFmtId="0" fontId="7" fillId="28" borderId="0" xfId="0" applyFont="1" applyFill="1" applyBorder="1" applyAlignment="1" applyProtection="1">
      <alignment horizontal="left" vertical="center" wrapText="1"/>
      <protection locked="0"/>
    </xf>
    <xf numFmtId="0" fontId="7" fillId="28" borderId="124" xfId="0" applyFont="1" applyFill="1" applyBorder="1" applyAlignment="1" applyProtection="1">
      <alignment horizontal="left" vertical="center" wrapText="1"/>
      <protection locked="0"/>
    </xf>
    <xf numFmtId="170" fontId="7" fillId="37" borderId="122" xfId="0" applyNumberFormat="1" applyFont="1" applyFill="1" applyBorder="1" applyAlignment="1" applyProtection="1">
      <alignment horizontal="left" vertical="center" wrapText="1"/>
      <protection locked="0"/>
    </xf>
    <xf numFmtId="0" fontId="7" fillId="28" borderId="123" xfId="0" quotePrefix="1" applyFont="1" applyFill="1" applyBorder="1" applyAlignment="1" applyProtection="1">
      <alignment horizontal="left" vertical="center" wrapText="1"/>
      <protection locked="0"/>
    </xf>
    <xf numFmtId="0" fontId="7" fillId="28" borderId="0" xfId="0" quotePrefix="1" applyFont="1" applyFill="1" applyBorder="1" applyAlignment="1" applyProtection="1">
      <alignment horizontal="left" vertical="center" wrapText="1"/>
      <protection locked="0"/>
    </xf>
    <xf numFmtId="1" fontId="58" fillId="41" borderId="157" xfId="112" applyNumberFormat="1" applyFont="1" applyFill="1" applyBorder="1" applyAlignment="1" applyProtection="1">
      <alignment horizontal="center"/>
      <protection locked="0"/>
    </xf>
    <xf numFmtId="1" fontId="7" fillId="41" borderId="120" xfId="112" applyNumberFormat="1" applyFill="1" applyBorder="1" applyAlignment="1" applyProtection="1">
      <alignment horizontal="center"/>
      <protection locked="0"/>
    </xf>
    <xf numFmtId="1" fontId="58" fillId="41" borderId="160" xfId="112" applyNumberFormat="1" applyFont="1" applyFill="1" applyBorder="1" applyAlignment="1" applyProtection="1">
      <alignment horizontal="center"/>
      <protection locked="0"/>
    </xf>
    <xf numFmtId="1" fontId="7" fillId="41" borderId="191" xfId="112" applyNumberFormat="1" applyFill="1" applyBorder="1" applyAlignment="1" applyProtection="1">
      <alignment horizontal="center"/>
      <protection locked="0"/>
    </xf>
    <xf numFmtId="0" fontId="7" fillId="42" borderId="0" xfId="112" applyFont="1" applyFill="1" applyBorder="1" applyAlignment="1" applyProtection="1">
      <alignment horizontal="center"/>
      <protection locked="0"/>
    </xf>
    <xf numFmtId="1" fontId="58" fillId="41" borderId="156" xfId="112" applyNumberFormat="1" applyFont="1" applyFill="1" applyBorder="1" applyAlignment="1" applyProtection="1">
      <alignment horizontal="center"/>
      <protection locked="0"/>
    </xf>
    <xf numFmtId="1" fontId="58" fillId="41" borderId="192" xfId="112" applyNumberFormat="1" applyFont="1" applyFill="1" applyBorder="1" applyAlignment="1" applyProtection="1">
      <alignment horizontal="center"/>
      <protection locked="0"/>
    </xf>
    <xf numFmtId="1" fontId="58" fillId="41" borderId="120" xfId="112" applyNumberFormat="1" applyFont="1" applyFill="1" applyBorder="1" applyAlignment="1" applyProtection="1">
      <alignment horizontal="center"/>
      <protection locked="0"/>
    </xf>
    <xf numFmtId="0" fontId="0" fillId="28" borderId="0" xfId="0" applyFill="1" applyBorder="1" applyAlignment="1" applyProtection="1">
      <alignment vertical="top" wrapText="1"/>
      <protection locked="0"/>
    </xf>
    <xf numFmtId="0" fontId="0" fillId="28" borderId="17" xfId="0" applyFill="1" applyBorder="1" applyAlignment="1" applyProtection="1">
      <alignment vertical="top" wrapText="1"/>
      <protection locked="0"/>
    </xf>
    <xf numFmtId="0" fontId="7" fillId="28" borderId="0" xfId="0" applyFont="1" applyFill="1" applyBorder="1" applyAlignment="1" applyProtection="1">
      <alignment horizontal="left" vertical="top" wrapText="1"/>
      <protection locked="0"/>
    </xf>
    <xf numFmtId="0" fontId="7" fillId="28" borderId="17" xfId="0" applyFont="1" applyFill="1" applyBorder="1" applyAlignment="1" applyProtection="1">
      <alignment horizontal="left" vertical="top" wrapText="1"/>
      <protection locked="0"/>
    </xf>
    <xf numFmtId="2" fontId="7" fillId="28" borderId="12" xfId="0" applyNumberFormat="1" applyFont="1" applyFill="1" applyBorder="1" applyAlignment="1" applyProtection="1">
      <alignment horizontal="right"/>
      <protection locked="0"/>
    </xf>
    <xf numFmtId="0" fontId="0" fillId="0" borderId="12" xfId="0" applyBorder="1" applyAlignment="1" applyProtection="1">
      <alignment horizontal="right"/>
      <protection locked="0"/>
    </xf>
    <xf numFmtId="2" fontId="7" fillId="27" borderId="0" xfId="0" applyNumberFormat="1" applyFont="1" applyFill="1" applyBorder="1" applyAlignment="1" applyProtection="1">
      <alignment horizontal="right" vertical="center"/>
      <protection locked="0"/>
    </xf>
    <xf numFmtId="2" fontId="7" fillId="28" borderId="12" xfId="0" applyNumberFormat="1" applyFont="1" applyFill="1" applyBorder="1" applyAlignment="1" applyProtection="1">
      <alignment horizontal="right" vertical="center"/>
      <protection locked="0"/>
    </xf>
    <xf numFmtId="0" fontId="0" fillId="0" borderId="12" xfId="0" applyBorder="1" applyAlignment="1" applyProtection="1">
      <alignment horizontal="right" vertical="center"/>
      <protection locked="0"/>
    </xf>
    <xf numFmtId="0" fontId="0" fillId="0" borderId="12" xfId="0" applyBorder="1" applyAlignment="1" applyProtection="1">
      <alignment vertical="center"/>
      <protection locked="0"/>
    </xf>
    <xf numFmtId="0" fontId="61" fillId="25" borderId="110" xfId="0" applyFont="1" applyFill="1" applyBorder="1" applyAlignment="1" applyProtection="1">
      <alignment horizontal="right"/>
    </xf>
    <xf numFmtId="0" fontId="0" fillId="0" borderId="49" xfId="0" applyBorder="1" applyAlignment="1" applyProtection="1">
      <alignment horizontal="right"/>
    </xf>
    <xf numFmtId="0" fontId="61" fillId="25" borderId="24" xfId="0" applyFont="1" applyFill="1" applyBorder="1" applyAlignment="1" applyProtection="1">
      <alignment horizontal="center"/>
    </xf>
    <xf numFmtId="0" fontId="29" fillId="25" borderId="24" xfId="0" applyFont="1" applyFill="1" applyBorder="1" applyAlignment="1" applyProtection="1">
      <alignment horizontal="center"/>
    </xf>
    <xf numFmtId="0" fontId="68" fillId="25" borderId="116" xfId="0" applyFont="1" applyFill="1" applyBorder="1" applyAlignment="1" applyProtection="1">
      <alignment horizontal="left"/>
    </xf>
    <xf numFmtId="0" fontId="68" fillId="25" borderId="24" xfId="0" applyFont="1" applyFill="1" applyBorder="1" applyAlignment="1" applyProtection="1">
      <alignment horizontal="left"/>
    </xf>
    <xf numFmtId="0" fontId="61" fillId="25" borderId="70" xfId="0" applyFont="1" applyFill="1" applyBorder="1" applyAlignment="1">
      <alignment horizontal="right"/>
    </xf>
    <xf numFmtId="0" fontId="0" fillId="0" borderId="47" xfId="0" applyBorder="1" applyAlignment="1">
      <alignment horizontal="right"/>
    </xf>
    <xf numFmtId="0" fontId="61" fillId="25" borderId="0" xfId="0" applyFont="1" applyFill="1" applyBorder="1" applyAlignment="1">
      <alignment horizontal="center"/>
    </xf>
    <xf numFmtId="0" fontId="69" fillId="28" borderId="193" xfId="0" applyFont="1" applyFill="1" applyBorder="1" applyAlignment="1"/>
    <xf numFmtId="0" fontId="70" fillId="28" borderId="194" xfId="0" applyFont="1" applyFill="1" applyBorder="1" applyAlignment="1"/>
    <xf numFmtId="0" fontId="61" fillId="25" borderId="195" xfId="0" applyFont="1" applyFill="1" applyBorder="1" applyAlignment="1">
      <alignment horizontal="center"/>
    </xf>
    <xf numFmtId="0" fontId="33" fillId="25" borderId="27" xfId="0" applyFont="1" applyFill="1" applyBorder="1" applyAlignment="1">
      <alignment horizontal="center"/>
    </xf>
    <xf numFmtId="0" fontId="61" fillId="25" borderId="87" xfId="0" applyFont="1" applyFill="1" applyBorder="1" applyAlignment="1">
      <alignment horizontal="center"/>
    </xf>
    <xf numFmtId="0" fontId="61" fillId="25" borderId="19" xfId="0" applyFont="1" applyFill="1" applyBorder="1" applyAlignment="1">
      <alignment horizontal="center"/>
    </xf>
    <xf numFmtId="0" fontId="68" fillId="25" borderId="116" xfId="0" applyFont="1" applyFill="1" applyBorder="1" applyAlignment="1">
      <alignment horizontal="left"/>
    </xf>
    <xf numFmtId="0" fontId="68" fillId="25" borderId="27" xfId="0" applyFont="1" applyFill="1" applyBorder="1" applyAlignment="1">
      <alignment horizontal="left"/>
    </xf>
    <xf numFmtId="0" fontId="64" fillId="25" borderId="26" xfId="0" applyFont="1" applyFill="1" applyBorder="1" applyAlignment="1">
      <alignment horizontal="center" vertical="center"/>
    </xf>
    <xf numFmtId="0" fontId="0" fillId="0" borderId="26" xfId="0" applyBorder="1" applyAlignment="1">
      <alignment horizontal="center" vertical="center"/>
    </xf>
    <xf numFmtId="0" fontId="64" fillId="25" borderId="19" xfId="0" applyFont="1" applyFill="1" applyBorder="1" applyAlignment="1">
      <alignment horizontal="center" vertical="center"/>
    </xf>
    <xf numFmtId="0" fontId="0" fillId="0" borderId="19" xfId="0" applyBorder="1" applyAlignment="1">
      <alignment horizontal="center" vertical="center"/>
    </xf>
    <xf numFmtId="0" fontId="64" fillId="25" borderId="196" xfId="0" applyFont="1" applyFill="1" applyBorder="1" applyAlignment="1">
      <alignment horizontal="center" vertical="center"/>
    </xf>
    <xf numFmtId="0" fontId="0" fillId="0" borderId="0" xfId="0" applyAlignment="1">
      <alignment horizontal="center" vertical="center"/>
    </xf>
    <xf numFmtId="0" fontId="64" fillId="25" borderId="33" xfId="0" applyFont="1" applyFill="1" applyBorder="1" applyAlignment="1">
      <alignment horizontal="center" vertical="center"/>
    </xf>
    <xf numFmtId="0" fontId="0" fillId="0" borderId="33" xfId="0" applyBorder="1" applyAlignment="1">
      <alignment horizontal="center" vertical="center"/>
    </xf>
    <xf numFmtId="0" fontId="44" fillId="26" borderId="34" xfId="0" applyFont="1" applyFill="1" applyBorder="1" applyAlignment="1"/>
    <xf numFmtId="0" fontId="45" fillId="26" borderId="39" xfId="0" applyFont="1" applyFill="1" applyBorder="1" applyAlignment="1"/>
    <xf numFmtId="0" fontId="42" fillId="0" borderId="34" xfId="0" applyFont="1" applyBorder="1" applyAlignment="1"/>
    <xf numFmtId="0" fontId="1" fillId="0" borderId="39" xfId="0" applyFont="1" applyBorder="1" applyAlignment="1"/>
    <xf numFmtId="0" fontId="42" fillId="0" borderId="193" xfId="0" applyFont="1" applyBorder="1" applyAlignment="1"/>
    <xf numFmtId="0" fontId="0" fillId="0" borderId="194" xfId="0" applyBorder="1" applyAlignment="1"/>
    <xf numFmtId="0" fontId="64" fillId="25" borderId="87" xfId="0" applyFont="1" applyFill="1" applyBorder="1" applyAlignment="1">
      <alignment horizontal="center" vertical="center"/>
    </xf>
    <xf numFmtId="0" fontId="0" fillId="0" borderId="87" xfId="0" applyBorder="1" applyAlignment="1">
      <alignment horizontal="center" vertical="center"/>
    </xf>
    <xf numFmtId="169" fontId="7" fillId="32" borderId="199" xfId="0" applyNumberFormat="1" applyFont="1" applyFill="1" applyBorder="1" applyAlignment="1" applyProtection="1">
      <alignment horizontal="center"/>
      <protection locked="0"/>
    </xf>
    <xf numFmtId="0" fontId="30" fillId="25" borderId="108" xfId="0" applyFont="1" applyFill="1" applyBorder="1" applyAlignment="1" applyProtection="1">
      <alignment horizontal="left" vertical="center"/>
      <protection locked="0"/>
    </xf>
    <xf numFmtId="0" fontId="0" fillId="32" borderId="199" xfId="0" applyFill="1" applyBorder="1" applyProtection="1">
      <protection locked="0"/>
    </xf>
    <xf numFmtId="166" fontId="1" fillId="32" borderId="199" xfId="102" quotePrefix="1" applyNumberFormat="1" applyFont="1" applyFill="1" applyBorder="1" applyAlignment="1" applyProtection="1">
      <alignment horizontal="right"/>
      <protection locked="0"/>
    </xf>
    <xf numFmtId="167" fontId="0" fillId="32" borderId="199" xfId="0" applyNumberFormat="1" applyFill="1" applyBorder="1" applyProtection="1">
      <protection locked="0"/>
    </xf>
    <xf numFmtId="167" fontId="0" fillId="32" borderId="199" xfId="0" applyNumberFormat="1" applyFill="1" applyBorder="1" applyAlignment="1" applyProtection="1">
      <alignment horizontal="right"/>
      <protection locked="0"/>
    </xf>
  </cellXfs>
  <cellStyles count="160">
    <cellStyle name="20 % - Akzent1" xfId="137" builtinId="30" hidden="1"/>
    <cellStyle name="20 % - Akzent2" xfId="141" builtinId="34" hidden="1"/>
    <cellStyle name="20 % - Akzent3" xfId="145" builtinId="38" hidden="1"/>
    <cellStyle name="20 % - Akzent4" xfId="149" builtinId="42" hidden="1"/>
    <cellStyle name="20 % - Akzent5" xfId="153" builtinId="46" hidden="1"/>
    <cellStyle name="20 % - Akzent6" xfId="157" builtinId="50" hidden="1"/>
    <cellStyle name="20% - Accent1" xfId="1" xr:uid="{00000000-0005-0000-0000-000006000000}"/>
    <cellStyle name="20% - Accent2" xfId="2" xr:uid="{00000000-0005-0000-0000-000007000000}"/>
    <cellStyle name="20% - Accent3" xfId="3" xr:uid="{00000000-0005-0000-0000-000008000000}"/>
    <cellStyle name="20% - Accent4" xfId="4" xr:uid="{00000000-0005-0000-0000-000009000000}"/>
    <cellStyle name="20% - Accent5" xfId="5" xr:uid="{00000000-0005-0000-0000-00000A000000}"/>
    <cellStyle name="20% - Accent6" xfId="6" xr:uid="{00000000-0005-0000-0000-00000B000000}"/>
    <cellStyle name="20% - Énfasis1" xfId="7" xr:uid="{00000000-0005-0000-0000-00000C000000}"/>
    <cellStyle name="20% - Énfasis2" xfId="8" xr:uid="{00000000-0005-0000-0000-00000D000000}"/>
    <cellStyle name="20% - Énfasis3" xfId="9" xr:uid="{00000000-0005-0000-0000-00000E000000}"/>
    <cellStyle name="20% - Énfasis4" xfId="10" xr:uid="{00000000-0005-0000-0000-00000F000000}"/>
    <cellStyle name="20% - Énfasis5" xfId="11" xr:uid="{00000000-0005-0000-0000-000010000000}"/>
    <cellStyle name="20% - Énfasis6" xfId="12" xr:uid="{00000000-0005-0000-0000-000011000000}"/>
    <cellStyle name="40 % - Akzent1" xfId="138" builtinId="31" hidden="1"/>
    <cellStyle name="40 % - Akzent2" xfId="142" builtinId="35" hidden="1"/>
    <cellStyle name="40 % - Akzent3" xfId="146" builtinId="39" hidden="1"/>
    <cellStyle name="40 % - Akzent4" xfId="150" builtinId="43" hidden="1"/>
    <cellStyle name="40 % - Akzent5" xfId="154" builtinId="47" hidden="1"/>
    <cellStyle name="40 % - Akzent6" xfId="158" builtinId="51" hidden="1"/>
    <cellStyle name="40% - Accent1" xfId="13" xr:uid="{00000000-0005-0000-0000-000018000000}"/>
    <cellStyle name="40% - Accent2" xfId="14" xr:uid="{00000000-0005-0000-0000-000019000000}"/>
    <cellStyle name="40% - Accent3" xfId="15" xr:uid="{00000000-0005-0000-0000-00001A000000}"/>
    <cellStyle name="40% - Accent4" xfId="16" xr:uid="{00000000-0005-0000-0000-00001B000000}"/>
    <cellStyle name="40% - Accent5" xfId="17" xr:uid="{00000000-0005-0000-0000-00001C000000}"/>
    <cellStyle name="40% - Accent6" xfId="18" xr:uid="{00000000-0005-0000-0000-00001D000000}"/>
    <cellStyle name="40% - Énfasis1" xfId="19" xr:uid="{00000000-0005-0000-0000-00001E000000}"/>
    <cellStyle name="40% - Énfasis2" xfId="20" xr:uid="{00000000-0005-0000-0000-00001F000000}"/>
    <cellStyle name="40% - Énfasis3" xfId="21" xr:uid="{00000000-0005-0000-0000-000020000000}"/>
    <cellStyle name="40% - Énfasis4" xfId="22" xr:uid="{00000000-0005-0000-0000-000021000000}"/>
    <cellStyle name="40% - Énfasis5" xfId="23" xr:uid="{00000000-0005-0000-0000-000022000000}"/>
    <cellStyle name="40% - Énfasis6" xfId="24" xr:uid="{00000000-0005-0000-0000-000023000000}"/>
    <cellStyle name="60 % - Akzent1" xfId="139" builtinId="32" hidden="1"/>
    <cellStyle name="60 % - Akzent2" xfId="143" builtinId="36" hidden="1"/>
    <cellStyle name="60 % - Akzent3" xfId="147" builtinId="40" hidden="1"/>
    <cellStyle name="60 % - Akzent4" xfId="151" builtinId="44" hidden="1"/>
    <cellStyle name="60 % - Akzent5" xfId="155" builtinId="48" hidden="1"/>
    <cellStyle name="60 % - Akzent6" xfId="159" builtinId="52" hidden="1"/>
    <cellStyle name="60% - Accent1" xfId="25" xr:uid="{00000000-0005-0000-0000-00002A000000}"/>
    <cellStyle name="60% - Accent2" xfId="26" xr:uid="{00000000-0005-0000-0000-00002B000000}"/>
    <cellStyle name="60% - Accent3" xfId="27" xr:uid="{00000000-0005-0000-0000-00002C000000}"/>
    <cellStyle name="60% - Accent4" xfId="28" xr:uid="{00000000-0005-0000-0000-00002D000000}"/>
    <cellStyle name="60% - Accent5" xfId="29" xr:uid="{00000000-0005-0000-0000-00002E000000}"/>
    <cellStyle name="60% - Accent6" xfId="30" xr:uid="{00000000-0005-0000-0000-00002F000000}"/>
    <cellStyle name="60% - Énfasis1" xfId="31" xr:uid="{00000000-0005-0000-0000-000030000000}"/>
    <cellStyle name="60% - Énfasis2" xfId="32" xr:uid="{00000000-0005-0000-0000-000031000000}"/>
    <cellStyle name="60% - Énfasis3" xfId="33" xr:uid="{00000000-0005-0000-0000-000032000000}"/>
    <cellStyle name="60% - Énfasis4" xfId="34" xr:uid="{00000000-0005-0000-0000-000033000000}"/>
    <cellStyle name="60% - Énfasis5" xfId="35" xr:uid="{00000000-0005-0000-0000-000034000000}"/>
    <cellStyle name="60% - Énfasis6" xfId="36" xr:uid="{00000000-0005-0000-0000-000035000000}"/>
    <cellStyle name="Accent1" xfId="37" xr:uid="{00000000-0005-0000-0000-000036000000}"/>
    <cellStyle name="Accent2" xfId="38" xr:uid="{00000000-0005-0000-0000-000037000000}"/>
    <cellStyle name="Accent3" xfId="39" xr:uid="{00000000-0005-0000-0000-000038000000}"/>
    <cellStyle name="Accent4" xfId="40" xr:uid="{00000000-0005-0000-0000-000039000000}"/>
    <cellStyle name="Accent5" xfId="41" xr:uid="{00000000-0005-0000-0000-00003A000000}"/>
    <cellStyle name="Accent6" xfId="42" xr:uid="{00000000-0005-0000-0000-00003B000000}"/>
    <cellStyle name="Akzent1" xfId="136" builtinId="29" hidden="1"/>
    <cellStyle name="Akzent2" xfId="140" builtinId="33" hidden="1"/>
    <cellStyle name="Akzent3" xfId="144" builtinId="37" hidden="1"/>
    <cellStyle name="Akzent4" xfId="148" builtinId="41" hidden="1"/>
    <cellStyle name="Akzent5" xfId="152" builtinId="45" hidden="1"/>
    <cellStyle name="Akzent6" xfId="156" builtinId="49" hidden="1"/>
    <cellStyle name="Ausgabe" xfId="43" xr:uid="{00000000-0005-0000-0000-000042000000}"/>
    <cellStyle name="Ausgabe 2" xfId="44" xr:uid="{00000000-0005-0000-0000-000043000000}"/>
    <cellStyle name="Avertissement" xfId="45" xr:uid="{00000000-0005-0000-0000-000044000000}"/>
    <cellStyle name="Bad" xfId="46" xr:uid="{00000000-0005-0000-0000-000045000000}"/>
    <cellStyle name="Berechnung" xfId="47" xr:uid="{00000000-0005-0000-0000-000046000000}"/>
    <cellStyle name="Berechnung 2" xfId="48" xr:uid="{00000000-0005-0000-0000-000047000000}"/>
    <cellStyle name="Buena" xfId="49" xr:uid="{00000000-0005-0000-0000-000048000000}"/>
    <cellStyle name="Calcul" xfId="50" xr:uid="{00000000-0005-0000-0000-000049000000}"/>
    <cellStyle name="Calculation" xfId="51" xr:uid="{00000000-0005-0000-0000-00004A000000}"/>
    <cellStyle name="Cálculo" xfId="52" xr:uid="{00000000-0005-0000-0000-00004B000000}"/>
    <cellStyle name="Celda de comprobación" xfId="53" xr:uid="{00000000-0005-0000-0000-00004C000000}"/>
    <cellStyle name="Celda vinculada" xfId="54" xr:uid="{00000000-0005-0000-0000-00004D000000}"/>
    <cellStyle name="Cellule liée" xfId="55" xr:uid="{00000000-0005-0000-0000-00004E000000}"/>
    <cellStyle name="Check Cell" xfId="56" xr:uid="{00000000-0005-0000-0000-00004F000000}"/>
    <cellStyle name="Commentaire" xfId="57" xr:uid="{00000000-0005-0000-0000-000050000000}"/>
    <cellStyle name="Eingabe" xfId="58" xr:uid="{00000000-0005-0000-0000-000051000000}"/>
    <cellStyle name="Eingabe 2" xfId="59" xr:uid="{00000000-0005-0000-0000-000052000000}"/>
    <cellStyle name="Encabezado 4" xfId="60" xr:uid="{00000000-0005-0000-0000-000053000000}"/>
    <cellStyle name="Énfasis1 2" xfId="61" xr:uid="{00000000-0005-0000-0000-000054000000}"/>
    <cellStyle name="Énfasis2 2" xfId="62" xr:uid="{00000000-0005-0000-0000-000055000000}"/>
    <cellStyle name="Énfasis3 2" xfId="63" xr:uid="{00000000-0005-0000-0000-000056000000}"/>
    <cellStyle name="Énfasis4 2" xfId="64" xr:uid="{00000000-0005-0000-0000-000057000000}"/>
    <cellStyle name="Énfasis5 2" xfId="65" xr:uid="{00000000-0005-0000-0000-000058000000}"/>
    <cellStyle name="Énfasis6 2" xfId="66" xr:uid="{00000000-0005-0000-0000-000059000000}"/>
    <cellStyle name="Entrada" xfId="67" xr:uid="{00000000-0005-0000-0000-00005A000000}"/>
    <cellStyle name="Entrée" xfId="68" xr:uid="{00000000-0005-0000-0000-00005B000000}"/>
    <cellStyle name="Ergebnis" xfId="69" xr:uid="{00000000-0005-0000-0000-00005C000000}"/>
    <cellStyle name="Ergebnis 2" xfId="70" xr:uid="{00000000-0005-0000-0000-00005D000000}"/>
    <cellStyle name="Erklärender Text" xfId="71" xr:uid="{00000000-0005-0000-0000-00005E000000}"/>
    <cellStyle name="Erklärender Text 2" xfId="72" xr:uid="{00000000-0005-0000-0000-00005F000000}"/>
    <cellStyle name="Explanatory Text" xfId="73" xr:uid="{00000000-0005-0000-0000-000060000000}"/>
    <cellStyle name="Good" xfId="74" xr:uid="{00000000-0005-0000-0000-000061000000}"/>
    <cellStyle name="Heading 1" xfId="75" xr:uid="{00000000-0005-0000-0000-000062000000}"/>
    <cellStyle name="Heading 2" xfId="76" xr:uid="{00000000-0005-0000-0000-000063000000}"/>
    <cellStyle name="Heading 3" xfId="77" xr:uid="{00000000-0005-0000-0000-000064000000}"/>
    <cellStyle name="Heading 4" xfId="78" xr:uid="{00000000-0005-0000-0000-000065000000}"/>
    <cellStyle name="Hyperlink_N2O_Biograce_final_BioGrace_GHG_calculations_-_version_4b_-_Public_N2O sheet after Ecofys requirements" xfId="80" xr:uid="{00000000-0005-0000-0000-000066000000}"/>
    <cellStyle name="Incorrecto" xfId="81" xr:uid="{00000000-0005-0000-0000-000067000000}"/>
    <cellStyle name="Input" xfId="82" xr:uid="{00000000-0005-0000-0000-000068000000}"/>
    <cellStyle name="Insatisfaisant" xfId="83" xr:uid="{00000000-0005-0000-0000-000069000000}"/>
    <cellStyle name="Komma" xfId="84" builtinId="3"/>
    <cellStyle name="Komma 2" xfId="85" xr:uid="{00000000-0005-0000-0000-00006B000000}"/>
    <cellStyle name="Komma 2 2" xfId="86" xr:uid="{00000000-0005-0000-0000-00006C000000}"/>
    <cellStyle name="Komma 3" xfId="87" xr:uid="{00000000-0005-0000-0000-00006D000000}"/>
    <cellStyle name="Komma 4" xfId="88" xr:uid="{00000000-0005-0000-0000-00006E000000}"/>
    <cellStyle name="Link" xfId="79" builtinId="8"/>
    <cellStyle name="Linked Cell" xfId="89" xr:uid="{00000000-0005-0000-0000-000070000000}"/>
    <cellStyle name="Neutre" xfId="90" xr:uid="{00000000-0005-0000-0000-000071000000}"/>
    <cellStyle name="Normal 2" xfId="91" xr:uid="{00000000-0005-0000-0000-000072000000}"/>
    <cellStyle name="Normal_Biogas pathways summary 16-09" xfId="92" xr:uid="{00000000-0005-0000-0000-000073000000}"/>
    <cellStyle name="Notas" xfId="93" xr:uid="{00000000-0005-0000-0000-000074000000}"/>
    <cellStyle name="Notas 2" xfId="94" xr:uid="{00000000-0005-0000-0000-000075000000}"/>
    <cellStyle name="Notas 3" xfId="95" xr:uid="{00000000-0005-0000-0000-000076000000}"/>
    <cellStyle name="Note" xfId="96" xr:uid="{00000000-0005-0000-0000-000077000000}"/>
    <cellStyle name="Note 2" xfId="97" xr:uid="{00000000-0005-0000-0000-000078000000}"/>
    <cellStyle name="Note 3" xfId="98" xr:uid="{00000000-0005-0000-0000-000079000000}"/>
    <cellStyle name="Note 4" xfId="99" xr:uid="{00000000-0005-0000-0000-00007A000000}"/>
    <cellStyle name="Note 5" xfId="100" xr:uid="{00000000-0005-0000-0000-00007B000000}"/>
    <cellStyle name="Output" xfId="101" xr:uid="{00000000-0005-0000-0000-00007C000000}"/>
    <cellStyle name="Procent 2" xfId="103" xr:uid="{00000000-0005-0000-0000-00007D000000}"/>
    <cellStyle name="Procent 2 2" xfId="104" xr:uid="{00000000-0005-0000-0000-00007E000000}"/>
    <cellStyle name="Prozent" xfId="102" builtinId="5"/>
    <cellStyle name="Prozent 2" xfId="105" xr:uid="{00000000-0005-0000-0000-000080000000}"/>
    <cellStyle name="Prozent 3" xfId="106" xr:uid="{00000000-0005-0000-0000-000081000000}"/>
    <cellStyle name="Prozent 4" xfId="107" xr:uid="{00000000-0005-0000-0000-000082000000}"/>
    <cellStyle name="Salida" xfId="108" xr:uid="{00000000-0005-0000-0000-000083000000}"/>
    <cellStyle name="Satisfaisant" xfId="109" xr:uid="{00000000-0005-0000-0000-000084000000}"/>
    <cellStyle name="Sortie" xfId="110" xr:uid="{00000000-0005-0000-0000-000085000000}"/>
    <cellStyle name="Standaard 2" xfId="111" xr:uid="{00000000-0005-0000-0000-000086000000}"/>
    <cellStyle name="Standard" xfId="0" builtinId="0"/>
    <cellStyle name="Standard 2" xfId="112" xr:uid="{00000000-0005-0000-0000-000088000000}"/>
    <cellStyle name="Texte explicatif" xfId="113" xr:uid="{00000000-0005-0000-0000-000089000000}"/>
    <cellStyle name="Texto de advertencia" xfId="114" xr:uid="{00000000-0005-0000-0000-00008A000000}"/>
    <cellStyle name="Texto explicativo" xfId="115" xr:uid="{00000000-0005-0000-0000-00008B000000}"/>
    <cellStyle name="Title" xfId="116" xr:uid="{00000000-0005-0000-0000-00008C000000}"/>
    <cellStyle name="Title 2" xfId="117" xr:uid="{00000000-0005-0000-0000-00008D000000}"/>
    <cellStyle name="Titre" xfId="118" xr:uid="{00000000-0005-0000-0000-00008E000000}"/>
    <cellStyle name="Titre 1" xfId="119" xr:uid="{00000000-0005-0000-0000-00008F000000}"/>
    <cellStyle name="Titre 2" xfId="120" xr:uid="{00000000-0005-0000-0000-000090000000}"/>
    <cellStyle name="Titre 3" xfId="121" xr:uid="{00000000-0005-0000-0000-000091000000}"/>
    <cellStyle name="Titre 4" xfId="122" xr:uid="{00000000-0005-0000-0000-000092000000}"/>
    <cellStyle name="Titre_BioGrace GHG calculations - version 4b - Public - modifications made during Stockholm meeting - backup" xfId="123" xr:uid="{00000000-0005-0000-0000-000093000000}"/>
    <cellStyle name="Título" xfId="124" xr:uid="{00000000-0005-0000-0000-000094000000}"/>
    <cellStyle name="Título 1" xfId="125" xr:uid="{00000000-0005-0000-0000-000095000000}"/>
    <cellStyle name="Título 2" xfId="126" xr:uid="{00000000-0005-0000-0000-000096000000}"/>
    <cellStyle name="Título 3" xfId="127" xr:uid="{00000000-0005-0000-0000-000097000000}"/>
    <cellStyle name="Título_10-06-18 AnH BioGrace GHG calculations - version 2.0.a" xfId="128" xr:uid="{00000000-0005-0000-0000-000098000000}"/>
    <cellStyle name="Total" xfId="129" xr:uid="{00000000-0005-0000-0000-000099000000}"/>
    <cellStyle name="Valuta 2" xfId="131" xr:uid="{00000000-0005-0000-0000-00009A000000}"/>
    <cellStyle name="Vérification" xfId="132" xr:uid="{00000000-0005-0000-0000-00009B000000}"/>
    <cellStyle name="Währung" xfId="130" builtinId="4"/>
    <cellStyle name="Währung 2" xfId="133" xr:uid="{00000000-0005-0000-0000-00009D000000}"/>
    <cellStyle name="Währung 3" xfId="134" xr:uid="{00000000-0005-0000-0000-00009E000000}"/>
    <cellStyle name="Warning Text" xfId="135" xr:uid="{00000000-0005-0000-0000-00009F000000}"/>
  </cellStyles>
  <dxfs count="134">
    <dxf>
      <font>
        <b val="0"/>
        <i/>
        <condense val="0"/>
        <extend val="0"/>
      </font>
      <fill>
        <patternFill>
          <bgColor indexed="22"/>
        </patternFill>
      </fill>
    </dxf>
    <dxf>
      <font>
        <b val="0"/>
        <i/>
        <condense val="0"/>
        <extend val="0"/>
      </font>
      <fill>
        <patternFill>
          <bgColor indexed="22"/>
        </patternFill>
      </fill>
    </dxf>
    <dxf>
      <font>
        <b/>
        <i val="0"/>
        <color rgb="FF3C6919"/>
      </font>
      <fill>
        <patternFill>
          <bgColor theme="0"/>
        </patternFill>
      </fill>
    </dxf>
    <dxf>
      <font>
        <b/>
        <i val="0"/>
        <condense val="0"/>
        <extend val="0"/>
        <color indexed="13"/>
      </font>
    </dxf>
    <dxf>
      <fill>
        <patternFill>
          <bgColor indexed="51"/>
        </patternFill>
      </fill>
    </dxf>
    <dxf>
      <font>
        <b/>
        <i val="0"/>
        <color rgb="FF3C6919"/>
      </font>
      <fill>
        <patternFill>
          <bgColor theme="0"/>
        </patternFill>
      </fill>
    </dxf>
    <dxf>
      <font>
        <b/>
        <i val="0"/>
        <condense val="0"/>
        <extend val="0"/>
        <color indexed="13"/>
      </font>
    </dxf>
    <dxf>
      <fill>
        <patternFill>
          <bgColor indexed="51"/>
        </patternFill>
      </fill>
    </dxf>
    <dxf>
      <font>
        <b/>
        <i val="0"/>
        <color rgb="FF3C6919"/>
      </font>
      <fill>
        <patternFill>
          <bgColor theme="0"/>
        </patternFill>
      </fill>
    </dxf>
    <dxf>
      <font>
        <b/>
        <i val="0"/>
        <condense val="0"/>
        <extend val="0"/>
        <color indexed="13"/>
      </font>
    </dxf>
    <dxf>
      <fill>
        <patternFill>
          <bgColor indexed="51"/>
        </patternFill>
      </fill>
    </dxf>
    <dxf>
      <fill>
        <patternFill>
          <bgColor indexed="51"/>
        </patternFill>
      </fill>
    </dxf>
    <dxf>
      <font>
        <b val="0"/>
        <i val="0"/>
        <strike val="0"/>
        <condense val="0"/>
        <extend val="0"/>
        <color auto="1"/>
      </font>
      <fill>
        <patternFill>
          <bgColor indexed="51"/>
        </patternFill>
      </fill>
    </dxf>
    <dxf>
      <fill>
        <patternFill>
          <bgColor indexed="51"/>
        </patternFill>
      </fill>
    </dxf>
    <dxf>
      <fill>
        <patternFill>
          <bgColor indexed="51"/>
        </patternFill>
      </fill>
    </dxf>
    <dxf>
      <fill>
        <patternFill>
          <bgColor indexed="51"/>
        </patternFill>
      </fill>
    </dxf>
    <dxf>
      <font>
        <b val="0"/>
        <i val="0"/>
        <strike val="0"/>
        <condense val="0"/>
        <extend val="0"/>
        <color auto="1"/>
      </font>
      <fill>
        <patternFill>
          <bgColor indexed="51"/>
        </patternFill>
      </fill>
    </dxf>
    <dxf>
      <font>
        <b/>
        <i val="0"/>
        <condense val="0"/>
        <extend val="0"/>
        <color indexed="13"/>
      </font>
    </dxf>
    <dxf>
      <font>
        <b val="0"/>
        <i val="0"/>
        <strike val="0"/>
        <condense val="0"/>
        <extend val="0"/>
        <color auto="1"/>
      </font>
      <fill>
        <patternFill>
          <bgColor indexed="51"/>
        </patternFill>
      </fill>
    </dxf>
    <dxf>
      <fill>
        <patternFill>
          <bgColor indexed="51"/>
        </patternFill>
      </fill>
    </dxf>
    <dxf>
      <fill>
        <patternFill>
          <bgColor indexed="51"/>
        </patternFill>
      </fill>
    </dxf>
    <dxf>
      <fill>
        <patternFill>
          <bgColor indexed="51"/>
        </patternFill>
      </fill>
    </dxf>
    <dxf>
      <font>
        <b val="0"/>
        <i val="0"/>
        <strike val="0"/>
        <condense val="0"/>
        <extend val="0"/>
        <color auto="1"/>
      </font>
      <fill>
        <patternFill>
          <bgColor indexed="51"/>
        </patternFill>
      </fill>
    </dxf>
    <dxf>
      <font>
        <b/>
        <i val="0"/>
        <condense val="0"/>
        <extend val="0"/>
        <color indexed="13"/>
      </font>
    </dxf>
    <dxf>
      <font>
        <b val="0"/>
        <i val="0"/>
        <strike val="0"/>
        <condense val="0"/>
        <extend val="0"/>
        <color auto="1"/>
      </font>
      <fill>
        <patternFill>
          <bgColor indexed="51"/>
        </patternFill>
      </fill>
    </dxf>
    <dxf>
      <fill>
        <patternFill>
          <bgColor indexed="51"/>
        </patternFill>
      </fill>
    </dxf>
    <dxf>
      <fill>
        <patternFill>
          <bgColor indexed="51"/>
        </patternFill>
      </fill>
    </dxf>
    <dxf>
      <fill>
        <patternFill>
          <bgColor indexed="51"/>
        </patternFill>
      </fill>
    </dxf>
    <dxf>
      <font>
        <b val="0"/>
        <i val="0"/>
        <strike val="0"/>
        <condense val="0"/>
        <extend val="0"/>
        <color auto="1"/>
      </font>
      <fill>
        <patternFill>
          <bgColor indexed="51"/>
        </patternFill>
      </fill>
    </dxf>
    <dxf>
      <font>
        <b/>
        <i val="0"/>
        <condense val="0"/>
        <extend val="0"/>
        <color indexed="13"/>
      </font>
    </dxf>
    <dxf>
      <fill>
        <patternFill>
          <bgColor indexed="51"/>
        </patternFill>
      </fill>
    </dxf>
    <dxf>
      <font>
        <b val="0"/>
        <i val="0"/>
        <strike val="0"/>
        <condense val="0"/>
        <extend val="0"/>
        <color auto="1"/>
      </font>
      <fill>
        <patternFill>
          <bgColor indexed="51"/>
        </patternFill>
      </fill>
    </dxf>
    <dxf>
      <fill>
        <patternFill>
          <bgColor indexed="51"/>
        </patternFill>
      </fill>
    </dxf>
    <dxf>
      <fill>
        <patternFill>
          <bgColor indexed="51"/>
        </patternFill>
      </fill>
    </dxf>
    <dxf>
      <fill>
        <patternFill>
          <bgColor indexed="51"/>
        </patternFill>
      </fill>
    </dxf>
    <dxf>
      <font>
        <b val="0"/>
        <i val="0"/>
        <strike val="0"/>
        <condense val="0"/>
        <extend val="0"/>
        <color auto="1"/>
      </font>
      <fill>
        <patternFill>
          <bgColor indexed="51"/>
        </patternFill>
      </fill>
    </dxf>
    <dxf>
      <font>
        <b/>
        <i val="0"/>
        <condense val="0"/>
        <extend val="0"/>
        <color indexed="13"/>
      </font>
    </dxf>
    <dxf>
      <fill>
        <patternFill>
          <bgColor indexed="51"/>
        </patternFill>
      </fill>
    </dxf>
    <dxf>
      <font>
        <b val="0"/>
        <i val="0"/>
        <strike val="0"/>
        <condense val="0"/>
        <extend val="0"/>
        <color auto="1"/>
      </font>
      <fill>
        <patternFill>
          <bgColor indexed="51"/>
        </patternFill>
      </fill>
    </dxf>
    <dxf>
      <fill>
        <patternFill>
          <bgColor indexed="51"/>
        </patternFill>
      </fill>
    </dxf>
    <dxf>
      <fill>
        <patternFill>
          <bgColor indexed="51"/>
        </patternFill>
      </fill>
    </dxf>
    <dxf>
      <fill>
        <patternFill>
          <bgColor indexed="51"/>
        </patternFill>
      </fill>
    </dxf>
    <dxf>
      <font>
        <b val="0"/>
        <i val="0"/>
        <strike val="0"/>
        <condense val="0"/>
        <extend val="0"/>
        <color auto="1"/>
      </font>
      <fill>
        <patternFill>
          <bgColor indexed="51"/>
        </patternFill>
      </fill>
    </dxf>
    <dxf>
      <font>
        <b/>
        <i val="0"/>
        <condense val="0"/>
        <extend val="0"/>
        <color indexed="13"/>
      </font>
    </dxf>
    <dxf>
      <font>
        <b/>
        <i val="0"/>
        <condense val="0"/>
        <extend val="0"/>
        <color indexed="13"/>
      </font>
    </dxf>
    <dxf>
      <fill>
        <patternFill>
          <bgColor indexed="51"/>
        </patternFill>
      </fill>
    </dxf>
    <dxf>
      <fill>
        <patternFill>
          <bgColor indexed="51"/>
        </patternFill>
      </fill>
    </dxf>
    <dxf>
      <font>
        <b val="0"/>
        <i val="0"/>
        <strike val="0"/>
        <condense val="0"/>
        <extend val="0"/>
        <color auto="1"/>
      </font>
      <fill>
        <patternFill>
          <bgColor indexed="51"/>
        </patternFill>
      </fill>
    </dxf>
    <dxf>
      <fill>
        <patternFill>
          <bgColor indexed="51"/>
        </patternFill>
      </fill>
    </dxf>
    <dxf>
      <fill>
        <patternFill>
          <bgColor indexed="51"/>
        </patternFill>
      </fill>
    </dxf>
    <dxf>
      <fill>
        <patternFill>
          <bgColor indexed="51"/>
        </patternFill>
      </fill>
    </dxf>
    <dxf>
      <font>
        <b val="0"/>
        <i val="0"/>
        <strike val="0"/>
        <condense val="0"/>
        <extend val="0"/>
        <color auto="1"/>
      </font>
      <fill>
        <patternFill>
          <bgColor indexed="51"/>
        </patternFill>
      </fill>
    </dxf>
    <dxf>
      <font>
        <b/>
        <i val="0"/>
        <condense val="0"/>
        <extend val="0"/>
        <color indexed="13"/>
      </font>
    </dxf>
    <dxf>
      <fill>
        <patternFill>
          <bgColor indexed="51"/>
        </patternFill>
      </fill>
    </dxf>
    <dxf>
      <font>
        <b val="0"/>
        <i val="0"/>
        <strike val="0"/>
        <condense val="0"/>
        <extend val="0"/>
        <color auto="1"/>
      </font>
      <fill>
        <patternFill>
          <bgColor indexed="51"/>
        </patternFill>
      </fill>
    </dxf>
    <dxf>
      <fill>
        <patternFill>
          <bgColor indexed="51"/>
        </patternFill>
      </fill>
    </dxf>
    <dxf>
      <fill>
        <patternFill>
          <bgColor indexed="51"/>
        </patternFill>
      </fill>
    </dxf>
    <dxf>
      <fill>
        <patternFill>
          <bgColor indexed="51"/>
        </patternFill>
      </fill>
    </dxf>
    <dxf>
      <font>
        <b val="0"/>
        <i val="0"/>
        <strike val="0"/>
        <condense val="0"/>
        <extend val="0"/>
        <color auto="1"/>
      </font>
      <fill>
        <patternFill>
          <bgColor indexed="51"/>
        </patternFill>
      </fill>
    </dxf>
    <dxf>
      <font>
        <b/>
        <i val="0"/>
        <condense val="0"/>
        <extend val="0"/>
        <color indexed="13"/>
      </font>
    </dxf>
    <dxf>
      <fill>
        <patternFill>
          <bgColor indexed="51"/>
        </patternFill>
      </fill>
    </dxf>
    <dxf>
      <fill>
        <patternFill>
          <bgColor indexed="51"/>
        </patternFill>
      </fill>
    </dxf>
    <dxf>
      <font>
        <b val="0"/>
        <i val="0"/>
        <strike val="0"/>
        <condense val="0"/>
        <extend val="0"/>
        <color auto="1"/>
      </font>
      <fill>
        <patternFill>
          <bgColor indexed="51"/>
        </patternFill>
      </fill>
    </dxf>
    <dxf>
      <fill>
        <patternFill>
          <bgColor indexed="51"/>
        </patternFill>
      </fill>
    </dxf>
    <dxf>
      <fill>
        <patternFill>
          <bgColor indexed="51"/>
        </patternFill>
      </fill>
    </dxf>
    <dxf>
      <fill>
        <patternFill>
          <bgColor indexed="51"/>
        </patternFill>
      </fill>
    </dxf>
    <dxf>
      <font>
        <b val="0"/>
        <i val="0"/>
        <strike val="0"/>
        <condense val="0"/>
        <extend val="0"/>
        <color auto="1"/>
      </font>
      <fill>
        <patternFill>
          <bgColor indexed="51"/>
        </patternFill>
      </fill>
    </dxf>
    <dxf>
      <font>
        <b/>
        <i val="0"/>
        <condense val="0"/>
        <extend val="0"/>
        <color indexed="13"/>
      </font>
    </dxf>
    <dxf>
      <fill>
        <patternFill>
          <bgColor indexed="51"/>
        </patternFill>
      </fill>
    </dxf>
    <dxf>
      <fill>
        <patternFill>
          <bgColor indexed="51"/>
        </patternFill>
      </fill>
    </dxf>
    <dxf>
      <font>
        <b val="0"/>
        <i val="0"/>
        <strike val="0"/>
        <condense val="0"/>
        <extend val="0"/>
        <color auto="1"/>
      </font>
      <fill>
        <patternFill>
          <bgColor indexed="51"/>
        </patternFill>
      </fill>
    </dxf>
    <dxf>
      <fill>
        <patternFill>
          <bgColor indexed="51"/>
        </patternFill>
      </fill>
    </dxf>
    <dxf>
      <fill>
        <patternFill>
          <bgColor indexed="51"/>
        </patternFill>
      </fill>
    </dxf>
    <dxf>
      <fill>
        <patternFill>
          <bgColor indexed="51"/>
        </patternFill>
      </fill>
    </dxf>
    <dxf>
      <font>
        <b val="0"/>
        <i val="0"/>
        <strike val="0"/>
        <condense val="0"/>
        <extend val="0"/>
        <color auto="1"/>
      </font>
      <fill>
        <patternFill>
          <bgColor indexed="51"/>
        </patternFill>
      </fill>
    </dxf>
    <dxf>
      <font>
        <b/>
        <i val="0"/>
        <condense val="0"/>
        <extend val="0"/>
        <color indexed="13"/>
      </font>
    </dxf>
    <dxf>
      <fill>
        <patternFill>
          <bgColor indexed="51"/>
        </patternFill>
      </fill>
    </dxf>
    <dxf>
      <fill>
        <patternFill>
          <bgColor indexed="51"/>
        </patternFill>
      </fill>
    </dxf>
    <dxf>
      <font>
        <b val="0"/>
        <i val="0"/>
        <strike val="0"/>
        <condense val="0"/>
        <extend val="0"/>
        <color auto="1"/>
      </font>
      <fill>
        <patternFill>
          <bgColor indexed="51"/>
        </patternFill>
      </fill>
    </dxf>
    <dxf>
      <fill>
        <patternFill>
          <bgColor indexed="51"/>
        </patternFill>
      </fill>
    </dxf>
    <dxf>
      <fill>
        <patternFill>
          <bgColor indexed="51"/>
        </patternFill>
      </fill>
    </dxf>
    <dxf>
      <fill>
        <patternFill>
          <bgColor indexed="51"/>
        </patternFill>
      </fill>
    </dxf>
    <dxf>
      <font>
        <b val="0"/>
        <i val="0"/>
        <strike val="0"/>
        <condense val="0"/>
        <extend val="0"/>
        <color auto="1"/>
      </font>
      <fill>
        <patternFill>
          <bgColor indexed="51"/>
        </patternFill>
      </fill>
    </dxf>
    <dxf>
      <font>
        <b/>
        <i val="0"/>
        <condense val="0"/>
        <extend val="0"/>
        <color indexed="13"/>
      </font>
    </dxf>
    <dxf>
      <font>
        <b val="0"/>
        <i val="0"/>
        <strike val="0"/>
        <condense val="0"/>
        <extend val="0"/>
        <color auto="1"/>
      </font>
      <fill>
        <patternFill>
          <bgColor indexed="51"/>
        </patternFill>
      </fill>
    </dxf>
    <dxf>
      <fill>
        <patternFill>
          <bgColor indexed="51"/>
        </patternFill>
      </fill>
    </dxf>
    <dxf>
      <fill>
        <patternFill>
          <bgColor indexed="51"/>
        </patternFill>
      </fill>
    </dxf>
    <dxf>
      <fill>
        <patternFill>
          <bgColor indexed="51"/>
        </patternFill>
      </fill>
    </dxf>
    <dxf>
      <font>
        <b val="0"/>
        <i val="0"/>
        <strike val="0"/>
        <condense val="0"/>
        <extend val="0"/>
        <color auto="1"/>
      </font>
      <fill>
        <patternFill>
          <bgColor indexed="51"/>
        </patternFill>
      </fill>
    </dxf>
    <dxf>
      <font>
        <b/>
        <i val="0"/>
        <condense val="0"/>
        <extend val="0"/>
        <color indexed="13"/>
      </font>
    </dxf>
    <dxf>
      <font>
        <b val="0"/>
        <i val="0"/>
        <strike val="0"/>
        <condense val="0"/>
        <extend val="0"/>
        <color auto="1"/>
      </font>
      <fill>
        <patternFill>
          <bgColor indexed="51"/>
        </patternFill>
      </fill>
    </dxf>
    <dxf>
      <fill>
        <patternFill>
          <bgColor indexed="51"/>
        </patternFill>
      </fill>
    </dxf>
    <dxf>
      <fill>
        <patternFill>
          <bgColor indexed="51"/>
        </patternFill>
      </fill>
    </dxf>
    <dxf>
      <fill>
        <patternFill>
          <bgColor indexed="51"/>
        </patternFill>
      </fill>
    </dxf>
    <dxf>
      <font>
        <b val="0"/>
        <i val="0"/>
        <strike val="0"/>
        <condense val="0"/>
        <extend val="0"/>
        <color auto="1"/>
      </font>
      <fill>
        <patternFill>
          <bgColor indexed="51"/>
        </patternFill>
      </fill>
    </dxf>
    <dxf>
      <font>
        <b/>
        <i val="0"/>
        <condense val="0"/>
        <extend val="0"/>
        <color indexed="13"/>
      </font>
    </dxf>
    <dxf>
      <font>
        <b val="0"/>
        <i val="0"/>
        <strike val="0"/>
        <condense val="0"/>
        <extend val="0"/>
        <color auto="1"/>
      </font>
      <fill>
        <patternFill>
          <bgColor indexed="51"/>
        </patternFill>
      </fill>
    </dxf>
    <dxf>
      <fill>
        <patternFill>
          <bgColor indexed="51"/>
        </patternFill>
      </fill>
    </dxf>
    <dxf>
      <fill>
        <patternFill>
          <bgColor indexed="51"/>
        </patternFill>
      </fill>
    </dxf>
    <dxf>
      <fill>
        <patternFill>
          <bgColor indexed="51"/>
        </patternFill>
      </fill>
    </dxf>
    <dxf>
      <font>
        <b val="0"/>
        <i val="0"/>
        <strike val="0"/>
        <condense val="0"/>
        <extend val="0"/>
        <color auto="1"/>
      </font>
      <fill>
        <patternFill>
          <bgColor indexed="51"/>
        </patternFill>
      </fill>
    </dxf>
    <dxf>
      <font>
        <b/>
        <i val="0"/>
        <condense val="0"/>
        <extend val="0"/>
        <color indexed="13"/>
      </font>
    </dxf>
    <dxf>
      <font>
        <b val="0"/>
        <i val="0"/>
        <strike val="0"/>
        <condense val="0"/>
        <extend val="0"/>
        <color auto="1"/>
      </font>
      <fill>
        <patternFill>
          <bgColor indexed="51"/>
        </patternFill>
      </fill>
    </dxf>
    <dxf>
      <fill>
        <patternFill>
          <bgColor indexed="51"/>
        </patternFill>
      </fill>
    </dxf>
    <dxf>
      <fill>
        <patternFill>
          <bgColor indexed="51"/>
        </patternFill>
      </fill>
    </dxf>
    <dxf>
      <fill>
        <patternFill>
          <bgColor indexed="51"/>
        </patternFill>
      </fill>
    </dxf>
    <dxf>
      <font>
        <b val="0"/>
        <i val="0"/>
        <strike val="0"/>
        <condense val="0"/>
        <extend val="0"/>
        <color auto="1"/>
      </font>
      <fill>
        <patternFill>
          <bgColor indexed="51"/>
        </patternFill>
      </fill>
    </dxf>
    <dxf>
      <font>
        <b/>
        <i val="0"/>
        <condense val="0"/>
        <extend val="0"/>
        <color indexed="13"/>
      </font>
    </dxf>
    <dxf>
      <font>
        <b val="0"/>
        <i val="0"/>
        <strike val="0"/>
        <condense val="0"/>
        <extend val="0"/>
        <color auto="1"/>
      </font>
      <fill>
        <patternFill>
          <bgColor indexed="51"/>
        </patternFill>
      </fill>
    </dxf>
    <dxf>
      <fill>
        <patternFill>
          <bgColor indexed="51"/>
        </patternFill>
      </fill>
    </dxf>
    <dxf>
      <fill>
        <patternFill>
          <bgColor indexed="51"/>
        </patternFill>
      </fill>
    </dxf>
    <dxf>
      <fill>
        <patternFill>
          <bgColor indexed="51"/>
        </patternFill>
      </fill>
    </dxf>
    <dxf>
      <font>
        <b val="0"/>
        <i val="0"/>
        <strike val="0"/>
        <condense val="0"/>
        <extend val="0"/>
        <color auto="1"/>
      </font>
      <fill>
        <patternFill>
          <bgColor indexed="51"/>
        </patternFill>
      </fill>
    </dxf>
    <dxf>
      <font>
        <b/>
        <i val="0"/>
        <condense val="0"/>
        <extend val="0"/>
        <color indexed="13"/>
      </font>
    </dxf>
    <dxf>
      <font>
        <b val="0"/>
        <i val="0"/>
        <strike val="0"/>
        <condense val="0"/>
        <extend val="0"/>
        <color auto="1"/>
      </font>
      <fill>
        <patternFill>
          <bgColor indexed="51"/>
        </patternFill>
      </fill>
    </dxf>
    <dxf>
      <fill>
        <patternFill>
          <bgColor indexed="51"/>
        </patternFill>
      </fill>
    </dxf>
    <dxf>
      <fill>
        <patternFill>
          <bgColor indexed="51"/>
        </patternFill>
      </fill>
    </dxf>
    <dxf>
      <fill>
        <patternFill>
          <bgColor indexed="51"/>
        </patternFill>
      </fill>
    </dxf>
    <dxf>
      <font>
        <b val="0"/>
        <i val="0"/>
        <strike val="0"/>
        <condense val="0"/>
        <extend val="0"/>
        <color auto="1"/>
      </font>
      <fill>
        <patternFill>
          <bgColor indexed="51"/>
        </patternFill>
      </fill>
    </dxf>
    <dxf>
      <font>
        <b/>
        <i val="0"/>
        <condense val="0"/>
        <extend val="0"/>
        <color indexed="13"/>
      </font>
    </dxf>
    <dxf>
      <font>
        <b val="0"/>
        <i val="0"/>
        <strike val="0"/>
        <condense val="0"/>
        <extend val="0"/>
        <color auto="1"/>
      </font>
      <fill>
        <patternFill>
          <bgColor indexed="51"/>
        </patternFill>
      </fill>
    </dxf>
    <dxf>
      <fill>
        <patternFill>
          <bgColor indexed="51"/>
        </patternFill>
      </fill>
    </dxf>
    <dxf>
      <fill>
        <patternFill>
          <bgColor indexed="51"/>
        </patternFill>
      </fill>
    </dxf>
    <dxf>
      <fill>
        <patternFill>
          <bgColor indexed="51"/>
        </patternFill>
      </fill>
    </dxf>
    <dxf>
      <font>
        <b val="0"/>
        <i val="0"/>
        <strike val="0"/>
        <condense val="0"/>
        <extend val="0"/>
        <color auto="1"/>
      </font>
      <fill>
        <patternFill>
          <bgColor indexed="51"/>
        </patternFill>
      </fill>
    </dxf>
    <dxf>
      <fill>
        <patternFill>
          <bgColor indexed="51"/>
        </patternFill>
      </fill>
    </dxf>
    <dxf>
      <font>
        <b/>
        <i val="0"/>
        <condense val="0"/>
        <extend val="0"/>
        <color indexed="13"/>
      </font>
    </dxf>
    <dxf>
      <font>
        <condense val="0"/>
        <extend val="0"/>
        <color indexed="9"/>
      </font>
      <fill>
        <patternFill>
          <bgColor indexed="51"/>
        </patternFill>
      </fill>
    </dxf>
    <dxf>
      <fill>
        <patternFill>
          <bgColor indexed="51"/>
        </patternFill>
      </fill>
    </dxf>
    <dxf>
      <font>
        <b val="0"/>
        <i val="0"/>
        <strike val="0"/>
        <condense val="0"/>
        <extend val="0"/>
        <color auto="1"/>
      </font>
      <fill>
        <patternFill>
          <bgColor indexed="51"/>
        </patternFill>
      </fill>
    </dxf>
    <dxf>
      <font>
        <b val="0"/>
        <i val="0"/>
        <strike val="0"/>
        <condense val="0"/>
        <extend val="0"/>
        <color auto="1"/>
      </font>
      <fill>
        <patternFill>
          <bgColor indexed="51"/>
        </patternFill>
      </fill>
    </dxf>
    <dxf>
      <fill>
        <patternFill>
          <bgColor indexed="51"/>
        </patternFill>
      </fill>
    </dxf>
    <dxf>
      <fill>
        <patternFill>
          <bgColor indexed="51"/>
        </patternFill>
      </fill>
    </dxf>
    <dxf>
      <font>
        <b/>
        <i val="0"/>
        <condense val="0"/>
        <extend val="0"/>
        <color indexed="13"/>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C8D2F5"/>
      <rgbColor rgb="00800000"/>
      <rgbColor rgb="00008000"/>
      <rgbColor rgb="00000080"/>
      <rgbColor rgb="003C6919"/>
      <rgbColor rgb="00800080"/>
      <rgbColor rgb="00008080"/>
      <rgbColor rgb="00C0C0C0"/>
      <rgbColor rgb="00808080"/>
      <rgbColor rgb="00B3B3B3"/>
      <rgbColor rgb="00CDD20A"/>
      <rgbColor rgb="003C6919"/>
      <rgbColor rgb="00505A91"/>
      <rgbColor rgb="00660066"/>
      <rgbColor rgb="00FF8080"/>
      <rgbColor rgb="000066CC"/>
      <rgbColor rgb="00CCCCFF"/>
      <rgbColor rgb="00000080"/>
      <rgbColor rgb="00EBEB32"/>
      <rgbColor rgb="00A0BE91"/>
      <rgbColor rgb="00C8D2F5"/>
      <rgbColor rgb="00800080"/>
      <rgbColor rgb="00800000"/>
      <rgbColor rgb="00008080"/>
      <rgbColor rgb="000000FF"/>
      <rgbColor rgb="00A0BE91"/>
      <rgbColor rgb="00E6E6E6"/>
      <rgbColor rgb="00CCFFCC"/>
      <rgbColor rgb="00FFFF99"/>
      <rgbColor rgb="0099CCFF"/>
      <rgbColor rgb="00FF99CC"/>
      <rgbColor rgb="00CC99FF"/>
      <rgbColor rgb="00FFCC99"/>
      <rgbColor rgb="003366FF"/>
      <rgbColor rgb="0033CCCC"/>
      <rgbColor rgb="00CDD20A"/>
      <rgbColor rgb="00FFCC00"/>
      <rgbColor rgb="00FF9900"/>
      <rgbColor rgb="00FF6600"/>
      <rgbColor rgb="00505A91"/>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1.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8BD21D40-EC42-11CE-9E0D-00AA006002F3}" ax:persistence="persistStreamInit" r:id="rId1"/>
</file>

<file path=xl/activeX/activeX74.xml><?xml version="1.0" encoding="utf-8"?>
<ax:ocx xmlns:ax="http://schemas.microsoft.com/office/2006/activeX" xmlns:r="http://schemas.openxmlformats.org/officeDocument/2006/relationships" ax:classid="{8BD21D4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8BD21D40-EC42-11CE-9E0D-00AA006002F3}" ax:persistence="persistStreamInit" r:id="rId1"/>
</file>

<file path=xl/activeX/activeX79.xml><?xml version="1.0" encoding="utf-8"?>
<ax:ocx xmlns:ax="http://schemas.microsoft.com/office/2006/activeX" xmlns:r="http://schemas.openxmlformats.org/officeDocument/2006/relationships" ax:classid="{8BD21D4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8BD21D40-EC42-11CE-9E0D-00AA006002F3}" ax:persistence="persistStreamInit" r:id="rId1"/>
</file>

<file path=xl/activeX/activeX84.xml><?xml version="1.0" encoding="utf-8"?>
<ax:ocx xmlns:ax="http://schemas.microsoft.com/office/2006/activeX" xmlns:r="http://schemas.openxmlformats.org/officeDocument/2006/relationships" ax:classid="{8BD21D4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8BD21D40-EC42-11CE-9E0D-00AA006002F3}" ax:persistence="persistStreamInit" r:id="rId1"/>
</file>

<file path=xl/activeX/activeX89.xml><?xml version="1.0" encoding="utf-8"?>
<ax:ocx xmlns:ax="http://schemas.microsoft.com/office/2006/activeX" xmlns:r="http://schemas.openxmlformats.org/officeDocument/2006/relationships" ax:classid="{8BD21D4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8BD21D40-EC42-11CE-9E0D-00AA006002F3}" ax:persistence="persistStreamInit" r:id="rId1"/>
</file>

<file path=xl/activeX/activeX94.xml><?xml version="1.0" encoding="utf-8"?>
<ax:ocx xmlns:ax="http://schemas.microsoft.com/office/2006/activeX" xmlns:r="http://schemas.openxmlformats.org/officeDocument/2006/relationships" ax:classid="{8BD21D4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8BD21D40-EC42-11CE-9E0D-00AA006002F3}" ax:persistence="persistStreamInit" r:id="rId1"/>
</file>

<file path=xl/activeX/activeX99.xml><?xml version="1.0" encoding="utf-8"?>
<ax:ocx xmlns:ax="http://schemas.microsoft.com/office/2006/activeX" xmlns:r="http://schemas.openxmlformats.org/officeDocument/2006/relationships" ax:classid="{8BD21D40-EC42-11CE-9E0D-00AA006002F3}"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8BD21D40-EC42-11CE-9E0D-00AA006002F3}" ax:persistence="persistStreamInit" r:id="rId1"/>
</file>

<file path=xl/activeX/activeX102.xml><?xml version="1.0" encoding="utf-8"?>
<ax:ocx xmlns:ax="http://schemas.microsoft.com/office/2006/activeX" xmlns:r="http://schemas.openxmlformats.org/officeDocument/2006/relationships" ax:classid="{8BD21D40-EC42-11CE-9E0D-00AA006002F3}"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8BD21D40-EC42-11CE-9E0D-00AA006002F3}" ax:persistence="persistStreamInit" r:id="rId1"/>
</file>

<file path=xl/activeX/activeX105.xml><?xml version="1.0" encoding="utf-8"?>
<ax:ocx xmlns:ax="http://schemas.microsoft.com/office/2006/activeX" xmlns:r="http://schemas.openxmlformats.org/officeDocument/2006/relationships" ax:classid="{8BD21D40-EC42-11CE-9E0D-00AA006002F3}" ax:persistence="persistStreamInit" r:id="rId1"/>
</file>

<file path=xl/activeX/activeX106.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Label" lockText="1"/>
</file>

<file path=xl/ctrlProps/ctrlProp2.xml><?xml version="1.0" encoding="utf-8"?>
<formControlPr xmlns="http://schemas.microsoft.com/office/spreadsheetml/2009/9/main" objectType="Label"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Label" lockText="1"/>
</file>

<file path=xl/ctrlProps/ctrlProp5.xml><?xml version="1.0" encoding="utf-8"?>
<formControlPr xmlns="http://schemas.microsoft.com/office/spreadsheetml/2009/9/main" objectType="Label" lockText="1"/>
</file>

<file path=xl/ctrlProps/ctrlProp6.xml><?xml version="1.0" encoding="utf-8"?>
<formControlPr xmlns="http://schemas.microsoft.com/office/spreadsheetml/2009/9/main" objectType="Label" lockText="1"/>
</file>

<file path=xl/ctrlProps/ctrlProp7.xml><?xml version="1.0" encoding="utf-8"?>
<formControlPr xmlns="http://schemas.microsoft.com/office/spreadsheetml/2009/9/main" objectType="Label" lockText="1"/>
</file>

<file path=xl/ctrlProps/ctrlProp8.xml><?xml version="1.0" encoding="utf-8"?>
<formControlPr xmlns="http://schemas.microsoft.com/office/spreadsheetml/2009/9/main" objectType="Label" lockText="1"/>
</file>

<file path=xl/ctrlProps/ctrlProp9.xml><?xml version="1.0" encoding="utf-8"?>
<formControlPr xmlns="http://schemas.microsoft.com/office/spreadsheetml/2009/9/main" objectType="Label" lockText="1"/>
</file>

<file path=xl/ctrlProps/ctrlProp10.xml><?xml version="1.0" encoding="utf-8"?>
<formControlPr xmlns="http://schemas.microsoft.com/office/spreadsheetml/2009/9/main" objectType="Label" lockText="1"/>
</file>

<file path=xl/ctrlProps/ctrlProp11.xml><?xml version="1.0" encoding="utf-8"?>
<formControlPr xmlns="http://schemas.microsoft.com/office/spreadsheetml/2009/9/main" objectType="Label" lockText="1"/>
</file>

<file path=xl/ctrlProps/ctrlProp12.xml><?xml version="1.0" encoding="utf-8"?>
<formControlPr xmlns="http://schemas.microsoft.com/office/spreadsheetml/2009/9/main" objectType="Label" lockText="1"/>
</file>

<file path=xl/ctrlProps/ctrlProp13.xml><?xml version="1.0" encoding="utf-8"?>
<formControlPr xmlns="http://schemas.microsoft.com/office/spreadsheetml/2009/9/main" objectType="Label" lockText="1"/>
</file>

<file path=xl/ctrlProps/ctrlProp14.xml><?xml version="1.0" encoding="utf-8"?>
<formControlPr xmlns="http://schemas.microsoft.com/office/spreadsheetml/2009/9/main" objectType="Label" lockText="1"/>
</file>

<file path=xl/ctrlProps/ctrlProp15.xml><?xml version="1.0" encoding="utf-8"?>
<formControlPr xmlns="http://schemas.microsoft.com/office/spreadsheetml/2009/9/main" objectType="Label" lockText="1"/>
</file>

<file path=xl/ctrlProps/ctrlProp16.xml><?xml version="1.0" encoding="utf-8"?>
<formControlPr xmlns="http://schemas.microsoft.com/office/spreadsheetml/2009/9/main" objectType="Label" lockText="1"/>
</file>

<file path=xl/ctrlProps/ctrlProp17.xml><?xml version="1.0" encoding="utf-8"?>
<formControlPr xmlns="http://schemas.microsoft.com/office/spreadsheetml/2009/9/main" objectType="Label" lockText="1"/>
</file>

<file path=xl/ctrlProps/ctrlProp18.xml><?xml version="1.0" encoding="utf-8"?>
<formControlPr xmlns="http://schemas.microsoft.com/office/spreadsheetml/2009/9/main" objectType="Label" lockText="1"/>
</file>

<file path=xl/ctrlProps/ctrlProp19.xml><?xml version="1.0" encoding="utf-8"?>
<formControlPr xmlns="http://schemas.microsoft.com/office/spreadsheetml/2009/9/main" objectType="Label" lockText="1"/>
</file>

<file path=xl/ctrlProps/ctrlProp20.xml><?xml version="1.0" encoding="utf-8"?>
<formControlPr xmlns="http://schemas.microsoft.com/office/spreadsheetml/2009/9/main" objectType="Label" lockText="1"/>
</file>

<file path=xl/ctrlProps/ctrlProp21.xml><?xml version="1.0" encoding="utf-8"?>
<formControlPr xmlns="http://schemas.microsoft.com/office/spreadsheetml/2009/9/main" objectType="Label" lockText="1"/>
</file>

<file path=xl/ctrlProps/ctrlProp22.xml><?xml version="1.0" encoding="utf-8"?>
<formControlPr xmlns="http://schemas.microsoft.com/office/spreadsheetml/2009/9/main" objectType="Label" lockText="1"/>
</file>

<file path=xl/ctrlProps/ctrlProp23.xml><?xml version="1.0" encoding="utf-8"?>
<formControlPr xmlns="http://schemas.microsoft.com/office/spreadsheetml/2009/9/main" objectType="Label" lockText="1"/>
</file>

<file path=xl/ctrlProps/ctrlProp24.xml><?xml version="1.0" encoding="utf-8"?>
<formControlPr xmlns="http://schemas.microsoft.com/office/spreadsheetml/2009/9/main" objectType="Label" lockText="1"/>
</file>

<file path=xl/ctrlProps/ctrlProp25.xml><?xml version="1.0" encoding="utf-8"?>
<formControlPr xmlns="http://schemas.microsoft.com/office/spreadsheetml/2009/9/main" objectType="Label" lockText="1"/>
</file>

<file path=xl/ctrlProps/ctrlProp26.xml><?xml version="1.0" encoding="utf-8"?>
<formControlPr xmlns="http://schemas.microsoft.com/office/spreadsheetml/2009/9/main" objectType="Label" lockText="1"/>
</file>

<file path=xl/ctrlProps/ctrlProp27.xml><?xml version="1.0" encoding="utf-8"?>
<formControlPr xmlns="http://schemas.microsoft.com/office/spreadsheetml/2009/9/main" objectType="Label" lockText="1"/>
</file>

<file path=xl/ctrlProps/ctrlProp28.xml><?xml version="1.0" encoding="utf-8"?>
<formControlPr xmlns="http://schemas.microsoft.com/office/spreadsheetml/2009/9/main" objectType="Label" lockText="1"/>
</file>

<file path=xl/ctrlProps/ctrlProp29.xml><?xml version="1.0" encoding="utf-8"?>
<formControlPr xmlns="http://schemas.microsoft.com/office/spreadsheetml/2009/9/main" objectType="Label" lockText="1"/>
</file>

<file path=xl/ctrlProps/ctrlProp30.xml><?xml version="1.0" encoding="utf-8"?>
<formControlPr xmlns="http://schemas.microsoft.com/office/spreadsheetml/2009/9/main" objectType="Label" lockText="1"/>
</file>

<file path=xl/ctrlProps/ctrlProp31.xml><?xml version="1.0" encoding="utf-8"?>
<formControlPr xmlns="http://schemas.microsoft.com/office/spreadsheetml/2009/9/main" objectType="Label" lockText="1"/>
</file>

<file path=xl/ctrlProps/ctrlProp32.xml><?xml version="1.0" encoding="utf-8"?>
<formControlPr xmlns="http://schemas.microsoft.com/office/spreadsheetml/2009/9/main" objectType="Label" lockText="1"/>
</file>

<file path=xl/ctrlProps/ctrlProp33.xml><?xml version="1.0" encoding="utf-8"?>
<formControlPr xmlns="http://schemas.microsoft.com/office/spreadsheetml/2009/9/main" objectType="Label" lockText="1"/>
</file>

<file path=xl/ctrlProps/ctrlProp34.xml><?xml version="1.0" encoding="utf-8"?>
<formControlPr xmlns="http://schemas.microsoft.com/office/spreadsheetml/2009/9/main" objectType="Label" lockText="1"/>
</file>

<file path=xl/ctrlProps/ctrlProp35.xml><?xml version="1.0" encoding="utf-8"?>
<formControlPr xmlns="http://schemas.microsoft.com/office/spreadsheetml/2009/9/main" objectType="Label" lockText="1"/>
</file>

<file path=xl/ctrlProps/ctrlProp36.xml><?xml version="1.0" encoding="utf-8"?>
<formControlPr xmlns="http://schemas.microsoft.com/office/spreadsheetml/2009/9/main" objectType="Label" lockText="1"/>
</file>

<file path=xl/ctrlProps/ctrlProp37.xml><?xml version="1.0" encoding="utf-8"?>
<formControlPr xmlns="http://schemas.microsoft.com/office/spreadsheetml/2009/9/main" objectType="Label" lockText="1"/>
</file>

<file path=xl/ctrlProps/ctrlProp38.xml><?xml version="1.0" encoding="utf-8"?>
<formControlPr xmlns="http://schemas.microsoft.com/office/spreadsheetml/2009/9/main" objectType="Label" lockText="1"/>
</file>

<file path=xl/ctrlProps/ctrlProp39.xml><?xml version="1.0" encoding="utf-8"?>
<formControlPr xmlns="http://schemas.microsoft.com/office/spreadsheetml/2009/9/main" objectType="Label" lockText="1"/>
</file>

<file path=xl/ctrlProps/ctrlProp40.xml><?xml version="1.0" encoding="utf-8"?>
<formControlPr xmlns="http://schemas.microsoft.com/office/spreadsheetml/2009/9/main" objectType="Label" lockText="1"/>
</file>

<file path=xl/ctrlProps/ctrlProp41.xml><?xml version="1.0" encoding="utf-8"?>
<formControlPr xmlns="http://schemas.microsoft.com/office/spreadsheetml/2009/9/main" objectType="Label" lockText="1"/>
</file>

<file path=xl/ctrlProps/ctrlProp42.xml><?xml version="1.0" encoding="utf-8"?>
<formControlPr xmlns="http://schemas.microsoft.com/office/spreadsheetml/2009/9/main" objectType="Label" lockText="1"/>
</file>

<file path=xl/ctrlProps/ctrlProp43.xml><?xml version="1.0" encoding="utf-8"?>
<formControlPr xmlns="http://schemas.microsoft.com/office/spreadsheetml/2009/9/main" objectType="Label" lockText="1"/>
</file>

<file path=xl/ctrlProps/ctrlProp44.xml><?xml version="1.0" encoding="utf-8"?>
<formControlPr xmlns="http://schemas.microsoft.com/office/spreadsheetml/2009/9/main" objectType="Label" lockText="1"/>
</file>

<file path=xl/ctrlProps/ctrlProp45.xml><?xml version="1.0" encoding="utf-8"?>
<formControlPr xmlns="http://schemas.microsoft.com/office/spreadsheetml/2009/9/main" objectType="Label" lockText="1"/>
</file>

<file path=xl/ctrlProps/ctrlProp46.xml><?xml version="1.0" encoding="utf-8"?>
<formControlPr xmlns="http://schemas.microsoft.com/office/spreadsheetml/2009/9/main" objectType="Label" lockText="1"/>
</file>

<file path=xl/ctrlProps/ctrlProp47.xml><?xml version="1.0" encoding="utf-8"?>
<formControlPr xmlns="http://schemas.microsoft.com/office/spreadsheetml/2009/9/main" objectType="Label" lockText="1"/>
</file>

<file path=xl/ctrlProps/ctrlProp48.xml><?xml version="1.0" encoding="utf-8"?>
<formControlPr xmlns="http://schemas.microsoft.com/office/spreadsheetml/2009/9/main" objectType="Label" lockText="1"/>
</file>

<file path=xl/ctrlProps/ctrlProp49.xml><?xml version="1.0" encoding="utf-8"?>
<formControlPr xmlns="http://schemas.microsoft.com/office/spreadsheetml/2009/9/main" objectType="Label" lockText="1"/>
</file>

<file path=xl/ctrlProps/ctrlProp50.xml><?xml version="1.0" encoding="utf-8"?>
<formControlPr xmlns="http://schemas.microsoft.com/office/spreadsheetml/2009/9/main" objectType="Label" lockText="1"/>
</file>

<file path=xl/ctrlProps/ctrlProp51.xml><?xml version="1.0" encoding="utf-8"?>
<formControlPr xmlns="http://schemas.microsoft.com/office/spreadsheetml/2009/9/main" objectType="Label" lockText="1"/>
</file>

<file path=xl/ctrlProps/ctrlProp52.xml><?xml version="1.0" encoding="utf-8"?>
<formControlPr xmlns="http://schemas.microsoft.com/office/spreadsheetml/2009/9/main" objectType="Label" lockText="1"/>
</file>

<file path=xl/ctrlProps/ctrlProp53.xml><?xml version="1.0" encoding="utf-8"?>
<formControlPr xmlns="http://schemas.microsoft.com/office/spreadsheetml/2009/9/main" objectType="Label" lockText="1"/>
</file>

<file path=xl/ctrlProps/ctrlProp54.xml><?xml version="1.0" encoding="utf-8"?>
<formControlPr xmlns="http://schemas.microsoft.com/office/spreadsheetml/2009/9/main" objectType="Label" lockText="1"/>
</file>

<file path=xl/ctrlProps/ctrlProp55.xml><?xml version="1.0" encoding="utf-8"?>
<formControlPr xmlns="http://schemas.microsoft.com/office/spreadsheetml/2009/9/main" objectType="Label" lockText="1"/>
</file>

<file path=xl/ctrlProps/ctrlProp56.xml><?xml version="1.0" encoding="utf-8"?>
<formControlPr xmlns="http://schemas.microsoft.com/office/spreadsheetml/2009/9/main" objectType="Label" lockText="1"/>
</file>

<file path=xl/ctrlProps/ctrlProp57.xml><?xml version="1.0" encoding="utf-8"?>
<formControlPr xmlns="http://schemas.microsoft.com/office/spreadsheetml/2009/9/main" objectType="Label" lockText="1"/>
</file>

<file path=xl/ctrlProps/ctrlProp58.xml><?xml version="1.0" encoding="utf-8"?>
<formControlPr xmlns="http://schemas.microsoft.com/office/spreadsheetml/2009/9/main" objectType="Label" lockText="1"/>
</file>

<file path=xl/ctrlProps/ctrlProp59.xml><?xml version="1.0" encoding="utf-8"?>
<formControlPr xmlns="http://schemas.microsoft.com/office/spreadsheetml/2009/9/main" objectType="Label" lockText="1"/>
</file>

<file path=xl/ctrlProps/ctrlProp60.xml><?xml version="1.0" encoding="utf-8"?>
<formControlPr xmlns="http://schemas.microsoft.com/office/spreadsheetml/2009/9/main" objectType="Label" lockText="1"/>
</file>

<file path=xl/ctrlProps/ctrlProp61.xml><?xml version="1.0" encoding="utf-8"?>
<formControlPr xmlns="http://schemas.microsoft.com/office/spreadsheetml/2009/9/main" objectType="Label" lockText="1"/>
</file>

<file path=xl/ctrlProps/ctrlProp62.xml><?xml version="1.0" encoding="utf-8"?>
<formControlPr xmlns="http://schemas.microsoft.com/office/spreadsheetml/2009/9/main" objectType="Label" lockText="1"/>
</file>

<file path=xl/ctrlProps/ctrlProp63.xml><?xml version="1.0" encoding="utf-8"?>
<formControlPr xmlns="http://schemas.microsoft.com/office/spreadsheetml/2009/9/main" objectType="Label" lockText="1"/>
</file>

<file path=xl/ctrlProps/ctrlProp64.xml><?xml version="1.0" encoding="utf-8"?>
<formControlPr xmlns="http://schemas.microsoft.com/office/spreadsheetml/2009/9/main" objectType="Label" lockText="1"/>
</file>

<file path=xl/ctrlProps/ctrlProp65.xml><?xml version="1.0" encoding="utf-8"?>
<formControlPr xmlns="http://schemas.microsoft.com/office/spreadsheetml/2009/9/main" objectType="Label" lockText="1"/>
</file>

<file path=xl/ctrlProps/ctrlProp66.xml><?xml version="1.0" encoding="utf-8"?>
<formControlPr xmlns="http://schemas.microsoft.com/office/spreadsheetml/2009/9/main" objectType="Label" lockText="1"/>
</file>

<file path=xl/ctrlProps/ctrlProp67.xml><?xml version="1.0" encoding="utf-8"?>
<formControlPr xmlns="http://schemas.microsoft.com/office/spreadsheetml/2009/9/main" objectType="Label"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About!A1"/><Relationship Id="rId7" Type="http://schemas.openxmlformats.org/officeDocument/2006/relationships/hyperlink" Target="#'Warning - macro security level'!A1"/><Relationship Id="rId2" Type="http://schemas.openxmlformats.org/officeDocument/2006/relationships/image" Target="../media/image5.jpeg"/><Relationship Id="rId1" Type="http://schemas.openxmlformats.org/officeDocument/2006/relationships/image" Target="../media/image4.png"/><Relationship Id="rId6" Type="http://schemas.openxmlformats.org/officeDocument/2006/relationships/hyperlink" Target="http://ec.europa.eu/intelligentenergy" TargetMode="External"/><Relationship Id="rId5" Type="http://schemas.openxmlformats.org/officeDocument/2006/relationships/hyperlink" Target="http://www.biograce.net/" TargetMode="External"/><Relationship Id="rId4" Type="http://schemas.openxmlformats.org/officeDocument/2006/relationships/hyperlink" Target="#Directory!A1"/></Relationships>
</file>

<file path=xl/drawings/_rels/drawing3.xml.rels><?xml version="1.0" encoding="UTF-8" standalone="yes"?>
<Relationships xmlns="http://schemas.openxmlformats.org/package/2006/relationships"><Relationship Id="rId3" Type="http://schemas.openxmlformats.org/officeDocument/2006/relationships/hyperlink" Target="#About!A1"/><Relationship Id="rId2" Type="http://schemas.openxmlformats.org/officeDocument/2006/relationships/image" Target="../media/image5.jpeg"/><Relationship Id="rId1" Type="http://schemas.openxmlformats.org/officeDocument/2006/relationships/image" Target="../media/image4.png"/><Relationship Id="rId6" Type="http://schemas.openxmlformats.org/officeDocument/2006/relationships/hyperlink" Target="http://ec.europa.eu/intelligentenergy" TargetMode="External"/><Relationship Id="rId5" Type="http://schemas.openxmlformats.org/officeDocument/2006/relationships/hyperlink" Target="http://www.biograce.net/" TargetMode="External"/><Relationship Id="rId4" Type="http://schemas.openxmlformats.org/officeDocument/2006/relationships/hyperlink" Target="#Directory!A1"/></Relationships>
</file>

<file path=xl/drawings/_rels/drawing4.xml.rels><?xml version="1.0" encoding="UTF-8" standalone="yes"?>
<Relationships xmlns="http://schemas.openxmlformats.org/package/2006/relationships"><Relationship Id="rId3" Type="http://schemas.openxmlformats.org/officeDocument/2006/relationships/hyperlink" Target="#About!A1"/><Relationship Id="rId7" Type="http://schemas.openxmlformats.org/officeDocument/2006/relationships/image" Target="../media/image8.jpeg"/><Relationship Id="rId2" Type="http://schemas.openxmlformats.org/officeDocument/2006/relationships/image" Target="../media/image7.jpeg"/><Relationship Id="rId1" Type="http://schemas.openxmlformats.org/officeDocument/2006/relationships/image" Target="../media/image6.png"/><Relationship Id="rId6" Type="http://schemas.openxmlformats.org/officeDocument/2006/relationships/hyperlink" Target="http://ec.europa.eu/intelligentenergy" TargetMode="External"/><Relationship Id="rId5" Type="http://schemas.openxmlformats.org/officeDocument/2006/relationships/hyperlink" Target="http://www.biograce.net/" TargetMode="External"/><Relationship Id="rId4" Type="http://schemas.openxmlformats.org/officeDocument/2006/relationships/hyperlink" Target="#Directory!A1"/></Relationships>
</file>

<file path=xl/drawings/_rels/drawing5.xml.rels><?xml version="1.0" encoding="UTF-8" standalone="yes"?>
<Relationships xmlns="http://schemas.openxmlformats.org/package/2006/relationships"><Relationship Id="rId3" Type="http://schemas.openxmlformats.org/officeDocument/2006/relationships/hyperlink" Target="http://www.biograce.net/" TargetMode="External"/><Relationship Id="rId2" Type="http://schemas.openxmlformats.org/officeDocument/2006/relationships/image" Target="../media/image10.jpeg"/><Relationship Id="rId1" Type="http://schemas.openxmlformats.org/officeDocument/2006/relationships/image" Target="../media/image9.png"/><Relationship Id="rId4" Type="http://schemas.openxmlformats.org/officeDocument/2006/relationships/hyperlink" Target="http://ec.europa.eu/intelligentenergy" TargetMode="External"/></Relationships>
</file>

<file path=xl/drawings/_rels/drawing6.xml.rels><?xml version="1.0" encoding="UTF-8" standalone="yes"?>
<Relationships xmlns="http://schemas.openxmlformats.org/package/2006/relationships"><Relationship Id="rId3" Type="http://schemas.openxmlformats.org/officeDocument/2006/relationships/hyperlink" Target="http://www.biograce.net/" TargetMode="External"/><Relationship Id="rId2" Type="http://schemas.openxmlformats.org/officeDocument/2006/relationships/image" Target="../media/image13.jpeg"/><Relationship Id="rId1" Type="http://schemas.openxmlformats.org/officeDocument/2006/relationships/image" Target="../media/image12.png"/><Relationship Id="rId4" Type="http://schemas.openxmlformats.org/officeDocument/2006/relationships/hyperlink" Target="http://ec.europa.eu/intelligentenergy" TargetMode="External"/></Relationships>
</file>

<file path=xl/drawings/_rels/drawing7.xml.rels><?xml version="1.0" encoding="UTF-8" standalone="yes"?>
<Relationships xmlns="http://schemas.openxmlformats.org/package/2006/relationships"><Relationship Id="rId3" Type="http://schemas.openxmlformats.org/officeDocument/2006/relationships/hyperlink" Target="http://www.biograce.net/" TargetMode="External"/><Relationship Id="rId2" Type="http://schemas.openxmlformats.org/officeDocument/2006/relationships/image" Target="../media/image14.jpeg"/><Relationship Id="rId1" Type="http://schemas.openxmlformats.org/officeDocument/2006/relationships/image" Target="../media/image12.png"/><Relationship Id="rId4" Type="http://schemas.openxmlformats.org/officeDocument/2006/relationships/hyperlink" Target="http://ec.europa.eu/intelligentenergy" TargetMode="External"/></Relationships>
</file>

<file path=xl/drawings/_rels/drawing8.xml.rels><?xml version="1.0" encoding="UTF-8" standalone="yes"?>
<Relationships xmlns="http://schemas.openxmlformats.org/package/2006/relationships"><Relationship Id="rId3" Type="http://schemas.openxmlformats.org/officeDocument/2006/relationships/image" Target="../media/image17.png"/><Relationship Id="rId2" Type="http://schemas.openxmlformats.org/officeDocument/2006/relationships/image" Target="../media/image16.jpeg"/><Relationship Id="rId1" Type="http://schemas.openxmlformats.org/officeDocument/2006/relationships/image" Target="../media/image15.png"/><Relationship Id="rId6" Type="http://schemas.openxmlformats.org/officeDocument/2006/relationships/hyperlink" Target="http://ec.europa.eu/intelligentenergy" TargetMode="External"/><Relationship Id="rId5" Type="http://schemas.openxmlformats.org/officeDocument/2006/relationships/hyperlink" Target="http://www.biograce.net/" TargetMode="External"/><Relationship Id="rId4" Type="http://schemas.openxmlformats.org/officeDocument/2006/relationships/image" Target="../media/image18.png"/></Relationships>
</file>

<file path=xl/drawings/_rels/drawing9.xml.rels><?xml version="1.0" encoding="UTF-8" standalone="yes"?>
<Relationships xmlns="http://schemas.openxmlformats.org/package/2006/relationships"><Relationship Id="rId3" Type="http://schemas.openxmlformats.org/officeDocument/2006/relationships/hyperlink" Target="http://ec.europa.eu/intelligentenergy" TargetMode="External"/><Relationship Id="rId2" Type="http://schemas.openxmlformats.org/officeDocument/2006/relationships/image" Target="../media/image10.jpeg"/><Relationship Id="rId1" Type="http://schemas.openxmlformats.org/officeDocument/2006/relationships/image" Target="../media/image19.png"/><Relationship Id="rId4" Type="http://schemas.openxmlformats.org/officeDocument/2006/relationships/hyperlink" Target="http://www.biograce.net/" TargetMode="External"/></Relationships>
</file>

<file path=xl/drawings/_rels/drawing10.xml.rels><?xml version="1.0" encoding="UTF-8" standalone="yes"?>
<Relationships xmlns="http://schemas.openxmlformats.org/package/2006/relationships"><Relationship Id="rId3" Type="http://schemas.openxmlformats.org/officeDocument/2006/relationships/hyperlink" Target="http://ec.europa.eu/intelligentenergy" TargetMode="External"/><Relationship Id="rId2" Type="http://schemas.openxmlformats.org/officeDocument/2006/relationships/image" Target="../media/image10.jpeg"/><Relationship Id="rId1" Type="http://schemas.openxmlformats.org/officeDocument/2006/relationships/image" Target="../media/image19.png"/><Relationship Id="rId4" Type="http://schemas.openxmlformats.org/officeDocument/2006/relationships/hyperlink" Target="http://www.biograce.net/" TargetMode="External"/></Relationships>
</file>

<file path=xl/drawings/_rels/drawing11.xml.rels><?xml version="1.0" encoding="UTF-8" standalone="yes"?>
<Relationships xmlns="http://schemas.openxmlformats.org/package/2006/relationships"><Relationship Id="rId3" Type="http://schemas.openxmlformats.org/officeDocument/2006/relationships/hyperlink" Target="http://www.biograce.net/" TargetMode="External"/><Relationship Id="rId2" Type="http://schemas.openxmlformats.org/officeDocument/2006/relationships/image" Target="../media/image10.jpeg"/><Relationship Id="rId1" Type="http://schemas.openxmlformats.org/officeDocument/2006/relationships/image" Target="../media/image19.png"/><Relationship Id="rId4" Type="http://schemas.openxmlformats.org/officeDocument/2006/relationships/hyperlink" Target="http://ec.europa.eu/intelligentenergy" TargetMode="External"/></Relationships>
</file>

<file path=xl/drawings/_rels/drawing12.xml.rels><?xml version="1.0" encoding="UTF-8" standalone="yes"?>
<Relationships xmlns="http://schemas.openxmlformats.org/package/2006/relationships"><Relationship Id="rId3" Type="http://schemas.openxmlformats.org/officeDocument/2006/relationships/hyperlink" Target="http://www.biograce.net/" TargetMode="External"/><Relationship Id="rId2" Type="http://schemas.openxmlformats.org/officeDocument/2006/relationships/image" Target="../media/image10.jpeg"/><Relationship Id="rId1" Type="http://schemas.openxmlformats.org/officeDocument/2006/relationships/image" Target="../media/image19.png"/><Relationship Id="rId4" Type="http://schemas.openxmlformats.org/officeDocument/2006/relationships/hyperlink" Target="http://ec.europa.eu/intelligentenergy" TargetMode="External"/></Relationships>
</file>

<file path=xl/drawings/_rels/drawing13.xml.rels><?xml version="1.0" encoding="UTF-8" standalone="yes"?>
<Relationships xmlns="http://schemas.openxmlformats.org/package/2006/relationships"><Relationship Id="rId3" Type="http://schemas.openxmlformats.org/officeDocument/2006/relationships/hyperlink" Target="http://www.biograce.net/" TargetMode="External"/><Relationship Id="rId2" Type="http://schemas.openxmlformats.org/officeDocument/2006/relationships/image" Target="../media/image10.jpeg"/><Relationship Id="rId1" Type="http://schemas.openxmlformats.org/officeDocument/2006/relationships/image" Target="../media/image19.png"/><Relationship Id="rId4" Type="http://schemas.openxmlformats.org/officeDocument/2006/relationships/hyperlink" Target="http://ec.europa.eu/intelligentenergy" TargetMode="External"/></Relationships>
</file>

<file path=xl/drawings/_rels/drawing14.xml.rels><?xml version="1.0" encoding="UTF-8" standalone="yes"?>
<Relationships xmlns="http://schemas.openxmlformats.org/package/2006/relationships"><Relationship Id="rId3" Type="http://schemas.openxmlformats.org/officeDocument/2006/relationships/hyperlink" Target="http://www.biograce.net/" TargetMode="External"/><Relationship Id="rId2" Type="http://schemas.openxmlformats.org/officeDocument/2006/relationships/image" Target="../media/image10.jpeg"/><Relationship Id="rId1" Type="http://schemas.openxmlformats.org/officeDocument/2006/relationships/image" Target="../media/image19.png"/><Relationship Id="rId4" Type="http://schemas.openxmlformats.org/officeDocument/2006/relationships/hyperlink" Target="http://ec.europa.eu/intelligentenergy" TargetMode="External"/></Relationships>
</file>

<file path=xl/drawings/_rels/drawing15.xml.rels><?xml version="1.0" encoding="UTF-8" standalone="yes"?>
<Relationships xmlns="http://schemas.openxmlformats.org/package/2006/relationships"><Relationship Id="rId3" Type="http://schemas.openxmlformats.org/officeDocument/2006/relationships/hyperlink" Target="http://www.biograce.net/" TargetMode="External"/><Relationship Id="rId2" Type="http://schemas.openxmlformats.org/officeDocument/2006/relationships/image" Target="../media/image10.jpeg"/><Relationship Id="rId1" Type="http://schemas.openxmlformats.org/officeDocument/2006/relationships/image" Target="../media/image19.png"/><Relationship Id="rId4" Type="http://schemas.openxmlformats.org/officeDocument/2006/relationships/hyperlink" Target="http://ec.europa.eu/intelligentenergy" TargetMode="External"/></Relationships>
</file>

<file path=xl/drawings/_rels/drawing16.xml.rels><?xml version="1.0" encoding="UTF-8" standalone="yes"?>
<Relationships xmlns="http://schemas.openxmlformats.org/package/2006/relationships"><Relationship Id="rId3" Type="http://schemas.openxmlformats.org/officeDocument/2006/relationships/hyperlink" Target="http://ec.europa.eu/intelligentenergy" TargetMode="External"/><Relationship Id="rId2" Type="http://schemas.openxmlformats.org/officeDocument/2006/relationships/image" Target="../media/image10.jpeg"/><Relationship Id="rId1" Type="http://schemas.openxmlformats.org/officeDocument/2006/relationships/image" Target="../media/image19.png"/><Relationship Id="rId4" Type="http://schemas.openxmlformats.org/officeDocument/2006/relationships/hyperlink" Target="http://www.biograce.net/" TargetMode="External"/></Relationships>
</file>

<file path=xl/drawings/_rels/drawing17.xml.rels><?xml version="1.0" encoding="UTF-8" standalone="yes"?>
<Relationships xmlns="http://schemas.openxmlformats.org/package/2006/relationships"><Relationship Id="rId3" Type="http://schemas.openxmlformats.org/officeDocument/2006/relationships/hyperlink" Target="http://ec.europa.eu/intelligentenergy" TargetMode="External"/><Relationship Id="rId2" Type="http://schemas.openxmlformats.org/officeDocument/2006/relationships/image" Target="../media/image10.jpeg"/><Relationship Id="rId1" Type="http://schemas.openxmlformats.org/officeDocument/2006/relationships/image" Target="../media/image19.png"/><Relationship Id="rId4" Type="http://schemas.openxmlformats.org/officeDocument/2006/relationships/hyperlink" Target="http://www.biograce.net/" TargetMode="External"/></Relationships>
</file>

<file path=xl/drawings/_rels/drawing18.xml.rels><?xml version="1.0" encoding="UTF-8" standalone="yes"?>
<Relationships xmlns="http://schemas.openxmlformats.org/package/2006/relationships"><Relationship Id="rId3" Type="http://schemas.openxmlformats.org/officeDocument/2006/relationships/hyperlink" Target="http://www.biograce.net/" TargetMode="External"/><Relationship Id="rId2" Type="http://schemas.openxmlformats.org/officeDocument/2006/relationships/image" Target="../media/image10.jpeg"/><Relationship Id="rId1" Type="http://schemas.openxmlformats.org/officeDocument/2006/relationships/image" Target="../media/image19.png"/><Relationship Id="rId4" Type="http://schemas.openxmlformats.org/officeDocument/2006/relationships/hyperlink" Target="http://ec.europa.eu/intelligentenergy" TargetMode="External"/></Relationships>
</file>

<file path=xl/drawings/_rels/drawing19.xml.rels><?xml version="1.0" encoding="UTF-8" standalone="yes"?>
<Relationships xmlns="http://schemas.openxmlformats.org/package/2006/relationships"><Relationship Id="rId3" Type="http://schemas.openxmlformats.org/officeDocument/2006/relationships/hyperlink" Target="http://www.biograce.net/" TargetMode="External"/><Relationship Id="rId2" Type="http://schemas.openxmlformats.org/officeDocument/2006/relationships/image" Target="../media/image10.jpeg"/><Relationship Id="rId1" Type="http://schemas.openxmlformats.org/officeDocument/2006/relationships/image" Target="../media/image19.png"/><Relationship Id="rId4" Type="http://schemas.openxmlformats.org/officeDocument/2006/relationships/hyperlink" Target="http://ec.europa.eu/intelligentenergy" TargetMode="External"/></Relationships>
</file>

<file path=xl/drawings/_rels/drawing20.xml.rels><?xml version="1.0" encoding="UTF-8" standalone="yes"?>
<Relationships xmlns="http://schemas.openxmlformats.org/package/2006/relationships"><Relationship Id="rId3" Type="http://schemas.openxmlformats.org/officeDocument/2006/relationships/hyperlink" Target="http://www.biograce.net/" TargetMode="External"/><Relationship Id="rId2" Type="http://schemas.openxmlformats.org/officeDocument/2006/relationships/image" Target="../media/image10.jpeg"/><Relationship Id="rId1" Type="http://schemas.openxmlformats.org/officeDocument/2006/relationships/image" Target="../media/image19.png"/><Relationship Id="rId4" Type="http://schemas.openxmlformats.org/officeDocument/2006/relationships/hyperlink" Target="http://ec.europa.eu/intelligentenergy" TargetMode="External"/></Relationships>
</file>

<file path=xl/drawings/_rels/drawing21.xml.rels><?xml version="1.0" encoding="UTF-8" standalone="yes"?>
<Relationships xmlns="http://schemas.openxmlformats.org/package/2006/relationships"><Relationship Id="rId3" Type="http://schemas.openxmlformats.org/officeDocument/2006/relationships/hyperlink" Target="http://www.biograce.net/" TargetMode="External"/><Relationship Id="rId2" Type="http://schemas.openxmlformats.org/officeDocument/2006/relationships/image" Target="../media/image10.jpeg"/><Relationship Id="rId1" Type="http://schemas.openxmlformats.org/officeDocument/2006/relationships/image" Target="../media/image19.png"/><Relationship Id="rId4" Type="http://schemas.openxmlformats.org/officeDocument/2006/relationships/hyperlink" Target="http://ec.europa.eu/intelligentenergy" TargetMode="External"/></Relationships>
</file>

<file path=xl/drawings/_rels/drawing22.xml.rels><?xml version="1.0" encoding="UTF-8" standalone="yes"?>
<Relationships xmlns="http://schemas.openxmlformats.org/package/2006/relationships"><Relationship Id="rId3" Type="http://schemas.openxmlformats.org/officeDocument/2006/relationships/hyperlink" Target="http://www.biograce.net/" TargetMode="External"/><Relationship Id="rId2" Type="http://schemas.openxmlformats.org/officeDocument/2006/relationships/image" Target="../media/image10.jpeg"/><Relationship Id="rId1" Type="http://schemas.openxmlformats.org/officeDocument/2006/relationships/image" Target="../media/image19.png"/><Relationship Id="rId4" Type="http://schemas.openxmlformats.org/officeDocument/2006/relationships/hyperlink" Target="http://ec.europa.eu/intelligentenergy" TargetMode="External"/></Relationships>
</file>

<file path=xl/drawings/_rels/drawing23.xml.rels><?xml version="1.0" encoding="UTF-8" standalone="yes"?>
<Relationships xmlns="http://schemas.openxmlformats.org/package/2006/relationships"><Relationship Id="rId3" Type="http://schemas.openxmlformats.org/officeDocument/2006/relationships/hyperlink" Target="http://www.biograce.net/" TargetMode="External"/><Relationship Id="rId2" Type="http://schemas.openxmlformats.org/officeDocument/2006/relationships/image" Target="../media/image10.jpeg"/><Relationship Id="rId1" Type="http://schemas.openxmlformats.org/officeDocument/2006/relationships/image" Target="../media/image19.png"/><Relationship Id="rId4" Type="http://schemas.openxmlformats.org/officeDocument/2006/relationships/hyperlink" Target="http://ec.europa.eu/intelligentenergy" TargetMode="External"/></Relationships>
</file>

<file path=xl/drawings/_rels/drawing24.xml.rels><?xml version="1.0" encoding="UTF-8" standalone="yes"?>
<Relationships xmlns="http://schemas.openxmlformats.org/package/2006/relationships"><Relationship Id="rId3" Type="http://schemas.openxmlformats.org/officeDocument/2006/relationships/hyperlink" Target="http://www.biograce.net/" TargetMode="External"/><Relationship Id="rId2" Type="http://schemas.openxmlformats.org/officeDocument/2006/relationships/image" Target="../media/image10.jpeg"/><Relationship Id="rId1" Type="http://schemas.openxmlformats.org/officeDocument/2006/relationships/image" Target="../media/image19.png"/><Relationship Id="rId4" Type="http://schemas.openxmlformats.org/officeDocument/2006/relationships/hyperlink" Target="http://ec.europa.eu/intelligentenergy" TargetMode="External"/></Relationships>
</file>

<file path=xl/drawings/_rels/drawing25.xml.rels><?xml version="1.0" encoding="UTF-8" standalone="yes"?>
<Relationships xmlns="http://schemas.openxmlformats.org/package/2006/relationships"><Relationship Id="rId3" Type="http://schemas.openxmlformats.org/officeDocument/2006/relationships/hyperlink" Target="http://www.biograce.net/" TargetMode="External"/><Relationship Id="rId2" Type="http://schemas.openxmlformats.org/officeDocument/2006/relationships/image" Target="../media/image10.jpeg"/><Relationship Id="rId1" Type="http://schemas.openxmlformats.org/officeDocument/2006/relationships/image" Target="../media/image19.png"/><Relationship Id="rId4" Type="http://schemas.openxmlformats.org/officeDocument/2006/relationships/hyperlink" Target="http://ec.europa.eu/intelligentenergy" TargetMode="External"/></Relationships>
</file>

<file path=xl/drawings/_rels/drawing26.xml.rels><?xml version="1.0" encoding="UTF-8" standalone="yes"?>
<Relationships xmlns="http://schemas.openxmlformats.org/package/2006/relationships"><Relationship Id="rId3" Type="http://schemas.openxmlformats.org/officeDocument/2006/relationships/hyperlink" Target="http://www.biograce.net/" TargetMode="External"/><Relationship Id="rId2" Type="http://schemas.openxmlformats.org/officeDocument/2006/relationships/image" Target="../media/image10.jpeg"/><Relationship Id="rId1" Type="http://schemas.openxmlformats.org/officeDocument/2006/relationships/image" Target="../media/image19.png"/><Relationship Id="rId4" Type="http://schemas.openxmlformats.org/officeDocument/2006/relationships/hyperlink" Target="http://ec.europa.eu/intelligentenergy" TargetMode="External"/></Relationships>
</file>

<file path=xl/drawings/_rels/drawing27.xml.rels><?xml version="1.0" encoding="UTF-8" standalone="yes"?>
<Relationships xmlns="http://schemas.openxmlformats.org/package/2006/relationships"><Relationship Id="rId3" Type="http://schemas.openxmlformats.org/officeDocument/2006/relationships/hyperlink" Target="http://www.biograce.net/" TargetMode="External"/><Relationship Id="rId2" Type="http://schemas.openxmlformats.org/officeDocument/2006/relationships/image" Target="../media/image10.jpeg"/><Relationship Id="rId1" Type="http://schemas.openxmlformats.org/officeDocument/2006/relationships/image" Target="../media/image19.png"/><Relationship Id="rId4" Type="http://schemas.openxmlformats.org/officeDocument/2006/relationships/hyperlink" Target="http://ec.europa.eu/intelligentenergy" TargetMode="External"/></Relationships>
</file>

<file path=xl/drawings/_rels/drawing28.xml.rels><?xml version="1.0" encoding="UTF-8" standalone="yes"?>
<Relationships xmlns="http://schemas.openxmlformats.org/package/2006/relationships"><Relationship Id="rId3" Type="http://schemas.openxmlformats.org/officeDocument/2006/relationships/hyperlink" Target="http://www.biograce.net/" TargetMode="External"/><Relationship Id="rId2" Type="http://schemas.openxmlformats.org/officeDocument/2006/relationships/image" Target="../media/image10.jpeg"/><Relationship Id="rId1" Type="http://schemas.openxmlformats.org/officeDocument/2006/relationships/image" Target="../media/image19.png"/><Relationship Id="rId4" Type="http://schemas.openxmlformats.org/officeDocument/2006/relationships/hyperlink" Target="http://ec.europa.eu/intelligentenergy" TargetMode="External"/></Relationships>
</file>

<file path=xl/drawings/_rels/drawing29.xml.rels><?xml version="1.0" encoding="UTF-8" standalone="yes"?>
<Relationships xmlns="http://schemas.openxmlformats.org/package/2006/relationships"><Relationship Id="rId3" Type="http://schemas.openxmlformats.org/officeDocument/2006/relationships/hyperlink" Target="http://www.biograce.net/" TargetMode="External"/><Relationship Id="rId2" Type="http://schemas.openxmlformats.org/officeDocument/2006/relationships/image" Target="../media/image10.jpeg"/><Relationship Id="rId1" Type="http://schemas.openxmlformats.org/officeDocument/2006/relationships/image" Target="../media/image19.png"/><Relationship Id="rId4" Type="http://schemas.openxmlformats.org/officeDocument/2006/relationships/hyperlink" Target="http://ec.europa.eu/intelligentenergy" TargetMode="External"/></Relationships>
</file>

<file path=xl/drawings/_rels/drawing30.xml.rels><?xml version="1.0" encoding="UTF-8" standalone="yes"?>
<Relationships xmlns="http://schemas.openxmlformats.org/package/2006/relationships"><Relationship Id="rId3" Type="http://schemas.openxmlformats.org/officeDocument/2006/relationships/hyperlink" Target="http://www.biograce.net/" TargetMode="External"/><Relationship Id="rId2" Type="http://schemas.openxmlformats.org/officeDocument/2006/relationships/image" Target="../media/image10.jpeg"/><Relationship Id="rId1" Type="http://schemas.openxmlformats.org/officeDocument/2006/relationships/image" Target="../media/image19.png"/><Relationship Id="rId4" Type="http://schemas.openxmlformats.org/officeDocument/2006/relationships/hyperlink" Target="http://ec.europa.eu/intelligentenergy" TargetMode="External"/></Relationships>
</file>

<file path=xl/drawings/_rels/drawing31.xml.rels><?xml version="1.0" encoding="UTF-8" standalone="yes"?>
<Relationships xmlns="http://schemas.openxmlformats.org/package/2006/relationships"><Relationship Id="rId3" Type="http://schemas.openxmlformats.org/officeDocument/2006/relationships/hyperlink" Target="http://www.biograce.net/" TargetMode="External"/><Relationship Id="rId2" Type="http://schemas.openxmlformats.org/officeDocument/2006/relationships/image" Target="../media/image10.jpeg"/><Relationship Id="rId1" Type="http://schemas.openxmlformats.org/officeDocument/2006/relationships/image" Target="../media/image19.png"/><Relationship Id="rId4" Type="http://schemas.openxmlformats.org/officeDocument/2006/relationships/hyperlink" Target="http://ec.europa.eu/intelligentenergy" TargetMode="External"/></Relationships>
</file>

<file path=xl/drawings/_rels/drawing32.xml.rels><?xml version="1.0" encoding="UTF-8" standalone="yes"?>
<Relationships xmlns="http://schemas.openxmlformats.org/package/2006/relationships"><Relationship Id="rId3" Type="http://schemas.openxmlformats.org/officeDocument/2006/relationships/image" Target="../media/image124.png"/><Relationship Id="rId2" Type="http://schemas.openxmlformats.org/officeDocument/2006/relationships/image" Target="../media/image10.jpeg"/><Relationship Id="rId1" Type="http://schemas.openxmlformats.org/officeDocument/2006/relationships/image" Target="../media/image19.png"/><Relationship Id="rId6" Type="http://schemas.openxmlformats.org/officeDocument/2006/relationships/hyperlink" Target="#Directory!A1"/><Relationship Id="rId5" Type="http://schemas.openxmlformats.org/officeDocument/2006/relationships/hyperlink" Target="http://ec.europa.eu/intelligentenergy" TargetMode="External"/><Relationship Id="rId4" Type="http://schemas.openxmlformats.org/officeDocument/2006/relationships/hyperlink" Target="http://www.biograce.net/" TargetMode="External"/></Relationships>
</file>

<file path=xl/drawings/_rels/drawing33.xml.rels><?xml version="1.0" encoding="UTF-8" standalone="yes"?>
<Relationships xmlns="http://schemas.openxmlformats.org/package/2006/relationships"><Relationship Id="rId3" Type="http://schemas.openxmlformats.org/officeDocument/2006/relationships/image" Target="../media/image124.png"/><Relationship Id="rId2" Type="http://schemas.openxmlformats.org/officeDocument/2006/relationships/image" Target="../media/image10.jpeg"/><Relationship Id="rId1" Type="http://schemas.openxmlformats.org/officeDocument/2006/relationships/image" Target="../media/image19.png"/><Relationship Id="rId6" Type="http://schemas.openxmlformats.org/officeDocument/2006/relationships/hyperlink" Target="#Directory!A1"/><Relationship Id="rId5" Type="http://schemas.openxmlformats.org/officeDocument/2006/relationships/hyperlink" Target="http://ec.europa.eu/intelligentenergy" TargetMode="External"/><Relationship Id="rId4" Type="http://schemas.openxmlformats.org/officeDocument/2006/relationships/hyperlink" Target="http://www.biograce.net/" TargetMode="External"/></Relationships>
</file>

<file path=xl/drawings/_rels/drawing34.xml.rels><?xml version="1.0" encoding="UTF-8" standalone="yes"?>
<Relationships xmlns="http://schemas.openxmlformats.org/package/2006/relationships"><Relationship Id="rId3" Type="http://schemas.openxmlformats.org/officeDocument/2006/relationships/image" Target="../media/image124.png"/><Relationship Id="rId2" Type="http://schemas.openxmlformats.org/officeDocument/2006/relationships/image" Target="../media/image10.jpeg"/><Relationship Id="rId1" Type="http://schemas.openxmlformats.org/officeDocument/2006/relationships/image" Target="../media/image19.png"/><Relationship Id="rId5" Type="http://schemas.openxmlformats.org/officeDocument/2006/relationships/hyperlink" Target="http://ec.europa.eu/intelligentenergy" TargetMode="External"/><Relationship Id="rId4" Type="http://schemas.openxmlformats.org/officeDocument/2006/relationships/hyperlink" Target="http://www.biograce.net/"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1.emf"/><Relationship Id="rId1" Type="http://schemas.openxmlformats.org/officeDocument/2006/relationships/image" Target="../media/image20.emf"/><Relationship Id="rId5" Type="http://schemas.openxmlformats.org/officeDocument/2006/relationships/image" Target="../media/image24.emf"/><Relationship Id="rId4" Type="http://schemas.openxmlformats.org/officeDocument/2006/relationships/image" Target="../media/image23.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6.emf"/><Relationship Id="rId1" Type="http://schemas.openxmlformats.org/officeDocument/2006/relationships/image" Target="../media/image25.emf"/><Relationship Id="rId5" Type="http://schemas.openxmlformats.org/officeDocument/2006/relationships/image" Target="../media/image29.emf"/><Relationship Id="rId4" Type="http://schemas.openxmlformats.org/officeDocument/2006/relationships/image" Target="../media/image28.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2.emf"/><Relationship Id="rId2" Type="http://schemas.openxmlformats.org/officeDocument/2006/relationships/image" Target="../media/image31.emf"/><Relationship Id="rId1" Type="http://schemas.openxmlformats.org/officeDocument/2006/relationships/image" Target="../media/image30.emf"/><Relationship Id="rId5" Type="http://schemas.openxmlformats.org/officeDocument/2006/relationships/image" Target="../media/image34.emf"/><Relationship Id="rId4" Type="http://schemas.openxmlformats.org/officeDocument/2006/relationships/image" Target="../media/image33.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6.emf"/><Relationship Id="rId1" Type="http://schemas.openxmlformats.org/officeDocument/2006/relationships/image" Target="../media/image35.emf"/><Relationship Id="rId5" Type="http://schemas.openxmlformats.org/officeDocument/2006/relationships/image" Target="../media/image39.emf"/><Relationship Id="rId4" Type="http://schemas.openxmlformats.org/officeDocument/2006/relationships/image" Target="../media/image38.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1.emf"/><Relationship Id="rId1" Type="http://schemas.openxmlformats.org/officeDocument/2006/relationships/image" Target="../media/image40.emf"/><Relationship Id="rId5" Type="http://schemas.openxmlformats.org/officeDocument/2006/relationships/image" Target="../media/image44.emf"/><Relationship Id="rId4" Type="http://schemas.openxmlformats.org/officeDocument/2006/relationships/image" Target="../media/image43.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7.emf"/><Relationship Id="rId7" Type="http://schemas.openxmlformats.org/officeDocument/2006/relationships/image" Target="../media/image51.emf"/><Relationship Id="rId2" Type="http://schemas.openxmlformats.org/officeDocument/2006/relationships/image" Target="../media/image46.emf"/><Relationship Id="rId1" Type="http://schemas.openxmlformats.org/officeDocument/2006/relationships/image" Target="../media/image45.emf"/><Relationship Id="rId6" Type="http://schemas.openxmlformats.org/officeDocument/2006/relationships/image" Target="../media/image50.emf"/><Relationship Id="rId5" Type="http://schemas.openxmlformats.org/officeDocument/2006/relationships/image" Target="../media/image49.emf"/><Relationship Id="rId4" Type="http://schemas.openxmlformats.org/officeDocument/2006/relationships/image" Target="../media/image48.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54.emf"/><Relationship Id="rId2" Type="http://schemas.openxmlformats.org/officeDocument/2006/relationships/image" Target="../media/image53.emf"/><Relationship Id="rId1" Type="http://schemas.openxmlformats.org/officeDocument/2006/relationships/image" Target="../media/image52.emf"/><Relationship Id="rId5" Type="http://schemas.openxmlformats.org/officeDocument/2006/relationships/image" Target="../media/image56.emf"/><Relationship Id="rId4" Type="http://schemas.openxmlformats.org/officeDocument/2006/relationships/image" Target="../media/image55.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59.emf"/><Relationship Id="rId2" Type="http://schemas.openxmlformats.org/officeDocument/2006/relationships/image" Target="../media/image58.emf"/><Relationship Id="rId1" Type="http://schemas.openxmlformats.org/officeDocument/2006/relationships/image" Target="../media/image57.emf"/><Relationship Id="rId5" Type="http://schemas.openxmlformats.org/officeDocument/2006/relationships/image" Target="../media/image61.emf"/><Relationship Id="rId4" Type="http://schemas.openxmlformats.org/officeDocument/2006/relationships/image" Target="../media/image60.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64.emf"/><Relationship Id="rId2" Type="http://schemas.openxmlformats.org/officeDocument/2006/relationships/image" Target="../media/image63.emf"/><Relationship Id="rId1" Type="http://schemas.openxmlformats.org/officeDocument/2006/relationships/image" Target="../media/image62.emf"/><Relationship Id="rId5" Type="http://schemas.openxmlformats.org/officeDocument/2006/relationships/image" Target="../media/image66.emf"/><Relationship Id="rId4" Type="http://schemas.openxmlformats.org/officeDocument/2006/relationships/image" Target="../media/image65.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68.emf"/><Relationship Id="rId1" Type="http://schemas.openxmlformats.org/officeDocument/2006/relationships/image" Target="../media/image67.emf"/><Relationship Id="rId5" Type="http://schemas.openxmlformats.org/officeDocument/2006/relationships/image" Target="../media/image71.emf"/><Relationship Id="rId4" Type="http://schemas.openxmlformats.org/officeDocument/2006/relationships/image" Target="../media/image70.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74.emf"/><Relationship Id="rId2" Type="http://schemas.openxmlformats.org/officeDocument/2006/relationships/image" Target="../media/image73.emf"/><Relationship Id="rId1" Type="http://schemas.openxmlformats.org/officeDocument/2006/relationships/image" Target="../media/image72.emf"/><Relationship Id="rId5" Type="http://schemas.openxmlformats.org/officeDocument/2006/relationships/image" Target="../media/image76.emf"/><Relationship Id="rId4" Type="http://schemas.openxmlformats.org/officeDocument/2006/relationships/image" Target="../media/image75.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79.emf"/><Relationship Id="rId2" Type="http://schemas.openxmlformats.org/officeDocument/2006/relationships/image" Target="../media/image78.emf"/><Relationship Id="rId1" Type="http://schemas.openxmlformats.org/officeDocument/2006/relationships/image" Target="../media/image77.emf"/><Relationship Id="rId5" Type="http://schemas.openxmlformats.org/officeDocument/2006/relationships/image" Target="../media/image81.emf"/><Relationship Id="rId4" Type="http://schemas.openxmlformats.org/officeDocument/2006/relationships/image" Target="../media/image80.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84.emf"/><Relationship Id="rId2" Type="http://schemas.openxmlformats.org/officeDocument/2006/relationships/image" Target="../media/image83.emf"/><Relationship Id="rId1" Type="http://schemas.openxmlformats.org/officeDocument/2006/relationships/image" Target="../media/image82.emf"/><Relationship Id="rId5" Type="http://schemas.openxmlformats.org/officeDocument/2006/relationships/image" Target="../media/image86.emf"/><Relationship Id="rId4" Type="http://schemas.openxmlformats.org/officeDocument/2006/relationships/image" Target="../media/image85.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89.emf"/><Relationship Id="rId2" Type="http://schemas.openxmlformats.org/officeDocument/2006/relationships/image" Target="../media/image88.emf"/><Relationship Id="rId1" Type="http://schemas.openxmlformats.org/officeDocument/2006/relationships/image" Target="../media/image87.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92.emf"/><Relationship Id="rId2" Type="http://schemas.openxmlformats.org/officeDocument/2006/relationships/image" Target="../media/image91.emf"/><Relationship Id="rId1" Type="http://schemas.openxmlformats.org/officeDocument/2006/relationships/image" Target="../media/image90.emf"/><Relationship Id="rId5" Type="http://schemas.openxmlformats.org/officeDocument/2006/relationships/image" Target="../media/image94.emf"/><Relationship Id="rId4" Type="http://schemas.openxmlformats.org/officeDocument/2006/relationships/image" Target="../media/image93.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97.emf"/><Relationship Id="rId2" Type="http://schemas.openxmlformats.org/officeDocument/2006/relationships/image" Target="../media/image96.emf"/><Relationship Id="rId1" Type="http://schemas.openxmlformats.org/officeDocument/2006/relationships/image" Target="../media/image95.emf"/><Relationship Id="rId5" Type="http://schemas.openxmlformats.org/officeDocument/2006/relationships/image" Target="../media/image99.emf"/><Relationship Id="rId4" Type="http://schemas.openxmlformats.org/officeDocument/2006/relationships/image" Target="../media/image98.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102.emf"/><Relationship Id="rId2" Type="http://schemas.openxmlformats.org/officeDocument/2006/relationships/image" Target="../media/image101.emf"/><Relationship Id="rId1" Type="http://schemas.openxmlformats.org/officeDocument/2006/relationships/image" Target="../media/image100.emf"/><Relationship Id="rId5" Type="http://schemas.openxmlformats.org/officeDocument/2006/relationships/image" Target="../media/image104.emf"/><Relationship Id="rId4" Type="http://schemas.openxmlformats.org/officeDocument/2006/relationships/image" Target="../media/image103.emf"/></Relationships>
</file>

<file path=xl/drawings/_rels/vmlDrawing26.vml.rels><?xml version="1.0" encoding="UTF-8" standalone="yes"?>
<Relationships xmlns="http://schemas.openxmlformats.org/package/2006/relationships"><Relationship Id="rId3" Type="http://schemas.openxmlformats.org/officeDocument/2006/relationships/image" Target="../media/image107.emf"/><Relationship Id="rId2" Type="http://schemas.openxmlformats.org/officeDocument/2006/relationships/image" Target="../media/image106.emf"/><Relationship Id="rId1" Type="http://schemas.openxmlformats.org/officeDocument/2006/relationships/image" Target="../media/image105.emf"/><Relationship Id="rId5" Type="http://schemas.openxmlformats.org/officeDocument/2006/relationships/image" Target="../media/image109.emf"/><Relationship Id="rId4" Type="http://schemas.openxmlformats.org/officeDocument/2006/relationships/image" Target="../media/image108.emf"/></Relationships>
</file>

<file path=xl/drawings/_rels/vmlDrawing27.vml.rels><?xml version="1.0" encoding="UTF-8" standalone="yes"?>
<Relationships xmlns="http://schemas.openxmlformats.org/package/2006/relationships"><Relationship Id="rId3" Type="http://schemas.openxmlformats.org/officeDocument/2006/relationships/image" Target="../media/image112.emf"/><Relationship Id="rId2" Type="http://schemas.openxmlformats.org/officeDocument/2006/relationships/image" Target="../media/image111.emf"/><Relationship Id="rId1" Type="http://schemas.openxmlformats.org/officeDocument/2006/relationships/image" Target="../media/image110.emf"/><Relationship Id="rId5" Type="http://schemas.openxmlformats.org/officeDocument/2006/relationships/image" Target="../media/image114.emf"/><Relationship Id="rId4" Type="http://schemas.openxmlformats.org/officeDocument/2006/relationships/image" Target="../media/image113.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117.emf"/><Relationship Id="rId2" Type="http://schemas.openxmlformats.org/officeDocument/2006/relationships/image" Target="../media/image116.emf"/><Relationship Id="rId1" Type="http://schemas.openxmlformats.org/officeDocument/2006/relationships/image" Target="../media/image115.emf"/></Relationships>
</file>

<file path=xl/drawings/_rels/vmlDrawing29.vml.rels><?xml version="1.0" encoding="UTF-8" standalone="yes"?>
<Relationships xmlns="http://schemas.openxmlformats.org/package/2006/relationships"><Relationship Id="rId3" Type="http://schemas.openxmlformats.org/officeDocument/2006/relationships/image" Target="../media/image120.emf"/><Relationship Id="rId2" Type="http://schemas.openxmlformats.org/officeDocument/2006/relationships/image" Target="../media/image119.emf"/><Relationship Id="rId1" Type="http://schemas.openxmlformats.org/officeDocument/2006/relationships/image" Target="../media/image118.emf"/></Relationships>
</file>

<file path=xl/drawings/_rels/vmlDrawing30.vml.rels><?xml version="1.0" encoding="UTF-8" standalone="yes"?>
<Relationships xmlns="http://schemas.openxmlformats.org/package/2006/relationships"><Relationship Id="rId3" Type="http://schemas.openxmlformats.org/officeDocument/2006/relationships/image" Target="../media/image123.emf"/><Relationship Id="rId2" Type="http://schemas.openxmlformats.org/officeDocument/2006/relationships/image" Target="../media/image122.emf"/><Relationship Id="rId1" Type="http://schemas.openxmlformats.org/officeDocument/2006/relationships/image" Target="../media/image121.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18</xdr:col>
      <xdr:colOff>9525</xdr:colOff>
      <xdr:row>6</xdr:row>
      <xdr:rowOff>76200</xdr:rowOff>
    </xdr:to>
    <xdr:grpSp>
      <xdr:nvGrpSpPr>
        <xdr:cNvPr id="41009" name="Groep 2">
          <a:extLst>
            <a:ext uri="{FF2B5EF4-FFF2-40B4-BE49-F238E27FC236}">
              <a16:creationId xmlns:a16="http://schemas.microsoft.com/office/drawing/2014/main" id="{00000000-0008-0000-0000-000031A00000}"/>
            </a:ext>
          </a:extLst>
        </xdr:cNvPr>
        <xdr:cNvGrpSpPr>
          <a:grpSpLocks noChangeAspect="1"/>
        </xdr:cNvGrpSpPr>
      </xdr:nvGrpSpPr>
      <xdr:grpSpPr bwMode="auto">
        <a:xfrm>
          <a:off x="0" y="0"/>
          <a:ext cx="10391775" cy="1047750"/>
          <a:chOff x="0" y="0"/>
          <a:chExt cx="12875419" cy="1297781"/>
        </a:xfrm>
      </xdr:grpSpPr>
      <xdr:pic>
        <xdr:nvPicPr>
          <xdr:cNvPr id="41010" name="Picture 14" descr="Header_Calculator_300dpi_2">
            <a:extLst>
              <a:ext uri="{FF2B5EF4-FFF2-40B4-BE49-F238E27FC236}">
                <a16:creationId xmlns:a16="http://schemas.microsoft.com/office/drawing/2014/main" id="{00000000-0008-0000-0000-000032A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2875419" cy="12977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41011" name="Afbeelding 4">
            <a:extLst>
              <a:ext uri="{FF2B5EF4-FFF2-40B4-BE49-F238E27FC236}">
                <a16:creationId xmlns:a16="http://schemas.microsoft.com/office/drawing/2014/main" id="{00000000-0008-0000-0000-000033A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7576"/>
          <a:stretch>
            <a:fillRect/>
          </a:stretch>
        </xdr:blipFill>
        <xdr:spPr bwMode="auto">
          <a:xfrm>
            <a:off x="0" y="1"/>
            <a:ext cx="5107781" cy="12891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4933950</xdr:colOff>
      <xdr:row>1</xdr:row>
      <xdr:rowOff>19050</xdr:rowOff>
    </xdr:to>
    <xdr:grpSp>
      <xdr:nvGrpSpPr>
        <xdr:cNvPr id="44305" name="Groep 11">
          <a:extLst>
            <a:ext uri="{FF2B5EF4-FFF2-40B4-BE49-F238E27FC236}">
              <a16:creationId xmlns:a16="http://schemas.microsoft.com/office/drawing/2014/main" id="{00000000-0008-0000-0100-000011AD0000}"/>
            </a:ext>
          </a:extLst>
        </xdr:cNvPr>
        <xdr:cNvGrpSpPr>
          <a:grpSpLocks noChangeAspect="1"/>
        </xdr:cNvGrpSpPr>
      </xdr:nvGrpSpPr>
      <xdr:grpSpPr bwMode="auto">
        <a:xfrm>
          <a:off x="0" y="0"/>
          <a:ext cx="10267950" cy="1038225"/>
          <a:chOff x="0" y="0"/>
          <a:chExt cx="12875419" cy="1297781"/>
        </a:xfrm>
      </xdr:grpSpPr>
      <xdr:pic>
        <xdr:nvPicPr>
          <xdr:cNvPr id="44314" name="Picture 14" descr="Header_Calculator_300dpi_2">
            <a:extLst>
              <a:ext uri="{FF2B5EF4-FFF2-40B4-BE49-F238E27FC236}">
                <a16:creationId xmlns:a16="http://schemas.microsoft.com/office/drawing/2014/main" id="{00000000-0008-0000-0100-00001AAD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2875419" cy="12977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44315" name="Afbeelding 13">
            <a:extLst>
              <a:ext uri="{FF2B5EF4-FFF2-40B4-BE49-F238E27FC236}">
                <a16:creationId xmlns:a16="http://schemas.microsoft.com/office/drawing/2014/main" id="{00000000-0008-0000-0100-00001BAD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7576"/>
          <a:stretch>
            <a:fillRect/>
          </a:stretch>
        </xdr:blipFill>
        <xdr:spPr bwMode="auto">
          <a:xfrm>
            <a:off x="0" y="1"/>
            <a:ext cx="5107781" cy="12891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twoCellAnchor>
    <xdr:from>
      <xdr:col>12</xdr:col>
      <xdr:colOff>76200</xdr:colOff>
      <xdr:row>0</xdr:row>
      <xdr:rowOff>676275</xdr:rowOff>
    </xdr:from>
    <xdr:to>
      <xdr:col>12</xdr:col>
      <xdr:colOff>333375</xdr:colOff>
      <xdr:row>0</xdr:row>
      <xdr:rowOff>828675</xdr:rowOff>
    </xdr:to>
    <xdr:sp macro="" textlink="">
      <xdr:nvSpPr>
        <xdr:cNvPr id="4101" name="WordArt 5">
          <a:hlinkClick xmlns:r="http://schemas.openxmlformats.org/officeDocument/2006/relationships" r:id="rId3"/>
          <a:extLst>
            <a:ext uri="{FF2B5EF4-FFF2-40B4-BE49-F238E27FC236}">
              <a16:creationId xmlns:a16="http://schemas.microsoft.com/office/drawing/2014/main" id="{00000000-0008-0000-0100-000005100000}"/>
            </a:ext>
          </a:extLst>
        </xdr:cNvPr>
        <xdr:cNvSpPr>
          <a:spLocks noChangeArrowheads="1" noChangeShapeType="1" noTextEdit="1"/>
        </xdr:cNvSpPr>
      </xdr:nvSpPr>
      <xdr:spPr bwMode="auto">
        <a:xfrm>
          <a:off x="14639925" y="676275"/>
          <a:ext cx="257175" cy="152400"/>
        </a:xfrm>
        <a:prstGeom prst="rect">
          <a:avLst/>
        </a:prstGeom>
      </xdr:spPr>
      <xdr:txBody>
        <a:bodyPr wrap="none" fromWordArt="1">
          <a:prstTxWarp prst="textPlain">
            <a:avLst>
              <a:gd name="adj" fmla="val 50000"/>
            </a:avLst>
          </a:prstTxWarp>
        </a:bodyPr>
        <a:lstStyle/>
        <a:p>
          <a:pPr algn="ctr" rtl="0"/>
          <a:r>
            <a:rPr lang="fr-FR" sz="1000" kern="10" spc="0">
              <a:ln w="9525">
                <a:noFill/>
                <a:round/>
                <a:headEnd/>
                <a:tailEnd/>
              </a:ln>
              <a:noFill/>
              <a:effectLst/>
              <a:latin typeface="Arial Black"/>
            </a:rPr>
            <a:t>About</a:t>
          </a:r>
        </a:p>
      </xdr:txBody>
    </xdr:sp>
    <xdr:clientData/>
  </xdr:twoCellAnchor>
  <xdr:twoCellAnchor>
    <xdr:from>
      <xdr:col>12</xdr:col>
      <xdr:colOff>609600</xdr:colOff>
      <xdr:row>0</xdr:row>
      <xdr:rowOff>695325</xdr:rowOff>
    </xdr:from>
    <xdr:to>
      <xdr:col>13</xdr:col>
      <xdr:colOff>390525</xdr:colOff>
      <xdr:row>0</xdr:row>
      <xdr:rowOff>828675</xdr:rowOff>
    </xdr:to>
    <xdr:sp macro="" textlink="">
      <xdr:nvSpPr>
        <xdr:cNvPr id="4102" name="WordArt 6">
          <a:hlinkClick xmlns:r="http://schemas.openxmlformats.org/officeDocument/2006/relationships" r:id="rId4"/>
          <a:extLst>
            <a:ext uri="{FF2B5EF4-FFF2-40B4-BE49-F238E27FC236}">
              <a16:creationId xmlns:a16="http://schemas.microsoft.com/office/drawing/2014/main" id="{00000000-0008-0000-0100-000006100000}"/>
            </a:ext>
          </a:extLst>
        </xdr:cNvPr>
        <xdr:cNvSpPr>
          <a:spLocks noChangeArrowheads="1" noChangeShapeType="1" noTextEdit="1"/>
        </xdr:cNvSpPr>
      </xdr:nvSpPr>
      <xdr:spPr bwMode="auto">
        <a:xfrm>
          <a:off x="15173325" y="695325"/>
          <a:ext cx="409575" cy="133350"/>
        </a:xfrm>
        <a:prstGeom prst="rect">
          <a:avLst/>
        </a:prstGeom>
      </xdr:spPr>
      <xdr:txBody>
        <a:bodyPr wrap="none" fromWordArt="1">
          <a:prstTxWarp prst="textPlain">
            <a:avLst>
              <a:gd name="adj" fmla="val 50000"/>
            </a:avLst>
          </a:prstTxWarp>
        </a:bodyPr>
        <a:lstStyle/>
        <a:p>
          <a:pPr algn="ctr" rtl="0"/>
          <a:r>
            <a:rPr lang="fr-FR" sz="1000" kern="10" spc="0">
              <a:ln w="9525">
                <a:noFill/>
                <a:round/>
                <a:headEnd/>
                <a:tailEnd/>
              </a:ln>
              <a:noFill/>
              <a:effectLst/>
              <a:latin typeface="Arial Black"/>
            </a:rPr>
            <a:t>Directory</a:t>
          </a:r>
        </a:p>
      </xdr:txBody>
    </xdr:sp>
    <xdr:clientData/>
  </xdr:twoCellAnchor>
  <xdr:twoCellAnchor>
    <xdr:from>
      <xdr:col>9</xdr:col>
      <xdr:colOff>571500</xdr:colOff>
      <xdr:row>0</xdr:row>
      <xdr:rowOff>66675</xdr:rowOff>
    </xdr:from>
    <xdr:to>
      <xdr:col>11</xdr:col>
      <xdr:colOff>304800</xdr:colOff>
      <xdr:row>0</xdr:row>
      <xdr:rowOff>190500</xdr:rowOff>
    </xdr:to>
    <xdr:sp macro="" textlink="">
      <xdr:nvSpPr>
        <xdr:cNvPr id="4103" name="WordArt 7">
          <a:hlinkClick xmlns:r="http://schemas.openxmlformats.org/officeDocument/2006/relationships" r:id="rId5"/>
          <a:extLst>
            <a:ext uri="{FF2B5EF4-FFF2-40B4-BE49-F238E27FC236}">
              <a16:creationId xmlns:a16="http://schemas.microsoft.com/office/drawing/2014/main" id="{00000000-0008-0000-0100-000007100000}"/>
            </a:ext>
          </a:extLst>
        </xdr:cNvPr>
        <xdr:cNvSpPr>
          <a:spLocks noChangeArrowheads="1" noChangeShapeType="1" noTextEdit="1"/>
        </xdr:cNvSpPr>
      </xdr:nvSpPr>
      <xdr:spPr bwMode="auto">
        <a:xfrm>
          <a:off x="13306425" y="66675"/>
          <a:ext cx="952500" cy="123825"/>
        </a:xfrm>
        <a:prstGeom prst="rect">
          <a:avLst/>
        </a:prstGeom>
      </xdr:spPr>
      <xdr:txBody>
        <a:bodyPr wrap="none" fromWordArt="1">
          <a:prstTxWarp prst="textPlain">
            <a:avLst>
              <a:gd name="adj" fmla="val 50000"/>
            </a:avLst>
          </a:prstTxWarp>
        </a:bodyPr>
        <a:lstStyle/>
        <a:p>
          <a:pPr algn="ctr" rtl="0"/>
          <a:r>
            <a:rPr lang="fr-FR" sz="800" kern="10" spc="0">
              <a:ln w="9525">
                <a:noFill/>
                <a:round/>
                <a:headEnd/>
                <a:tailEnd/>
              </a:ln>
              <a:noFill/>
              <a:effectLst/>
              <a:latin typeface="Arial Black"/>
            </a:rPr>
            <a:t>www.biograce.net</a:t>
          </a:r>
        </a:p>
      </xdr:txBody>
    </xdr:sp>
    <xdr:clientData/>
  </xdr:twoCellAnchor>
  <xdr:twoCellAnchor>
    <xdr:from>
      <xdr:col>11</xdr:col>
      <xdr:colOff>409575</xdr:colOff>
      <xdr:row>0</xdr:row>
      <xdr:rowOff>19050</xdr:rowOff>
    </xdr:from>
    <xdr:to>
      <xdr:col>13</xdr:col>
      <xdr:colOff>600075</xdr:colOff>
      <xdr:row>0</xdr:row>
      <xdr:rowOff>152400</xdr:rowOff>
    </xdr:to>
    <xdr:sp macro="" textlink="">
      <xdr:nvSpPr>
        <xdr:cNvPr id="4104" name="WordArt 8">
          <a:hlinkClick xmlns:r="http://schemas.openxmlformats.org/officeDocument/2006/relationships" r:id="rId6"/>
          <a:extLst>
            <a:ext uri="{FF2B5EF4-FFF2-40B4-BE49-F238E27FC236}">
              <a16:creationId xmlns:a16="http://schemas.microsoft.com/office/drawing/2014/main" id="{00000000-0008-0000-0100-000008100000}"/>
            </a:ext>
          </a:extLst>
        </xdr:cNvPr>
        <xdr:cNvSpPr>
          <a:spLocks noChangeArrowheads="1" noChangeShapeType="1" noTextEdit="1"/>
        </xdr:cNvSpPr>
      </xdr:nvSpPr>
      <xdr:spPr bwMode="auto">
        <a:xfrm>
          <a:off x="14363700" y="19050"/>
          <a:ext cx="1428750" cy="133350"/>
        </a:xfrm>
        <a:prstGeom prst="rect">
          <a:avLst/>
        </a:prstGeom>
      </xdr:spPr>
      <xdr:txBody>
        <a:bodyPr wrap="none" fromWordArt="1">
          <a:prstTxWarp prst="textPlain">
            <a:avLst>
              <a:gd name="adj" fmla="val 50000"/>
            </a:avLst>
          </a:prstTxWarp>
        </a:bodyPr>
        <a:lstStyle/>
        <a:p>
          <a:pPr algn="ctr" rtl="0"/>
          <a:r>
            <a:rPr lang="fr-FR" sz="800" kern="10" spc="0">
              <a:ln w="9525">
                <a:noFill/>
                <a:round/>
                <a:headEnd/>
                <a:tailEnd/>
              </a:ln>
              <a:noFill/>
              <a:effectLst/>
              <a:latin typeface="Arial Black"/>
            </a:rPr>
            <a:t>intelligent energy europe</a:t>
          </a:r>
        </a:p>
      </xdr:txBody>
    </xdr:sp>
    <xdr:clientData/>
  </xdr:twoCellAnchor>
  <xdr:twoCellAnchor>
    <xdr:from>
      <xdr:col>7</xdr:col>
      <xdr:colOff>133350</xdr:colOff>
      <xdr:row>3</xdr:row>
      <xdr:rowOff>0</xdr:rowOff>
    </xdr:from>
    <xdr:to>
      <xdr:col>8</xdr:col>
      <xdr:colOff>19050</xdr:colOff>
      <xdr:row>3</xdr:row>
      <xdr:rowOff>0</xdr:rowOff>
    </xdr:to>
    <xdr:sp macro="" textlink="">
      <xdr:nvSpPr>
        <xdr:cNvPr id="4105" name="WordArt 9">
          <a:hlinkClick xmlns:r="http://schemas.openxmlformats.org/officeDocument/2006/relationships" r:id="rId3"/>
          <a:extLst>
            <a:ext uri="{FF2B5EF4-FFF2-40B4-BE49-F238E27FC236}">
              <a16:creationId xmlns:a16="http://schemas.microsoft.com/office/drawing/2014/main" id="{00000000-0008-0000-0100-000009100000}"/>
            </a:ext>
          </a:extLst>
        </xdr:cNvPr>
        <xdr:cNvSpPr>
          <a:spLocks noChangeArrowheads="1" noChangeShapeType="1" noTextEdit="1"/>
        </xdr:cNvSpPr>
      </xdr:nvSpPr>
      <xdr:spPr bwMode="auto">
        <a:xfrm>
          <a:off x="11649075" y="19878675"/>
          <a:ext cx="495300" cy="180975"/>
        </a:xfrm>
        <a:prstGeom prst="rect">
          <a:avLst/>
        </a:prstGeom>
      </xdr:spPr>
      <xdr:txBody>
        <a:bodyPr wrap="none" fromWordArt="1">
          <a:prstTxWarp prst="textPlain">
            <a:avLst>
              <a:gd name="adj" fmla="val 50000"/>
            </a:avLst>
          </a:prstTxWarp>
        </a:bodyPr>
        <a:lstStyle/>
        <a:p>
          <a:pPr algn="ctr" rtl="0"/>
          <a:r>
            <a:rPr lang="fr-FR" sz="1000" kern="10" spc="0">
              <a:ln w="9525">
                <a:noFill/>
                <a:round/>
                <a:headEnd/>
                <a:tailEnd/>
              </a:ln>
              <a:noFill/>
              <a:effectLst/>
              <a:latin typeface="Arial Black"/>
            </a:rPr>
            <a:t>About</a:t>
          </a:r>
        </a:p>
      </xdr:txBody>
    </xdr:sp>
    <xdr:clientData/>
  </xdr:twoCellAnchor>
  <xdr:twoCellAnchor>
    <xdr:from>
      <xdr:col>2</xdr:col>
      <xdr:colOff>2257425</xdr:colOff>
      <xdr:row>0</xdr:row>
      <xdr:rowOff>38100</xdr:rowOff>
    </xdr:from>
    <xdr:to>
      <xdr:col>2</xdr:col>
      <xdr:colOff>3086100</xdr:colOff>
      <xdr:row>0</xdr:row>
      <xdr:rowOff>133350</xdr:rowOff>
    </xdr:to>
    <xdr:sp macro="" textlink="">
      <xdr:nvSpPr>
        <xdr:cNvPr id="4108" name="WordArt 12">
          <a:hlinkClick xmlns:r="http://schemas.openxmlformats.org/officeDocument/2006/relationships" r:id="rId5"/>
          <a:extLst>
            <a:ext uri="{FF2B5EF4-FFF2-40B4-BE49-F238E27FC236}">
              <a16:creationId xmlns:a16="http://schemas.microsoft.com/office/drawing/2014/main" id="{00000000-0008-0000-0100-00000C100000}"/>
            </a:ext>
          </a:extLst>
        </xdr:cNvPr>
        <xdr:cNvSpPr>
          <a:spLocks noChangeArrowheads="1" noChangeShapeType="1" noTextEdit="1"/>
        </xdr:cNvSpPr>
      </xdr:nvSpPr>
      <xdr:spPr bwMode="auto">
        <a:xfrm>
          <a:off x="3543300" y="38100"/>
          <a:ext cx="828675" cy="95250"/>
        </a:xfrm>
        <a:prstGeom prst="rect">
          <a:avLst/>
        </a:prstGeom>
      </xdr:spPr>
      <xdr:txBody>
        <a:bodyPr wrap="none" fromWordArt="1">
          <a:prstTxWarp prst="textPlain">
            <a:avLst>
              <a:gd name="adj" fmla="val 50000"/>
            </a:avLst>
          </a:prstTxWarp>
        </a:bodyPr>
        <a:lstStyle/>
        <a:p>
          <a:pPr algn="ctr" rtl="0"/>
          <a:r>
            <a:rPr lang="fr-FR" sz="800" kern="10" spc="0">
              <a:ln w="9525">
                <a:noFill/>
                <a:round/>
                <a:headEnd/>
                <a:tailEnd/>
              </a:ln>
              <a:noFill/>
              <a:effectLst/>
              <a:latin typeface="Arial Black"/>
            </a:rPr>
            <a:t>www.biograce.net</a:t>
          </a:r>
        </a:p>
      </xdr:txBody>
    </xdr:sp>
    <xdr:clientData/>
  </xdr:twoCellAnchor>
  <xdr:twoCellAnchor>
    <xdr:from>
      <xdr:col>4</xdr:col>
      <xdr:colOff>2505075</xdr:colOff>
      <xdr:row>0</xdr:row>
      <xdr:rowOff>0</xdr:rowOff>
    </xdr:from>
    <xdr:to>
      <xdr:col>4</xdr:col>
      <xdr:colOff>4171950</xdr:colOff>
      <xdr:row>0</xdr:row>
      <xdr:rowOff>238125</xdr:rowOff>
    </xdr:to>
    <xdr:sp macro="" textlink="">
      <xdr:nvSpPr>
        <xdr:cNvPr id="44040" name="WordArt 13">
          <a:hlinkClick xmlns:r="http://schemas.openxmlformats.org/officeDocument/2006/relationships" r:id="rId6"/>
          <a:extLst>
            <a:ext uri="{FF2B5EF4-FFF2-40B4-BE49-F238E27FC236}">
              <a16:creationId xmlns:a16="http://schemas.microsoft.com/office/drawing/2014/main" id="{00000000-0008-0000-0100-000008AC0000}"/>
            </a:ext>
          </a:extLst>
        </xdr:cNvPr>
        <xdr:cNvSpPr>
          <a:spLocks noChangeArrowheads="1" noChangeShapeType="1" noTextEdit="1"/>
        </xdr:cNvSpPr>
      </xdr:nvSpPr>
      <xdr:spPr bwMode="auto">
        <a:xfrm>
          <a:off x="7839075" y="0"/>
          <a:ext cx="1666875" cy="238125"/>
        </a:xfrm>
        <a:prstGeom prst="rect">
          <a:avLst/>
        </a:prstGeom>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txBody>
        <a:bodyPr vertOverflow="clip" wrap="none" lIns="91440" tIns="45720" rIns="91440" bIns="45720" fromWordArt="1" anchor="t">
          <a:prstTxWarp prst="textPlain">
            <a:avLst>
              <a:gd name="adj" fmla="val 50000"/>
            </a:avLst>
          </a:prstTxWarp>
        </a:bodyPr>
        <a:lstStyle/>
        <a:p>
          <a:pPr algn="ctr" rtl="0">
            <a:buNone/>
          </a:pPr>
          <a:r>
            <a:rPr lang="nl-NL" sz="800" kern="10" cap="small" spc="0">
              <a:ln>
                <a:noFill/>
              </a:ln>
              <a:noFill/>
              <a:latin typeface="Arial Black"/>
            </a:rPr>
            <a:t>intelligent energy europe</a:t>
          </a:r>
        </a:p>
      </xdr:txBody>
    </xdr:sp>
    <xdr:clientData/>
  </xdr:twoCellAnchor>
  <mc:AlternateContent xmlns:mc="http://schemas.openxmlformats.org/markup-compatibility/2006">
    <mc:Choice xmlns:a14="http://schemas.microsoft.com/office/drawing/2010/main" Requires="a14">
      <xdr:twoCellAnchor editAs="oneCell">
        <xdr:from>
          <xdr:col>2</xdr:col>
          <xdr:colOff>2486025</xdr:colOff>
          <xdr:row>18</xdr:row>
          <xdr:rowOff>85725</xdr:rowOff>
        </xdr:from>
        <xdr:to>
          <xdr:col>4</xdr:col>
          <xdr:colOff>542925</xdr:colOff>
          <xdr:row>21</xdr:row>
          <xdr:rowOff>28575</xdr:rowOff>
        </xdr:to>
        <xdr:sp macro="" textlink="">
          <xdr:nvSpPr>
            <xdr:cNvPr id="44041" name="CommandButton1" hidden="1">
              <a:extLst>
                <a:ext uri="{63B3BB69-23CF-44E3-9099-C40C66FF867C}">
                  <a14:compatExt spid="_x0000_s44041"/>
                </a:ext>
                <a:ext uri="{FF2B5EF4-FFF2-40B4-BE49-F238E27FC236}">
                  <a16:creationId xmlns:a16="http://schemas.microsoft.com/office/drawing/2014/main" id="{00000000-0008-0000-0100-000009A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twoCellAnchor>
    <xdr:from>
      <xdr:col>2</xdr:col>
      <xdr:colOff>2495550</xdr:colOff>
      <xdr:row>18</xdr:row>
      <xdr:rowOff>85725</xdr:rowOff>
    </xdr:from>
    <xdr:to>
      <xdr:col>4</xdr:col>
      <xdr:colOff>542925</xdr:colOff>
      <xdr:row>21</xdr:row>
      <xdr:rowOff>19050</xdr:rowOff>
    </xdr:to>
    <xdr:sp macro="" textlink="">
      <xdr:nvSpPr>
        <xdr:cNvPr id="44042" name="WordArt 11">
          <a:hlinkClick xmlns:r="http://schemas.openxmlformats.org/officeDocument/2006/relationships" r:id="rId7"/>
          <a:extLst>
            <a:ext uri="{FF2B5EF4-FFF2-40B4-BE49-F238E27FC236}">
              <a16:creationId xmlns:a16="http://schemas.microsoft.com/office/drawing/2014/main" id="{00000000-0008-0000-0100-00000AAC0000}"/>
            </a:ext>
          </a:extLst>
        </xdr:cNvPr>
        <xdr:cNvSpPr>
          <a:spLocks noChangeArrowheads="1" noChangeShapeType="1"/>
        </xdr:cNvSpPr>
      </xdr:nvSpPr>
      <xdr:spPr bwMode="auto">
        <a:xfrm>
          <a:off x="3781425" y="4295775"/>
          <a:ext cx="2095500"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txBody>
        <a:bodyPr vertOverflow="clip" wrap="square" lIns="18288" tIns="0" rIns="0" bIns="0" anchor="t" upright="1"/>
        <a:lstStyle/>
        <a:p>
          <a:pPr algn="ctr" rtl="0">
            <a:defRPr sz="1000"/>
          </a:pPr>
          <a:endParaRPr lang="nl-NL"/>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4933950</xdr:colOff>
      <xdr:row>1</xdr:row>
      <xdr:rowOff>19050</xdr:rowOff>
    </xdr:to>
    <xdr:grpSp>
      <xdr:nvGrpSpPr>
        <xdr:cNvPr id="43318" name="Groep 17">
          <a:extLst>
            <a:ext uri="{FF2B5EF4-FFF2-40B4-BE49-F238E27FC236}">
              <a16:creationId xmlns:a16="http://schemas.microsoft.com/office/drawing/2014/main" id="{00000000-0008-0000-0200-000036A90000}"/>
            </a:ext>
          </a:extLst>
        </xdr:cNvPr>
        <xdr:cNvGrpSpPr>
          <a:grpSpLocks noChangeAspect="1"/>
        </xdr:cNvGrpSpPr>
      </xdr:nvGrpSpPr>
      <xdr:grpSpPr bwMode="auto">
        <a:xfrm>
          <a:off x="0" y="0"/>
          <a:ext cx="10267950" cy="1038225"/>
          <a:chOff x="0" y="0"/>
          <a:chExt cx="12875419" cy="1297781"/>
        </a:xfrm>
      </xdr:grpSpPr>
      <xdr:pic>
        <xdr:nvPicPr>
          <xdr:cNvPr id="43328" name="Picture 14" descr="Header_Calculator_300dpi_2">
            <a:extLst>
              <a:ext uri="{FF2B5EF4-FFF2-40B4-BE49-F238E27FC236}">
                <a16:creationId xmlns:a16="http://schemas.microsoft.com/office/drawing/2014/main" id="{00000000-0008-0000-0200-000040A9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2875419" cy="12977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43329" name="Afbeelding 19">
            <a:extLst>
              <a:ext uri="{FF2B5EF4-FFF2-40B4-BE49-F238E27FC236}">
                <a16:creationId xmlns:a16="http://schemas.microsoft.com/office/drawing/2014/main" id="{00000000-0008-0000-0200-000041A9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7576"/>
          <a:stretch>
            <a:fillRect/>
          </a:stretch>
        </xdr:blipFill>
        <xdr:spPr bwMode="auto">
          <a:xfrm>
            <a:off x="0" y="1"/>
            <a:ext cx="5107781" cy="12891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twoCellAnchor>
    <xdr:from>
      <xdr:col>12</xdr:col>
      <xdr:colOff>76200</xdr:colOff>
      <xdr:row>0</xdr:row>
      <xdr:rowOff>676275</xdr:rowOff>
    </xdr:from>
    <xdr:to>
      <xdr:col>12</xdr:col>
      <xdr:colOff>333375</xdr:colOff>
      <xdr:row>0</xdr:row>
      <xdr:rowOff>828675</xdr:rowOff>
    </xdr:to>
    <xdr:sp macro="" textlink="">
      <xdr:nvSpPr>
        <xdr:cNvPr id="4101" name="WordArt 5">
          <a:hlinkClick xmlns:r="http://schemas.openxmlformats.org/officeDocument/2006/relationships" r:id="rId3"/>
          <a:extLst>
            <a:ext uri="{FF2B5EF4-FFF2-40B4-BE49-F238E27FC236}">
              <a16:creationId xmlns:a16="http://schemas.microsoft.com/office/drawing/2014/main" id="{00000000-0008-0000-0200-000005100000}"/>
            </a:ext>
          </a:extLst>
        </xdr:cNvPr>
        <xdr:cNvSpPr>
          <a:spLocks noChangeArrowheads="1" noChangeShapeType="1" noTextEdit="1"/>
        </xdr:cNvSpPr>
      </xdr:nvSpPr>
      <xdr:spPr bwMode="auto">
        <a:xfrm>
          <a:off x="14639925" y="676275"/>
          <a:ext cx="257175" cy="152400"/>
        </a:xfrm>
        <a:prstGeom prst="rect">
          <a:avLst/>
        </a:prstGeom>
      </xdr:spPr>
      <xdr:txBody>
        <a:bodyPr wrap="none" fromWordArt="1">
          <a:prstTxWarp prst="textPlain">
            <a:avLst>
              <a:gd name="adj" fmla="val 50000"/>
            </a:avLst>
          </a:prstTxWarp>
        </a:bodyPr>
        <a:lstStyle/>
        <a:p>
          <a:pPr algn="ctr" rtl="0"/>
          <a:r>
            <a:rPr lang="fr-FR" sz="1000" kern="10" spc="0">
              <a:ln w="9525">
                <a:noFill/>
                <a:round/>
                <a:headEnd/>
                <a:tailEnd/>
              </a:ln>
              <a:noFill/>
              <a:effectLst/>
              <a:latin typeface="Arial Black"/>
            </a:rPr>
            <a:t>About</a:t>
          </a:r>
        </a:p>
      </xdr:txBody>
    </xdr:sp>
    <xdr:clientData/>
  </xdr:twoCellAnchor>
  <xdr:twoCellAnchor>
    <xdr:from>
      <xdr:col>12</xdr:col>
      <xdr:colOff>609600</xdr:colOff>
      <xdr:row>0</xdr:row>
      <xdr:rowOff>695325</xdr:rowOff>
    </xdr:from>
    <xdr:to>
      <xdr:col>13</xdr:col>
      <xdr:colOff>390525</xdr:colOff>
      <xdr:row>0</xdr:row>
      <xdr:rowOff>828675</xdr:rowOff>
    </xdr:to>
    <xdr:sp macro="" textlink="">
      <xdr:nvSpPr>
        <xdr:cNvPr id="4102" name="WordArt 6">
          <a:hlinkClick xmlns:r="http://schemas.openxmlformats.org/officeDocument/2006/relationships" r:id="rId4"/>
          <a:extLst>
            <a:ext uri="{FF2B5EF4-FFF2-40B4-BE49-F238E27FC236}">
              <a16:creationId xmlns:a16="http://schemas.microsoft.com/office/drawing/2014/main" id="{00000000-0008-0000-0200-000006100000}"/>
            </a:ext>
          </a:extLst>
        </xdr:cNvPr>
        <xdr:cNvSpPr>
          <a:spLocks noChangeArrowheads="1" noChangeShapeType="1" noTextEdit="1"/>
        </xdr:cNvSpPr>
      </xdr:nvSpPr>
      <xdr:spPr bwMode="auto">
        <a:xfrm>
          <a:off x="15173325" y="695325"/>
          <a:ext cx="409575" cy="133350"/>
        </a:xfrm>
        <a:prstGeom prst="rect">
          <a:avLst/>
        </a:prstGeom>
      </xdr:spPr>
      <xdr:txBody>
        <a:bodyPr wrap="none" fromWordArt="1">
          <a:prstTxWarp prst="textPlain">
            <a:avLst>
              <a:gd name="adj" fmla="val 50000"/>
            </a:avLst>
          </a:prstTxWarp>
        </a:bodyPr>
        <a:lstStyle/>
        <a:p>
          <a:pPr algn="ctr" rtl="0"/>
          <a:r>
            <a:rPr lang="fr-FR" sz="1000" kern="10" spc="0">
              <a:ln w="9525">
                <a:noFill/>
                <a:round/>
                <a:headEnd/>
                <a:tailEnd/>
              </a:ln>
              <a:noFill/>
              <a:effectLst/>
              <a:latin typeface="Arial Black"/>
            </a:rPr>
            <a:t>Directory</a:t>
          </a:r>
        </a:p>
      </xdr:txBody>
    </xdr:sp>
    <xdr:clientData/>
  </xdr:twoCellAnchor>
  <xdr:twoCellAnchor>
    <xdr:from>
      <xdr:col>9</xdr:col>
      <xdr:colOff>571500</xdr:colOff>
      <xdr:row>0</xdr:row>
      <xdr:rowOff>66675</xdr:rowOff>
    </xdr:from>
    <xdr:to>
      <xdr:col>11</xdr:col>
      <xdr:colOff>304800</xdr:colOff>
      <xdr:row>0</xdr:row>
      <xdr:rowOff>190500</xdr:rowOff>
    </xdr:to>
    <xdr:sp macro="" textlink="">
      <xdr:nvSpPr>
        <xdr:cNvPr id="4103" name="WordArt 7">
          <a:hlinkClick xmlns:r="http://schemas.openxmlformats.org/officeDocument/2006/relationships" r:id="rId5"/>
          <a:extLst>
            <a:ext uri="{FF2B5EF4-FFF2-40B4-BE49-F238E27FC236}">
              <a16:creationId xmlns:a16="http://schemas.microsoft.com/office/drawing/2014/main" id="{00000000-0008-0000-0200-000007100000}"/>
            </a:ext>
          </a:extLst>
        </xdr:cNvPr>
        <xdr:cNvSpPr>
          <a:spLocks noChangeArrowheads="1" noChangeShapeType="1" noTextEdit="1"/>
        </xdr:cNvSpPr>
      </xdr:nvSpPr>
      <xdr:spPr bwMode="auto">
        <a:xfrm>
          <a:off x="13306425" y="66675"/>
          <a:ext cx="952500" cy="123825"/>
        </a:xfrm>
        <a:prstGeom prst="rect">
          <a:avLst/>
        </a:prstGeom>
      </xdr:spPr>
      <xdr:txBody>
        <a:bodyPr wrap="none" fromWordArt="1">
          <a:prstTxWarp prst="textPlain">
            <a:avLst>
              <a:gd name="adj" fmla="val 50000"/>
            </a:avLst>
          </a:prstTxWarp>
        </a:bodyPr>
        <a:lstStyle/>
        <a:p>
          <a:pPr algn="ctr" rtl="0"/>
          <a:r>
            <a:rPr lang="fr-FR" sz="800" kern="10" spc="0">
              <a:ln w="9525">
                <a:noFill/>
                <a:round/>
                <a:headEnd/>
                <a:tailEnd/>
              </a:ln>
              <a:noFill/>
              <a:effectLst/>
              <a:latin typeface="Arial Black"/>
            </a:rPr>
            <a:t>www.biograce.net</a:t>
          </a:r>
        </a:p>
      </xdr:txBody>
    </xdr:sp>
    <xdr:clientData/>
  </xdr:twoCellAnchor>
  <xdr:twoCellAnchor>
    <xdr:from>
      <xdr:col>11</xdr:col>
      <xdr:colOff>409575</xdr:colOff>
      <xdr:row>0</xdr:row>
      <xdr:rowOff>19050</xdr:rowOff>
    </xdr:from>
    <xdr:to>
      <xdr:col>13</xdr:col>
      <xdr:colOff>600075</xdr:colOff>
      <xdr:row>0</xdr:row>
      <xdr:rowOff>152400</xdr:rowOff>
    </xdr:to>
    <xdr:sp macro="" textlink="">
      <xdr:nvSpPr>
        <xdr:cNvPr id="4104" name="WordArt 8">
          <a:hlinkClick xmlns:r="http://schemas.openxmlformats.org/officeDocument/2006/relationships" r:id="rId6"/>
          <a:extLst>
            <a:ext uri="{FF2B5EF4-FFF2-40B4-BE49-F238E27FC236}">
              <a16:creationId xmlns:a16="http://schemas.microsoft.com/office/drawing/2014/main" id="{00000000-0008-0000-0200-000008100000}"/>
            </a:ext>
          </a:extLst>
        </xdr:cNvPr>
        <xdr:cNvSpPr>
          <a:spLocks noChangeArrowheads="1" noChangeShapeType="1" noTextEdit="1"/>
        </xdr:cNvSpPr>
      </xdr:nvSpPr>
      <xdr:spPr bwMode="auto">
        <a:xfrm>
          <a:off x="14363700" y="19050"/>
          <a:ext cx="1428750" cy="133350"/>
        </a:xfrm>
        <a:prstGeom prst="rect">
          <a:avLst/>
        </a:prstGeom>
      </xdr:spPr>
      <xdr:txBody>
        <a:bodyPr wrap="none" fromWordArt="1">
          <a:prstTxWarp prst="textPlain">
            <a:avLst>
              <a:gd name="adj" fmla="val 50000"/>
            </a:avLst>
          </a:prstTxWarp>
        </a:bodyPr>
        <a:lstStyle/>
        <a:p>
          <a:pPr algn="ctr" rtl="0"/>
          <a:r>
            <a:rPr lang="fr-FR" sz="800" kern="10" spc="0">
              <a:ln w="9525">
                <a:noFill/>
                <a:round/>
                <a:headEnd/>
                <a:tailEnd/>
              </a:ln>
              <a:noFill/>
              <a:effectLst/>
              <a:latin typeface="Arial Black"/>
            </a:rPr>
            <a:t>intelligent energy europe</a:t>
          </a:r>
        </a:p>
      </xdr:txBody>
    </xdr:sp>
    <xdr:clientData/>
  </xdr:twoCellAnchor>
  <xdr:twoCellAnchor>
    <xdr:from>
      <xdr:col>7</xdr:col>
      <xdr:colOff>133350</xdr:colOff>
      <xdr:row>3</xdr:row>
      <xdr:rowOff>0</xdr:rowOff>
    </xdr:from>
    <xdr:to>
      <xdr:col>8</xdr:col>
      <xdr:colOff>19050</xdr:colOff>
      <xdr:row>3</xdr:row>
      <xdr:rowOff>0</xdr:rowOff>
    </xdr:to>
    <xdr:sp macro="" textlink="">
      <xdr:nvSpPr>
        <xdr:cNvPr id="4105" name="WordArt 9">
          <a:hlinkClick xmlns:r="http://schemas.openxmlformats.org/officeDocument/2006/relationships" r:id="rId3"/>
          <a:extLst>
            <a:ext uri="{FF2B5EF4-FFF2-40B4-BE49-F238E27FC236}">
              <a16:creationId xmlns:a16="http://schemas.microsoft.com/office/drawing/2014/main" id="{00000000-0008-0000-0200-000009100000}"/>
            </a:ext>
          </a:extLst>
        </xdr:cNvPr>
        <xdr:cNvSpPr>
          <a:spLocks noChangeArrowheads="1" noChangeShapeType="1" noTextEdit="1"/>
        </xdr:cNvSpPr>
      </xdr:nvSpPr>
      <xdr:spPr bwMode="auto">
        <a:xfrm>
          <a:off x="11649075" y="19878675"/>
          <a:ext cx="495300" cy="180975"/>
        </a:xfrm>
        <a:prstGeom prst="rect">
          <a:avLst/>
        </a:prstGeom>
      </xdr:spPr>
      <xdr:txBody>
        <a:bodyPr wrap="none" fromWordArt="1">
          <a:prstTxWarp prst="textPlain">
            <a:avLst>
              <a:gd name="adj" fmla="val 50000"/>
            </a:avLst>
          </a:prstTxWarp>
        </a:bodyPr>
        <a:lstStyle/>
        <a:p>
          <a:pPr algn="ctr" rtl="0"/>
          <a:r>
            <a:rPr lang="fr-FR" sz="1000" kern="10" spc="0">
              <a:ln w="9525">
                <a:noFill/>
                <a:round/>
                <a:headEnd/>
                <a:tailEnd/>
              </a:ln>
              <a:noFill/>
              <a:effectLst/>
              <a:latin typeface="Arial Black"/>
            </a:rPr>
            <a:t>About</a:t>
          </a:r>
        </a:p>
      </xdr:txBody>
    </xdr:sp>
    <xdr:clientData/>
  </xdr:twoCellAnchor>
  <xdr:twoCellAnchor>
    <xdr:from>
      <xdr:col>2</xdr:col>
      <xdr:colOff>2257425</xdr:colOff>
      <xdr:row>0</xdr:row>
      <xdr:rowOff>38100</xdr:rowOff>
    </xdr:from>
    <xdr:to>
      <xdr:col>2</xdr:col>
      <xdr:colOff>3086100</xdr:colOff>
      <xdr:row>0</xdr:row>
      <xdr:rowOff>133350</xdr:rowOff>
    </xdr:to>
    <xdr:sp macro="" textlink="">
      <xdr:nvSpPr>
        <xdr:cNvPr id="4108" name="WordArt 12">
          <a:hlinkClick xmlns:r="http://schemas.openxmlformats.org/officeDocument/2006/relationships" r:id="rId5"/>
          <a:extLst>
            <a:ext uri="{FF2B5EF4-FFF2-40B4-BE49-F238E27FC236}">
              <a16:creationId xmlns:a16="http://schemas.microsoft.com/office/drawing/2014/main" id="{00000000-0008-0000-0200-00000C100000}"/>
            </a:ext>
          </a:extLst>
        </xdr:cNvPr>
        <xdr:cNvSpPr>
          <a:spLocks noChangeArrowheads="1" noChangeShapeType="1" noTextEdit="1"/>
        </xdr:cNvSpPr>
      </xdr:nvSpPr>
      <xdr:spPr bwMode="auto">
        <a:xfrm>
          <a:off x="3543300" y="38100"/>
          <a:ext cx="828675" cy="95250"/>
        </a:xfrm>
        <a:prstGeom prst="rect">
          <a:avLst/>
        </a:prstGeom>
      </xdr:spPr>
      <xdr:txBody>
        <a:bodyPr wrap="none" fromWordArt="1">
          <a:prstTxWarp prst="textPlain">
            <a:avLst>
              <a:gd name="adj" fmla="val 50000"/>
            </a:avLst>
          </a:prstTxWarp>
        </a:bodyPr>
        <a:lstStyle/>
        <a:p>
          <a:pPr algn="ctr" rtl="0"/>
          <a:r>
            <a:rPr lang="fr-FR" sz="800" kern="10" spc="0">
              <a:ln w="9525">
                <a:noFill/>
                <a:round/>
                <a:headEnd/>
                <a:tailEnd/>
              </a:ln>
              <a:noFill/>
              <a:effectLst/>
              <a:latin typeface="Arial Black"/>
            </a:rPr>
            <a:t>www.biograce.net</a:t>
          </a:r>
        </a:p>
      </xdr:txBody>
    </xdr:sp>
    <xdr:clientData/>
  </xdr:twoCellAnchor>
  <xdr:twoCellAnchor>
    <xdr:from>
      <xdr:col>4</xdr:col>
      <xdr:colOff>2495550</xdr:colOff>
      <xdr:row>0</xdr:row>
      <xdr:rowOff>0</xdr:rowOff>
    </xdr:from>
    <xdr:to>
      <xdr:col>4</xdr:col>
      <xdr:colOff>4162425</xdr:colOff>
      <xdr:row>0</xdr:row>
      <xdr:rowOff>238125</xdr:rowOff>
    </xdr:to>
    <xdr:sp macro="" textlink="">
      <xdr:nvSpPr>
        <xdr:cNvPr id="43018" name="WordArt 13">
          <a:hlinkClick xmlns:r="http://schemas.openxmlformats.org/officeDocument/2006/relationships" r:id="rId6"/>
          <a:extLst>
            <a:ext uri="{FF2B5EF4-FFF2-40B4-BE49-F238E27FC236}">
              <a16:creationId xmlns:a16="http://schemas.microsoft.com/office/drawing/2014/main" id="{00000000-0008-0000-0200-00000AA80000}"/>
            </a:ext>
          </a:extLst>
        </xdr:cNvPr>
        <xdr:cNvSpPr>
          <a:spLocks noChangeArrowheads="1" noChangeShapeType="1" noTextEdit="1"/>
        </xdr:cNvSpPr>
      </xdr:nvSpPr>
      <xdr:spPr bwMode="auto">
        <a:xfrm>
          <a:off x="7829550" y="0"/>
          <a:ext cx="1666875" cy="238125"/>
        </a:xfrm>
        <a:prstGeom prst="rect">
          <a:avLst/>
        </a:prstGeom>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txBody>
        <a:bodyPr vertOverflow="clip" wrap="none" lIns="91440" tIns="45720" rIns="91440" bIns="45720" fromWordArt="1" anchor="t">
          <a:prstTxWarp prst="textPlain">
            <a:avLst>
              <a:gd name="adj" fmla="val 50000"/>
            </a:avLst>
          </a:prstTxWarp>
        </a:bodyPr>
        <a:lstStyle/>
        <a:p>
          <a:pPr algn="ctr" rtl="0">
            <a:buNone/>
          </a:pPr>
          <a:r>
            <a:rPr lang="nl-NL" sz="800" kern="10" cap="small" spc="0">
              <a:ln>
                <a:noFill/>
              </a:ln>
              <a:noFill/>
              <a:latin typeface="Arial Black"/>
            </a:rPr>
            <a:t>intelligent energy europe</a:t>
          </a:r>
        </a:p>
      </xdr:txBody>
    </xdr:sp>
    <xdr:clientData/>
  </xdr:twoCellAnchor>
  <mc:AlternateContent xmlns:mc="http://schemas.openxmlformats.org/markup-compatibility/2006">
    <mc:Choice xmlns:a14="http://schemas.microsoft.com/office/drawing/2010/main" Requires="a14">
      <xdr:twoCellAnchor>
        <xdr:from>
          <xdr:col>4</xdr:col>
          <xdr:colOff>2419350</xdr:colOff>
          <xdr:row>0</xdr:row>
          <xdr:rowOff>523875</xdr:rowOff>
        </xdr:from>
        <xdr:to>
          <xdr:col>4</xdr:col>
          <xdr:colOff>3286125</xdr:colOff>
          <xdr:row>1</xdr:row>
          <xdr:rowOff>0</xdr:rowOff>
        </xdr:to>
        <xdr:sp macro="" textlink="">
          <xdr:nvSpPr>
            <xdr:cNvPr id="43023" name="Label 15" hidden="1">
              <a:extLst>
                <a:ext uri="{63B3BB69-23CF-44E3-9099-C40C66FF867C}">
                  <a14:compatExt spid="_x0000_s43023"/>
                </a:ext>
                <a:ext uri="{FF2B5EF4-FFF2-40B4-BE49-F238E27FC236}">
                  <a16:creationId xmlns:a16="http://schemas.microsoft.com/office/drawing/2014/main" id="{00000000-0008-0000-0200-00000FA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3362325</xdr:colOff>
          <xdr:row>0</xdr:row>
          <xdr:rowOff>523875</xdr:rowOff>
        </xdr:from>
        <xdr:to>
          <xdr:col>4</xdr:col>
          <xdr:colOff>4362450</xdr:colOff>
          <xdr:row>1</xdr:row>
          <xdr:rowOff>0</xdr:rowOff>
        </xdr:to>
        <xdr:sp macro="" textlink="">
          <xdr:nvSpPr>
            <xdr:cNvPr id="43024" name="Label 16" hidden="1">
              <a:extLst>
                <a:ext uri="{63B3BB69-23CF-44E3-9099-C40C66FF867C}">
                  <a14:compatExt spid="_x0000_s43024"/>
                </a:ext>
                <a:ext uri="{FF2B5EF4-FFF2-40B4-BE49-F238E27FC236}">
                  <a16:creationId xmlns:a16="http://schemas.microsoft.com/office/drawing/2014/main" id="{00000000-0008-0000-0200-000010A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twoCellAnchor>
    <xdr:from>
      <xdr:col>4</xdr:col>
      <xdr:colOff>1219200</xdr:colOff>
      <xdr:row>0</xdr:row>
      <xdr:rowOff>85725</xdr:rowOff>
    </xdr:from>
    <xdr:to>
      <xdr:col>4</xdr:col>
      <xdr:colOff>2333625</xdr:colOff>
      <xdr:row>0</xdr:row>
      <xdr:rowOff>266700</xdr:rowOff>
    </xdr:to>
    <xdr:sp macro="" textlink="">
      <xdr:nvSpPr>
        <xdr:cNvPr id="43025" name="WordArt 9">
          <a:hlinkClick xmlns:r="http://schemas.openxmlformats.org/officeDocument/2006/relationships" r:id="rId5"/>
          <a:extLst>
            <a:ext uri="{FF2B5EF4-FFF2-40B4-BE49-F238E27FC236}">
              <a16:creationId xmlns:a16="http://schemas.microsoft.com/office/drawing/2014/main" id="{00000000-0008-0000-0200-000011A80000}"/>
            </a:ext>
          </a:extLst>
        </xdr:cNvPr>
        <xdr:cNvSpPr>
          <a:spLocks noChangeArrowheads="1" noChangeShapeType="1"/>
        </xdr:cNvSpPr>
      </xdr:nvSpPr>
      <xdr:spPr bwMode="auto">
        <a:xfrm>
          <a:off x="6553200" y="85725"/>
          <a:ext cx="1114425" cy="180975"/>
        </a:xfrm>
        <a:prstGeom prst="rect">
          <a:avLst/>
        </a:prstGeom>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txBody>
        <a:bodyPr vertOverflow="clip" wrap="none" lIns="91440" tIns="45720" rIns="91440" bIns="45720" fromWordArt="1" anchor="t">
          <a:prstTxWarp prst="textPlain">
            <a:avLst>
              <a:gd name="adj" fmla="val 50000"/>
            </a:avLst>
          </a:prstTxWarp>
        </a:bodyPr>
        <a:lstStyle/>
        <a:p>
          <a:pPr algn="ctr" rtl="0">
            <a:buNone/>
          </a:pPr>
          <a:r>
            <a:rPr lang="nl-NL" sz="800" kern="10" cap="small" spc="0">
              <a:ln>
                <a:noFill/>
              </a:ln>
              <a:noFill/>
              <a:latin typeface="Arial Black"/>
            </a:rPr>
            <a:t>www.biograce.net</a:t>
          </a:r>
        </a:p>
      </xdr:txBody>
    </xdr:sp>
    <xdr:clientData/>
  </xdr:twoCellAnchor>
  <xdr:twoCellAnchor>
    <xdr:from>
      <xdr:col>4</xdr:col>
      <xdr:colOff>2514600</xdr:colOff>
      <xdr:row>0</xdr:row>
      <xdr:rowOff>9525</xdr:rowOff>
    </xdr:from>
    <xdr:to>
      <xdr:col>4</xdr:col>
      <xdr:colOff>4152900</xdr:colOff>
      <xdr:row>0</xdr:row>
      <xdr:rowOff>219075</xdr:rowOff>
    </xdr:to>
    <xdr:sp macro="" textlink="">
      <xdr:nvSpPr>
        <xdr:cNvPr id="43026" name="WordArt 10">
          <a:hlinkClick xmlns:r="http://schemas.openxmlformats.org/officeDocument/2006/relationships" r:id="rId6"/>
          <a:extLst>
            <a:ext uri="{FF2B5EF4-FFF2-40B4-BE49-F238E27FC236}">
              <a16:creationId xmlns:a16="http://schemas.microsoft.com/office/drawing/2014/main" id="{00000000-0008-0000-0200-000012A80000}"/>
            </a:ext>
          </a:extLst>
        </xdr:cNvPr>
        <xdr:cNvSpPr>
          <a:spLocks noChangeArrowheads="1" noChangeShapeType="1"/>
        </xdr:cNvSpPr>
      </xdr:nvSpPr>
      <xdr:spPr bwMode="auto">
        <a:xfrm>
          <a:off x="7848600" y="9525"/>
          <a:ext cx="1638300" cy="209550"/>
        </a:xfrm>
        <a:prstGeom prst="rect">
          <a:avLst/>
        </a:prstGeom>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txBody>
        <a:bodyPr vertOverflow="clip" wrap="none" lIns="91440" tIns="45720" rIns="91440" bIns="45720" fromWordArt="1" anchor="t">
          <a:prstTxWarp prst="textPlain">
            <a:avLst>
              <a:gd name="adj" fmla="val 50000"/>
            </a:avLst>
          </a:prstTxWarp>
        </a:bodyPr>
        <a:lstStyle/>
        <a:p>
          <a:pPr algn="ctr" rtl="0">
            <a:buNone/>
          </a:pPr>
          <a:r>
            <a:rPr lang="nl-NL" sz="800" kern="10" cap="small" spc="0">
              <a:ln>
                <a:noFill/>
              </a:ln>
              <a:noFill/>
              <a:latin typeface="Arial Black"/>
            </a:rPr>
            <a:t>intelligent energy europe</a:t>
          </a:r>
        </a:p>
      </xdr:txBody>
    </xdr:sp>
    <xdr:clientData/>
  </xdr:twoCellAnchor>
  <mc:AlternateContent xmlns:mc="http://schemas.openxmlformats.org/markup-compatibility/2006">
    <mc:Choice xmlns:a14="http://schemas.microsoft.com/office/drawing/2010/main" Requires="a14">
      <xdr:twoCellAnchor>
        <xdr:from>
          <xdr:col>2</xdr:col>
          <xdr:colOff>2495550</xdr:colOff>
          <xdr:row>18</xdr:row>
          <xdr:rowOff>95250</xdr:rowOff>
        </xdr:from>
        <xdr:to>
          <xdr:col>4</xdr:col>
          <xdr:colOff>533400</xdr:colOff>
          <xdr:row>21</xdr:row>
          <xdr:rowOff>19050</xdr:rowOff>
        </xdr:to>
        <xdr:sp macro="" textlink="">
          <xdr:nvSpPr>
            <xdr:cNvPr id="43027" name="Button 19" hidden="1">
              <a:extLst>
                <a:ext uri="{63B3BB69-23CF-44E3-9099-C40C66FF867C}">
                  <a14:compatExt spid="_x0000_s43027"/>
                </a:ext>
                <a:ext uri="{FF2B5EF4-FFF2-40B4-BE49-F238E27FC236}">
                  <a16:creationId xmlns:a16="http://schemas.microsoft.com/office/drawing/2014/main" id="{00000000-0008-0000-0200-000013A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200" b="1" i="0" u="none" strike="noStrike" baseline="0">
                  <a:solidFill>
                    <a:srgbClr val="000000"/>
                  </a:solidFill>
                  <a:latin typeface="Arial"/>
                  <a:cs typeface="Arial"/>
                </a:rPr>
                <a:t>Click here to continue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3</xdr:col>
      <xdr:colOff>5876925</xdr:colOff>
      <xdr:row>1</xdr:row>
      <xdr:rowOff>19050</xdr:rowOff>
    </xdr:to>
    <xdr:grpSp>
      <xdr:nvGrpSpPr>
        <xdr:cNvPr id="40520" name="Groep 12">
          <a:extLst>
            <a:ext uri="{FF2B5EF4-FFF2-40B4-BE49-F238E27FC236}">
              <a16:creationId xmlns:a16="http://schemas.microsoft.com/office/drawing/2014/main" id="{00000000-0008-0000-0300-0000489E0000}"/>
            </a:ext>
          </a:extLst>
        </xdr:cNvPr>
        <xdr:cNvGrpSpPr>
          <a:grpSpLocks noChangeAspect="1"/>
        </xdr:cNvGrpSpPr>
      </xdr:nvGrpSpPr>
      <xdr:grpSpPr bwMode="auto">
        <a:xfrm>
          <a:off x="0" y="0"/>
          <a:ext cx="10258425" cy="1038225"/>
          <a:chOff x="0" y="0"/>
          <a:chExt cx="12875419" cy="1297781"/>
        </a:xfrm>
      </xdr:grpSpPr>
      <xdr:pic>
        <xdr:nvPicPr>
          <xdr:cNvPr id="40529" name="Picture 14" descr="Header_Calculator_300dpi_2">
            <a:extLst>
              <a:ext uri="{FF2B5EF4-FFF2-40B4-BE49-F238E27FC236}">
                <a16:creationId xmlns:a16="http://schemas.microsoft.com/office/drawing/2014/main" id="{00000000-0008-0000-0300-0000519E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2875419" cy="12977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40530" name="Afbeelding 14">
            <a:extLst>
              <a:ext uri="{FF2B5EF4-FFF2-40B4-BE49-F238E27FC236}">
                <a16:creationId xmlns:a16="http://schemas.microsoft.com/office/drawing/2014/main" id="{00000000-0008-0000-0300-0000529E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7576"/>
          <a:stretch>
            <a:fillRect/>
          </a:stretch>
        </xdr:blipFill>
        <xdr:spPr bwMode="auto">
          <a:xfrm>
            <a:off x="0" y="1"/>
            <a:ext cx="5107781" cy="12891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twoCellAnchor>
    <xdr:from>
      <xdr:col>11</xdr:col>
      <xdr:colOff>76200</xdr:colOff>
      <xdr:row>0</xdr:row>
      <xdr:rowOff>676275</xdr:rowOff>
    </xdr:from>
    <xdr:to>
      <xdr:col>11</xdr:col>
      <xdr:colOff>333375</xdr:colOff>
      <xdr:row>0</xdr:row>
      <xdr:rowOff>828675</xdr:rowOff>
    </xdr:to>
    <xdr:sp macro="" textlink="">
      <xdr:nvSpPr>
        <xdr:cNvPr id="4101" name="WordArt 5">
          <a:hlinkClick xmlns:r="http://schemas.openxmlformats.org/officeDocument/2006/relationships" r:id="rId3"/>
          <a:extLst>
            <a:ext uri="{FF2B5EF4-FFF2-40B4-BE49-F238E27FC236}">
              <a16:creationId xmlns:a16="http://schemas.microsoft.com/office/drawing/2014/main" id="{00000000-0008-0000-0300-000005100000}"/>
            </a:ext>
          </a:extLst>
        </xdr:cNvPr>
        <xdr:cNvSpPr>
          <a:spLocks noChangeArrowheads="1" noChangeShapeType="1" noTextEdit="1"/>
        </xdr:cNvSpPr>
      </xdr:nvSpPr>
      <xdr:spPr bwMode="auto">
        <a:xfrm>
          <a:off x="14639925" y="676275"/>
          <a:ext cx="257175" cy="152400"/>
        </a:xfrm>
        <a:prstGeom prst="rect">
          <a:avLst/>
        </a:prstGeom>
      </xdr:spPr>
      <xdr:txBody>
        <a:bodyPr wrap="none" fromWordArt="1">
          <a:prstTxWarp prst="textPlain">
            <a:avLst>
              <a:gd name="adj" fmla="val 50000"/>
            </a:avLst>
          </a:prstTxWarp>
        </a:bodyPr>
        <a:lstStyle/>
        <a:p>
          <a:pPr algn="ctr" rtl="0"/>
          <a:r>
            <a:rPr lang="fr-FR" sz="1000" kern="10" spc="0">
              <a:ln w="9525">
                <a:noFill/>
                <a:round/>
                <a:headEnd/>
                <a:tailEnd/>
              </a:ln>
              <a:noFill/>
              <a:effectLst/>
              <a:latin typeface="Arial Black"/>
            </a:rPr>
            <a:t>About</a:t>
          </a:r>
        </a:p>
      </xdr:txBody>
    </xdr:sp>
    <xdr:clientData/>
  </xdr:twoCellAnchor>
  <xdr:twoCellAnchor>
    <xdr:from>
      <xdr:col>11</xdr:col>
      <xdr:colOff>609600</xdr:colOff>
      <xdr:row>0</xdr:row>
      <xdr:rowOff>695325</xdr:rowOff>
    </xdr:from>
    <xdr:to>
      <xdr:col>12</xdr:col>
      <xdr:colOff>390525</xdr:colOff>
      <xdr:row>0</xdr:row>
      <xdr:rowOff>828675</xdr:rowOff>
    </xdr:to>
    <xdr:sp macro="" textlink="">
      <xdr:nvSpPr>
        <xdr:cNvPr id="4102" name="WordArt 6">
          <a:hlinkClick xmlns:r="http://schemas.openxmlformats.org/officeDocument/2006/relationships" r:id="rId4"/>
          <a:extLst>
            <a:ext uri="{FF2B5EF4-FFF2-40B4-BE49-F238E27FC236}">
              <a16:creationId xmlns:a16="http://schemas.microsoft.com/office/drawing/2014/main" id="{00000000-0008-0000-0300-000006100000}"/>
            </a:ext>
          </a:extLst>
        </xdr:cNvPr>
        <xdr:cNvSpPr>
          <a:spLocks noChangeArrowheads="1" noChangeShapeType="1" noTextEdit="1"/>
        </xdr:cNvSpPr>
      </xdr:nvSpPr>
      <xdr:spPr bwMode="auto">
        <a:xfrm>
          <a:off x="15173325" y="695325"/>
          <a:ext cx="409575" cy="133350"/>
        </a:xfrm>
        <a:prstGeom prst="rect">
          <a:avLst/>
        </a:prstGeom>
      </xdr:spPr>
      <xdr:txBody>
        <a:bodyPr wrap="none" fromWordArt="1">
          <a:prstTxWarp prst="textPlain">
            <a:avLst>
              <a:gd name="adj" fmla="val 50000"/>
            </a:avLst>
          </a:prstTxWarp>
        </a:bodyPr>
        <a:lstStyle/>
        <a:p>
          <a:pPr algn="ctr" rtl="0"/>
          <a:r>
            <a:rPr lang="fr-FR" sz="1000" kern="10" spc="0">
              <a:ln w="9525">
                <a:noFill/>
                <a:round/>
                <a:headEnd/>
                <a:tailEnd/>
              </a:ln>
              <a:noFill/>
              <a:effectLst/>
              <a:latin typeface="Arial Black"/>
            </a:rPr>
            <a:t>Directory</a:t>
          </a:r>
        </a:p>
      </xdr:txBody>
    </xdr:sp>
    <xdr:clientData/>
  </xdr:twoCellAnchor>
  <xdr:twoCellAnchor>
    <xdr:from>
      <xdr:col>8</xdr:col>
      <xdr:colOff>571500</xdr:colOff>
      <xdr:row>0</xdr:row>
      <xdr:rowOff>66675</xdr:rowOff>
    </xdr:from>
    <xdr:to>
      <xdr:col>10</xdr:col>
      <xdr:colOff>304800</xdr:colOff>
      <xdr:row>0</xdr:row>
      <xdr:rowOff>190500</xdr:rowOff>
    </xdr:to>
    <xdr:sp macro="" textlink="">
      <xdr:nvSpPr>
        <xdr:cNvPr id="4103" name="WordArt 7">
          <a:hlinkClick xmlns:r="http://schemas.openxmlformats.org/officeDocument/2006/relationships" r:id="rId5"/>
          <a:extLst>
            <a:ext uri="{FF2B5EF4-FFF2-40B4-BE49-F238E27FC236}">
              <a16:creationId xmlns:a16="http://schemas.microsoft.com/office/drawing/2014/main" id="{00000000-0008-0000-0300-000007100000}"/>
            </a:ext>
          </a:extLst>
        </xdr:cNvPr>
        <xdr:cNvSpPr>
          <a:spLocks noChangeArrowheads="1" noChangeShapeType="1" noTextEdit="1"/>
        </xdr:cNvSpPr>
      </xdr:nvSpPr>
      <xdr:spPr bwMode="auto">
        <a:xfrm>
          <a:off x="13306425" y="66675"/>
          <a:ext cx="952500" cy="123825"/>
        </a:xfrm>
        <a:prstGeom prst="rect">
          <a:avLst/>
        </a:prstGeom>
      </xdr:spPr>
      <xdr:txBody>
        <a:bodyPr wrap="none" fromWordArt="1">
          <a:prstTxWarp prst="textPlain">
            <a:avLst>
              <a:gd name="adj" fmla="val 50000"/>
            </a:avLst>
          </a:prstTxWarp>
        </a:bodyPr>
        <a:lstStyle/>
        <a:p>
          <a:pPr algn="ctr" rtl="0"/>
          <a:r>
            <a:rPr lang="fr-FR" sz="800" kern="10" spc="0">
              <a:ln w="9525">
                <a:noFill/>
                <a:round/>
                <a:headEnd/>
                <a:tailEnd/>
              </a:ln>
              <a:noFill/>
              <a:effectLst/>
              <a:latin typeface="Arial Black"/>
            </a:rPr>
            <a:t>www.biograce.net</a:t>
          </a:r>
        </a:p>
      </xdr:txBody>
    </xdr:sp>
    <xdr:clientData/>
  </xdr:twoCellAnchor>
  <xdr:twoCellAnchor>
    <xdr:from>
      <xdr:col>10</xdr:col>
      <xdr:colOff>409575</xdr:colOff>
      <xdr:row>0</xdr:row>
      <xdr:rowOff>19050</xdr:rowOff>
    </xdr:from>
    <xdr:to>
      <xdr:col>12</xdr:col>
      <xdr:colOff>600075</xdr:colOff>
      <xdr:row>0</xdr:row>
      <xdr:rowOff>152400</xdr:rowOff>
    </xdr:to>
    <xdr:sp macro="" textlink="">
      <xdr:nvSpPr>
        <xdr:cNvPr id="4104" name="WordArt 8">
          <a:hlinkClick xmlns:r="http://schemas.openxmlformats.org/officeDocument/2006/relationships" r:id="rId6"/>
          <a:extLst>
            <a:ext uri="{FF2B5EF4-FFF2-40B4-BE49-F238E27FC236}">
              <a16:creationId xmlns:a16="http://schemas.microsoft.com/office/drawing/2014/main" id="{00000000-0008-0000-0300-000008100000}"/>
            </a:ext>
          </a:extLst>
        </xdr:cNvPr>
        <xdr:cNvSpPr>
          <a:spLocks noChangeArrowheads="1" noChangeShapeType="1" noTextEdit="1"/>
        </xdr:cNvSpPr>
      </xdr:nvSpPr>
      <xdr:spPr bwMode="auto">
        <a:xfrm>
          <a:off x="14363700" y="19050"/>
          <a:ext cx="1428750" cy="133350"/>
        </a:xfrm>
        <a:prstGeom prst="rect">
          <a:avLst/>
        </a:prstGeom>
      </xdr:spPr>
      <xdr:txBody>
        <a:bodyPr wrap="none" fromWordArt="1">
          <a:prstTxWarp prst="textPlain">
            <a:avLst>
              <a:gd name="adj" fmla="val 50000"/>
            </a:avLst>
          </a:prstTxWarp>
        </a:bodyPr>
        <a:lstStyle/>
        <a:p>
          <a:pPr algn="ctr" rtl="0"/>
          <a:r>
            <a:rPr lang="fr-FR" sz="800" kern="10" spc="0">
              <a:ln w="9525">
                <a:noFill/>
                <a:round/>
                <a:headEnd/>
                <a:tailEnd/>
              </a:ln>
              <a:noFill/>
              <a:effectLst/>
              <a:latin typeface="Arial Black"/>
            </a:rPr>
            <a:t>intelligent energy europe</a:t>
          </a:r>
        </a:p>
      </xdr:txBody>
    </xdr:sp>
    <xdr:clientData/>
  </xdr:twoCellAnchor>
  <xdr:twoCellAnchor>
    <xdr:from>
      <xdr:col>6</xdr:col>
      <xdr:colOff>133350</xdr:colOff>
      <xdr:row>88</xdr:row>
      <xdr:rowOff>38100</xdr:rowOff>
    </xdr:from>
    <xdr:to>
      <xdr:col>7</xdr:col>
      <xdr:colOff>19050</xdr:colOff>
      <xdr:row>88</xdr:row>
      <xdr:rowOff>219075</xdr:rowOff>
    </xdr:to>
    <xdr:sp macro="" textlink="">
      <xdr:nvSpPr>
        <xdr:cNvPr id="4105" name="WordArt 9">
          <a:hlinkClick xmlns:r="http://schemas.openxmlformats.org/officeDocument/2006/relationships" r:id="rId3"/>
          <a:extLst>
            <a:ext uri="{FF2B5EF4-FFF2-40B4-BE49-F238E27FC236}">
              <a16:creationId xmlns:a16="http://schemas.microsoft.com/office/drawing/2014/main" id="{00000000-0008-0000-0300-000009100000}"/>
            </a:ext>
          </a:extLst>
        </xdr:cNvPr>
        <xdr:cNvSpPr>
          <a:spLocks noChangeArrowheads="1" noChangeShapeType="1" noTextEdit="1"/>
        </xdr:cNvSpPr>
      </xdr:nvSpPr>
      <xdr:spPr bwMode="auto">
        <a:xfrm>
          <a:off x="11649075" y="19878675"/>
          <a:ext cx="495300" cy="180975"/>
        </a:xfrm>
        <a:prstGeom prst="rect">
          <a:avLst/>
        </a:prstGeom>
      </xdr:spPr>
      <xdr:txBody>
        <a:bodyPr wrap="none" fromWordArt="1">
          <a:prstTxWarp prst="textPlain">
            <a:avLst>
              <a:gd name="adj" fmla="val 50000"/>
            </a:avLst>
          </a:prstTxWarp>
        </a:bodyPr>
        <a:lstStyle/>
        <a:p>
          <a:pPr algn="ctr" rtl="0"/>
          <a:r>
            <a:rPr lang="fr-FR" sz="1000" kern="10" spc="0">
              <a:ln w="9525">
                <a:noFill/>
                <a:round/>
                <a:headEnd/>
                <a:tailEnd/>
              </a:ln>
              <a:noFill/>
              <a:effectLst/>
              <a:latin typeface="Arial Black"/>
            </a:rPr>
            <a:t>About</a:t>
          </a:r>
        </a:p>
      </xdr:txBody>
    </xdr:sp>
    <xdr:clientData/>
  </xdr:twoCellAnchor>
  <xdr:twoCellAnchor>
    <xdr:from>
      <xdr:col>2</xdr:col>
      <xdr:colOff>2257425</xdr:colOff>
      <xdr:row>0</xdr:row>
      <xdr:rowOff>38100</xdr:rowOff>
    </xdr:from>
    <xdr:to>
      <xdr:col>2</xdr:col>
      <xdr:colOff>3086100</xdr:colOff>
      <xdr:row>0</xdr:row>
      <xdr:rowOff>133350</xdr:rowOff>
    </xdr:to>
    <xdr:sp macro="" textlink="">
      <xdr:nvSpPr>
        <xdr:cNvPr id="4108" name="WordArt 12">
          <a:hlinkClick xmlns:r="http://schemas.openxmlformats.org/officeDocument/2006/relationships" r:id="rId5"/>
          <a:extLst>
            <a:ext uri="{FF2B5EF4-FFF2-40B4-BE49-F238E27FC236}">
              <a16:creationId xmlns:a16="http://schemas.microsoft.com/office/drawing/2014/main" id="{00000000-0008-0000-0300-00000C100000}"/>
            </a:ext>
          </a:extLst>
        </xdr:cNvPr>
        <xdr:cNvSpPr>
          <a:spLocks noChangeArrowheads="1" noChangeShapeType="1" noTextEdit="1"/>
        </xdr:cNvSpPr>
      </xdr:nvSpPr>
      <xdr:spPr bwMode="auto">
        <a:xfrm>
          <a:off x="3543300" y="38100"/>
          <a:ext cx="828675" cy="95250"/>
        </a:xfrm>
        <a:prstGeom prst="rect">
          <a:avLst/>
        </a:prstGeom>
      </xdr:spPr>
      <xdr:txBody>
        <a:bodyPr wrap="none" fromWordArt="1">
          <a:prstTxWarp prst="textPlain">
            <a:avLst>
              <a:gd name="adj" fmla="val 50000"/>
            </a:avLst>
          </a:prstTxWarp>
        </a:bodyPr>
        <a:lstStyle/>
        <a:p>
          <a:pPr algn="ctr" rtl="0"/>
          <a:r>
            <a:rPr lang="fr-FR" sz="800" kern="10" spc="0">
              <a:ln w="9525">
                <a:noFill/>
                <a:round/>
                <a:headEnd/>
                <a:tailEnd/>
              </a:ln>
              <a:noFill/>
              <a:effectLst/>
              <a:latin typeface="Arial Black"/>
            </a:rPr>
            <a:t>www.biograce.net</a:t>
          </a:r>
        </a:p>
      </xdr:txBody>
    </xdr:sp>
    <xdr:clientData/>
  </xdr:twoCellAnchor>
  <xdr:twoCellAnchor>
    <xdr:from>
      <xdr:col>3</xdr:col>
      <xdr:colOff>3476625</xdr:colOff>
      <xdr:row>0</xdr:row>
      <xdr:rowOff>9525</xdr:rowOff>
    </xdr:from>
    <xdr:to>
      <xdr:col>3</xdr:col>
      <xdr:colOff>5124450</xdr:colOff>
      <xdr:row>0</xdr:row>
      <xdr:rowOff>228600</xdr:rowOff>
    </xdr:to>
    <xdr:sp macro="" textlink="">
      <xdr:nvSpPr>
        <xdr:cNvPr id="40248" name="WordArt 13">
          <a:hlinkClick xmlns:r="http://schemas.openxmlformats.org/officeDocument/2006/relationships" r:id="rId6"/>
          <a:extLst>
            <a:ext uri="{FF2B5EF4-FFF2-40B4-BE49-F238E27FC236}">
              <a16:creationId xmlns:a16="http://schemas.microsoft.com/office/drawing/2014/main" id="{00000000-0008-0000-0300-0000389D0000}"/>
            </a:ext>
          </a:extLst>
        </xdr:cNvPr>
        <xdr:cNvSpPr>
          <a:spLocks noChangeArrowheads="1" noChangeShapeType="1" noTextEdit="1"/>
        </xdr:cNvSpPr>
      </xdr:nvSpPr>
      <xdr:spPr bwMode="auto">
        <a:xfrm>
          <a:off x="7858125" y="9525"/>
          <a:ext cx="1647825" cy="219075"/>
        </a:xfrm>
        <a:prstGeom prst="rect">
          <a:avLst/>
        </a:prstGeom>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txBody>
        <a:bodyPr vertOverflow="clip" wrap="none" lIns="91440" tIns="45720" rIns="91440" bIns="45720" fromWordArt="1" anchor="t">
          <a:prstTxWarp prst="textPlain">
            <a:avLst>
              <a:gd name="adj" fmla="val 50000"/>
            </a:avLst>
          </a:prstTxWarp>
        </a:bodyPr>
        <a:lstStyle/>
        <a:p>
          <a:pPr algn="ctr" rtl="0">
            <a:buNone/>
          </a:pPr>
          <a:r>
            <a:rPr lang="nl-NL" sz="800" kern="10" cap="small" spc="0">
              <a:ln>
                <a:noFill/>
              </a:ln>
              <a:noFill/>
              <a:latin typeface="Arial Black"/>
            </a:rPr>
            <a:t>intelligent energy europe</a:t>
          </a:r>
        </a:p>
      </xdr:txBody>
    </xdr:sp>
    <xdr:clientData/>
  </xdr:twoCellAnchor>
  <xdr:twoCellAnchor>
    <xdr:from>
      <xdr:col>0</xdr:col>
      <xdr:colOff>9525</xdr:colOff>
      <xdr:row>114</xdr:row>
      <xdr:rowOff>123825</xdr:rowOff>
    </xdr:from>
    <xdr:to>
      <xdr:col>2</xdr:col>
      <xdr:colOff>2247900</xdr:colOff>
      <xdr:row>119</xdr:row>
      <xdr:rowOff>0</xdr:rowOff>
    </xdr:to>
    <xdr:pic>
      <xdr:nvPicPr>
        <xdr:cNvPr id="40528" name="Picture 16" descr="IEE banner">
          <a:extLst>
            <a:ext uri="{FF2B5EF4-FFF2-40B4-BE49-F238E27FC236}">
              <a16:creationId xmlns:a16="http://schemas.microsoft.com/office/drawing/2014/main" id="{00000000-0008-0000-0300-0000509E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9525" y="26108025"/>
          <a:ext cx="3524250" cy="685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xdr:col>
          <xdr:colOff>3371850</xdr:colOff>
          <xdr:row>0</xdr:row>
          <xdr:rowOff>523875</xdr:rowOff>
        </xdr:from>
        <xdr:to>
          <xdr:col>3</xdr:col>
          <xdr:colOff>4238625</xdr:colOff>
          <xdr:row>1</xdr:row>
          <xdr:rowOff>0</xdr:rowOff>
        </xdr:to>
        <xdr:sp macro="" textlink="">
          <xdr:nvSpPr>
            <xdr:cNvPr id="40254" name="Label 1342" hidden="1">
              <a:extLst>
                <a:ext uri="{63B3BB69-23CF-44E3-9099-C40C66FF867C}">
                  <a14:compatExt spid="_x0000_s40254"/>
                </a:ext>
                <a:ext uri="{FF2B5EF4-FFF2-40B4-BE49-F238E27FC236}">
                  <a16:creationId xmlns:a16="http://schemas.microsoft.com/office/drawing/2014/main" id="{00000000-0008-0000-0300-00003E9D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4314825</xdr:colOff>
          <xdr:row>0</xdr:row>
          <xdr:rowOff>523875</xdr:rowOff>
        </xdr:from>
        <xdr:to>
          <xdr:col>3</xdr:col>
          <xdr:colOff>5314950</xdr:colOff>
          <xdr:row>1</xdr:row>
          <xdr:rowOff>0</xdr:rowOff>
        </xdr:to>
        <xdr:sp macro="" textlink="">
          <xdr:nvSpPr>
            <xdr:cNvPr id="40255" name="Label 1343" hidden="1">
              <a:extLst>
                <a:ext uri="{63B3BB69-23CF-44E3-9099-C40C66FF867C}">
                  <a14:compatExt spid="_x0000_s40255"/>
                </a:ext>
                <a:ext uri="{FF2B5EF4-FFF2-40B4-BE49-F238E27FC236}">
                  <a16:creationId xmlns:a16="http://schemas.microsoft.com/office/drawing/2014/main" id="{00000000-0008-0000-0300-00003F9D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8</xdr:col>
      <xdr:colOff>1257300</xdr:colOff>
      <xdr:row>1</xdr:row>
      <xdr:rowOff>0</xdr:rowOff>
    </xdr:to>
    <xdr:grpSp>
      <xdr:nvGrpSpPr>
        <xdr:cNvPr id="42154" name="Groep 6">
          <a:extLst>
            <a:ext uri="{FF2B5EF4-FFF2-40B4-BE49-F238E27FC236}">
              <a16:creationId xmlns:a16="http://schemas.microsoft.com/office/drawing/2014/main" id="{00000000-0008-0000-0400-0000AAA40000}"/>
            </a:ext>
          </a:extLst>
        </xdr:cNvPr>
        <xdr:cNvGrpSpPr>
          <a:grpSpLocks/>
        </xdr:cNvGrpSpPr>
      </xdr:nvGrpSpPr>
      <xdr:grpSpPr bwMode="auto">
        <a:xfrm>
          <a:off x="0" y="0"/>
          <a:ext cx="12877800" cy="1297781"/>
          <a:chOff x="0" y="0"/>
          <a:chExt cx="12875419" cy="1297781"/>
        </a:xfrm>
      </xdr:grpSpPr>
      <xdr:pic>
        <xdr:nvPicPr>
          <xdr:cNvPr id="42157" name="Picture 14" descr="Header_Calculator_300dpi_2">
            <a:extLst>
              <a:ext uri="{FF2B5EF4-FFF2-40B4-BE49-F238E27FC236}">
                <a16:creationId xmlns:a16="http://schemas.microsoft.com/office/drawing/2014/main" id="{00000000-0008-0000-0400-0000ADA4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2875419" cy="12977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42158" name="Afbeelding 8">
            <a:extLst>
              <a:ext uri="{FF2B5EF4-FFF2-40B4-BE49-F238E27FC236}">
                <a16:creationId xmlns:a16="http://schemas.microsoft.com/office/drawing/2014/main" id="{00000000-0008-0000-0400-0000AEA4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7576"/>
          <a:stretch>
            <a:fillRect/>
          </a:stretch>
        </xdr:blipFill>
        <xdr:spPr bwMode="auto">
          <a:xfrm>
            <a:off x="0" y="1"/>
            <a:ext cx="5107781" cy="12891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twoCellAnchor>
    <xdr:from>
      <xdr:col>4</xdr:col>
      <xdr:colOff>1371600</xdr:colOff>
      <xdr:row>0</xdr:row>
      <xdr:rowOff>85725</xdr:rowOff>
    </xdr:from>
    <xdr:to>
      <xdr:col>4</xdr:col>
      <xdr:colOff>2857500</xdr:colOff>
      <xdr:row>0</xdr:row>
      <xdr:rowOff>342900</xdr:rowOff>
    </xdr:to>
    <xdr:sp macro="" textlink="">
      <xdr:nvSpPr>
        <xdr:cNvPr id="42052" name="WordArt 9">
          <a:hlinkClick xmlns:r="http://schemas.openxmlformats.org/officeDocument/2006/relationships" r:id="rId3"/>
          <a:extLst>
            <a:ext uri="{FF2B5EF4-FFF2-40B4-BE49-F238E27FC236}">
              <a16:creationId xmlns:a16="http://schemas.microsoft.com/office/drawing/2014/main" id="{00000000-0008-0000-0400-000044A40000}"/>
            </a:ext>
          </a:extLst>
        </xdr:cNvPr>
        <xdr:cNvSpPr>
          <a:spLocks noChangeArrowheads="1" noChangeShapeType="1" noTextEdit="1"/>
        </xdr:cNvSpPr>
      </xdr:nvSpPr>
      <xdr:spPr bwMode="auto">
        <a:xfrm>
          <a:off x="8124825" y="85725"/>
          <a:ext cx="1485900" cy="257175"/>
        </a:xfrm>
        <a:prstGeom prst="rect">
          <a:avLst/>
        </a:prstGeom>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txBody>
        <a:bodyPr vertOverflow="clip" wrap="none" lIns="91440" tIns="45720" rIns="91440" bIns="45720" fromWordArt="1" anchor="t">
          <a:prstTxWarp prst="textPlain">
            <a:avLst>
              <a:gd name="adj" fmla="val 50000"/>
            </a:avLst>
          </a:prstTxWarp>
        </a:bodyPr>
        <a:lstStyle/>
        <a:p>
          <a:pPr algn="ctr" rtl="0">
            <a:buNone/>
          </a:pPr>
          <a:r>
            <a:rPr lang="nl-NL" sz="800" kern="10" cap="small" spc="0">
              <a:ln>
                <a:noFill/>
              </a:ln>
              <a:noFill/>
              <a:latin typeface="Arial Black"/>
            </a:rPr>
            <a:t>www.biograce.net</a:t>
          </a:r>
        </a:p>
      </xdr:txBody>
    </xdr:sp>
    <xdr:clientData/>
  </xdr:twoCellAnchor>
  <xdr:twoCellAnchor>
    <xdr:from>
      <xdr:col>5</xdr:col>
      <xdr:colOff>57150</xdr:colOff>
      <xdr:row>0</xdr:row>
      <xdr:rowOff>19050</xdr:rowOff>
    </xdr:from>
    <xdr:to>
      <xdr:col>8</xdr:col>
      <xdr:colOff>247650</xdr:colOff>
      <xdr:row>0</xdr:row>
      <xdr:rowOff>285750</xdr:rowOff>
    </xdr:to>
    <xdr:sp macro="" textlink="">
      <xdr:nvSpPr>
        <xdr:cNvPr id="42053" name="WordArt 10">
          <a:hlinkClick xmlns:r="http://schemas.openxmlformats.org/officeDocument/2006/relationships" r:id="rId4"/>
          <a:extLst>
            <a:ext uri="{FF2B5EF4-FFF2-40B4-BE49-F238E27FC236}">
              <a16:creationId xmlns:a16="http://schemas.microsoft.com/office/drawing/2014/main" id="{00000000-0008-0000-0400-000045A40000}"/>
            </a:ext>
          </a:extLst>
        </xdr:cNvPr>
        <xdr:cNvSpPr>
          <a:spLocks noChangeArrowheads="1" noChangeShapeType="1" noTextEdit="1"/>
        </xdr:cNvSpPr>
      </xdr:nvSpPr>
      <xdr:spPr bwMode="auto">
        <a:xfrm>
          <a:off x="9782175" y="19050"/>
          <a:ext cx="2066925" cy="266700"/>
        </a:xfrm>
        <a:prstGeom prst="rect">
          <a:avLst/>
        </a:prstGeom>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txBody>
        <a:bodyPr vertOverflow="clip" wrap="none" lIns="91440" tIns="45720" rIns="91440" bIns="45720" fromWordArt="1" anchor="t">
          <a:prstTxWarp prst="textPlain">
            <a:avLst>
              <a:gd name="adj" fmla="val 50000"/>
            </a:avLst>
          </a:prstTxWarp>
        </a:bodyPr>
        <a:lstStyle/>
        <a:p>
          <a:pPr algn="ctr" rtl="0">
            <a:buNone/>
          </a:pPr>
          <a:r>
            <a:rPr lang="nl-NL" sz="800" kern="10" cap="small" spc="0">
              <a:ln>
                <a:noFill/>
              </a:ln>
              <a:noFill/>
              <a:latin typeface="Arial Black"/>
            </a:rPr>
            <a:t>intelligent energy europe</a:t>
          </a:r>
        </a:p>
      </xdr:txBody>
    </xdr:sp>
    <xdr:clientData/>
  </xdr:twoCellAnchor>
  <mc:AlternateContent xmlns:mc="http://schemas.openxmlformats.org/markup-compatibility/2006">
    <mc:Choice xmlns:a14="http://schemas.microsoft.com/office/drawing/2010/main" Requires="a14">
      <xdr:twoCellAnchor>
        <xdr:from>
          <xdr:col>5</xdr:col>
          <xdr:colOff>180975</xdr:colOff>
          <xdr:row>0</xdr:row>
          <xdr:rowOff>790575</xdr:rowOff>
        </xdr:from>
        <xdr:to>
          <xdr:col>7</xdr:col>
          <xdr:colOff>247650</xdr:colOff>
          <xdr:row>0</xdr:row>
          <xdr:rowOff>1285875</xdr:rowOff>
        </xdr:to>
        <xdr:sp macro="" textlink="">
          <xdr:nvSpPr>
            <xdr:cNvPr id="42058" name="Label 1098" hidden="1">
              <a:extLst>
                <a:ext uri="{63B3BB69-23CF-44E3-9099-C40C66FF867C}">
                  <a14:compatExt spid="_x0000_s42058"/>
                </a:ext>
                <a:ext uri="{FF2B5EF4-FFF2-40B4-BE49-F238E27FC236}">
                  <a16:creationId xmlns:a16="http://schemas.microsoft.com/office/drawing/2014/main" id="{00000000-0008-0000-0400-00004AA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323850</xdr:colOff>
          <xdr:row>0</xdr:row>
          <xdr:rowOff>790575</xdr:rowOff>
        </xdr:from>
        <xdr:to>
          <xdr:col>8</xdr:col>
          <xdr:colOff>247650</xdr:colOff>
          <xdr:row>0</xdr:row>
          <xdr:rowOff>1285875</xdr:rowOff>
        </xdr:to>
        <xdr:sp macro="" textlink="">
          <xdr:nvSpPr>
            <xdr:cNvPr id="42059" name="Label 1099" hidden="1">
              <a:extLst>
                <a:ext uri="{63B3BB69-23CF-44E3-9099-C40C66FF867C}">
                  <a14:compatExt spid="_x0000_s42059"/>
                </a:ext>
                <a:ext uri="{FF2B5EF4-FFF2-40B4-BE49-F238E27FC236}">
                  <a16:creationId xmlns:a16="http://schemas.microsoft.com/office/drawing/2014/main" id="{00000000-0008-0000-0400-00004BA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11</xdr:col>
      <xdr:colOff>6115050</xdr:colOff>
      <xdr:row>1</xdr:row>
      <xdr:rowOff>19050</xdr:rowOff>
    </xdr:to>
    <xdr:grpSp>
      <xdr:nvGrpSpPr>
        <xdr:cNvPr id="26187" name="Groep 8">
          <a:extLst>
            <a:ext uri="{FF2B5EF4-FFF2-40B4-BE49-F238E27FC236}">
              <a16:creationId xmlns:a16="http://schemas.microsoft.com/office/drawing/2014/main" id="{00000000-0008-0000-0500-00004B660000}"/>
            </a:ext>
          </a:extLst>
        </xdr:cNvPr>
        <xdr:cNvGrpSpPr>
          <a:grpSpLocks noChangeAspect="1"/>
        </xdr:cNvGrpSpPr>
      </xdr:nvGrpSpPr>
      <xdr:grpSpPr bwMode="auto">
        <a:xfrm>
          <a:off x="0" y="0"/>
          <a:ext cx="14175581" cy="1423988"/>
          <a:chOff x="0" y="0"/>
          <a:chExt cx="12875419" cy="1297781"/>
        </a:xfrm>
      </xdr:grpSpPr>
      <xdr:pic>
        <xdr:nvPicPr>
          <xdr:cNvPr id="26191" name="Picture 14" descr="Header_Calculator_300dpi_2">
            <a:extLst>
              <a:ext uri="{FF2B5EF4-FFF2-40B4-BE49-F238E27FC236}">
                <a16:creationId xmlns:a16="http://schemas.microsoft.com/office/drawing/2014/main" id="{00000000-0008-0000-0500-00004F66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2875419" cy="12977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26192" name="Afbeelding 10">
            <a:extLst>
              <a:ext uri="{FF2B5EF4-FFF2-40B4-BE49-F238E27FC236}">
                <a16:creationId xmlns:a16="http://schemas.microsoft.com/office/drawing/2014/main" id="{00000000-0008-0000-0500-00005066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7576"/>
          <a:stretch>
            <a:fillRect/>
          </a:stretch>
        </xdr:blipFill>
        <xdr:spPr bwMode="auto">
          <a:xfrm>
            <a:off x="0" y="1"/>
            <a:ext cx="5107781" cy="12891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twoCellAnchor>
    <xdr:from>
      <xdr:col>11</xdr:col>
      <xdr:colOff>4548188</xdr:colOff>
      <xdr:row>40</xdr:row>
      <xdr:rowOff>250032</xdr:rowOff>
    </xdr:from>
    <xdr:to>
      <xdr:col>12</xdr:col>
      <xdr:colOff>250032</xdr:colOff>
      <xdr:row>40</xdr:row>
      <xdr:rowOff>251622</xdr:rowOff>
    </xdr:to>
    <xdr:cxnSp macro="">
      <xdr:nvCxnSpPr>
        <xdr:cNvPr id="6" name="Connecteur droit avec flèche 5">
          <a:extLst>
            <a:ext uri="{FF2B5EF4-FFF2-40B4-BE49-F238E27FC236}">
              <a16:creationId xmlns:a16="http://schemas.microsoft.com/office/drawing/2014/main" id="{00000000-0008-0000-0500-000006000000}"/>
            </a:ext>
          </a:extLst>
        </xdr:cNvPr>
        <xdr:cNvCxnSpPr/>
      </xdr:nvCxnSpPr>
      <xdr:spPr>
        <a:xfrm>
          <a:off x="12561094" y="9358313"/>
          <a:ext cx="1821657" cy="1590"/>
        </a:xfrm>
        <a:prstGeom prst="straightConnector1">
          <a:avLst/>
        </a:prstGeom>
        <a:ln w="25400">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3</xdr:col>
          <xdr:colOff>742950</xdr:colOff>
          <xdr:row>20</xdr:row>
          <xdr:rowOff>200025</xdr:rowOff>
        </xdr:from>
        <xdr:to>
          <xdr:col>7</xdr:col>
          <xdr:colOff>219075</xdr:colOff>
          <xdr:row>22</xdr:row>
          <xdr:rowOff>9525</xdr:rowOff>
        </xdr:to>
        <xdr:sp macro="" textlink="">
          <xdr:nvSpPr>
            <xdr:cNvPr id="25827" name="ComboBox1" hidden="1">
              <a:extLst>
                <a:ext uri="{63B3BB69-23CF-44E3-9099-C40C66FF867C}">
                  <a14:compatExt spid="_x0000_s25827"/>
                </a:ext>
                <a:ext uri="{FF2B5EF4-FFF2-40B4-BE49-F238E27FC236}">
                  <a16:creationId xmlns:a16="http://schemas.microsoft.com/office/drawing/2014/main" id="{00000000-0008-0000-0500-0000E3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11</xdr:col>
          <xdr:colOff>2952750</xdr:colOff>
          <xdr:row>0</xdr:row>
          <xdr:rowOff>800100</xdr:rowOff>
        </xdr:from>
        <xdr:to>
          <xdr:col>11</xdr:col>
          <xdr:colOff>3819525</xdr:colOff>
          <xdr:row>0</xdr:row>
          <xdr:rowOff>1295400</xdr:rowOff>
        </xdr:to>
        <xdr:sp macro="" textlink="">
          <xdr:nvSpPr>
            <xdr:cNvPr id="26061" name="Label 461" hidden="1">
              <a:extLst>
                <a:ext uri="{63B3BB69-23CF-44E3-9099-C40C66FF867C}">
                  <a14:compatExt spid="_x0000_s26061"/>
                </a:ext>
                <a:ext uri="{FF2B5EF4-FFF2-40B4-BE49-F238E27FC236}">
                  <a16:creationId xmlns:a16="http://schemas.microsoft.com/office/drawing/2014/main" id="{00000000-0008-0000-0500-0000CD65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3895725</xdr:colOff>
          <xdr:row>0</xdr:row>
          <xdr:rowOff>800100</xdr:rowOff>
        </xdr:from>
        <xdr:to>
          <xdr:col>11</xdr:col>
          <xdr:colOff>4895850</xdr:colOff>
          <xdr:row>0</xdr:row>
          <xdr:rowOff>1295400</xdr:rowOff>
        </xdr:to>
        <xdr:sp macro="" textlink="">
          <xdr:nvSpPr>
            <xdr:cNvPr id="26062" name="Label 462" hidden="1">
              <a:extLst>
                <a:ext uri="{63B3BB69-23CF-44E3-9099-C40C66FF867C}">
                  <a14:compatExt spid="_x0000_s26062"/>
                </a:ext>
                <a:ext uri="{FF2B5EF4-FFF2-40B4-BE49-F238E27FC236}">
                  <a16:creationId xmlns:a16="http://schemas.microsoft.com/office/drawing/2014/main" id="{00000000-0008-0000-0500-0000CE65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twoCellAnchor>
    <xdr:from>
      <xdr:col>11</xdr:col>
      <xdr:colOff>914400</xdr:colOff>
      <xdr:row>0</xdr:row>
      <xdr:rowOff>123825</xdr:rowOff>
    </xdr:from>
    <xdr:to>
      <xdr:col>11</xdr:col>
      <xdr:colOff>2486025</xdr:colOff>
      <xdr:row>0</xdr:row>
      <xdr:rowOff>333375</xdr:rowOff>
    </xdr:to>
    <xdr:sp macro="" textlink="">
      <xdr:nvSpPr>
        <xdr:cNvPr id="26063" name="WordArt 15">
          <a:hlinkClick xmlns:r="http://schemas.openxmlformats.org/officeDocument/2006/relationships" r:id="rId3"/>
          <a:extLst>
            <a:ext uri="{FF2B5EF4-FFF2-40B4-BE49-F238E27FC236}">
              <a16:creationId xmlns:a16="http://schemas.microsoft.com/office/drawing/2014/main" id="{00000000-0008-0000-0500-0000CF650000}"/>
            </a:ext>
          </a:extLst>
        </xdr:cNvPr>
        <xdr:cNvSpPr>
          <a:spLocks noChangeArrowheads="1" noChangeShapeType="1"/>
        </xdr:cNvSpPr>
      </xdr:nvSpPr>
      <xdr:spPr bwMode="auto">
        <a:xfrm>
          <a:off x="8982075" y="123825"/>
          <a:ext cx="1571625" cy="209550"/>
        </a:xfrm>
        <a:prstGeom prst="rect">
          <a:avLst/>
        </a:prstGeom>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txBody>
        <a:bodyPr vertOverflow="clip" wrap="none" lIns="91440" tIns="45720" rIns="91440" bIns="45720" fromWordArt="1" anchor="t">
          <a:prstTxWarp prst="textPlain">
            <a:avLst>
              <a:gd name="adj" fmla="val 50000"/>
            </a:avLst>
          </a:prstTxWarp>
        </a:bodyPr>
        <a:lstStyle/>
        <a:p>
          <a:pPr algn="ctr" rtl="0">
            <a:buNone/>
          </a:pPr>
          <a:r>
            <a:rPr lang="nl-NL" sz="800" kern="10" cap="small" spc="0">
              <a:ln>
                <a:noFill/>
              </a:ln>
              <a:noFill/>
              <a:latin typeface="Arial Black"/>
            </a:rPr>
            <a:t>www.biograce.net</a:t>
          </a:r>
        </a:p>
      </xdr:txBody>
    </xdr:sp>
    <xdr:clientData/>
  </xdr:twoCellAnchor>
  <xdr:twoCellAnchor>
    <xdr:from>
      <xdr:col>11</xdr:col>
      <xdr:colOff>2724150</xdr:colOff>
      <xdr:row>0</xdr:row>
      <xdr:rowOff>38100</xdr:rowOff>
    </xdr:from>
    <xdr:to>
      <xdr:col>11</xdr:col>
      <xdr:colOff>5010150</xdr:colOff>
      <xdr:row>0</xdr:row>
      <xdr:rowOff>304800</xdr:rowOff>
    </xdr:to>
    <xdr:sp macro="" textlink="">
      <xdr:nvSpPr>
        <xdr:cNvPr id="26064" name="WordArt 16">
          <a:hlinkClick xmlns:r="http://schemas.openxmlformats.org/officeDocument/2006/relationships" r:id="rId4"/>
          <a:extLst>
            <a:ext uri="{FF2B5EF4-FFF2-40B4-BE49-F238E27FC236}">
              <a16:creationId xmlns:a16="http://schemas.microsoft.com/office/drawing/2014/main" id="{00000000-0008-0000-0500-0000D0650000}"/>
            </a:ext>
          </a:extLst>
        </xdr:cNvPr>
        <xdr:cNvSpPr>
          <a:spLocks noChangeArrowheads="1" noChangeShapeType="1"/>
        </xdr:cNvSpPr>
      </xdr:nvSpPr>
      <xdr:spPr bwMode="auto">
        <a:xfrm>
          <a:off x="10791825" y="38100"/>
          <a:ext cx="2286000" cy="266700"/>
        </a:xfrm>
        <a:prstGeom prst="rect">
          <a:avLst/>
        </a:prstGeom>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txBody>
        <a:bodyPr vertOverflow="clip" wrap="none" lIns="91440" tIns="45720" rIns="91440" bIns="45720" fromWordArt="1" anchor="t">
          <a:prstTxWarp prst="textPlain">
            <a:avLst>
              <a:gd name="adj" fmla="val 50000"/>
            </a:avLst>
          </a:prstTxWarp>
        </a:bodyPr>
        <a:lstStyle/>
        <a:p>
          <a:pPr algn="ctr" rtl="0">
            <a:buNone/>
          </a:pPr>
          <a:r>
            <a:rPr lang="nl-NL" sz="800" kern="10" cap="small" spc="0">
              <a:ln>
                <a:noFill/>
              </a:ln>
              <a:noFill/>
              <a:latin typeface="Arial Black"/>
            </a:rPr>
            <a:t>intelligent energy europe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11</xdr:col>
      <xdr:colOff>5991225</xdr:colOff>
      <xdr:row>1</xdr:row>
      <xdr:rowOff>9525</xdr:rowOff>
    </xdr:to>
    <xdr:grpSp>
      <xdr:nvGrpSpPr>
        <xdr:cNvPr id="38388" name="Groep 6">
          <a:extLst>
            <a:ext uri="{FF2B5EF4-FFF2-40B4-BE49-F238E27FC236}">
              <a16:creationId xmlns:a16="http://schemas.microsoft.com/office/drawing/2014/main" id="{00000000-0008-0000-0600-0000F4950000}"/>
            </a:ext>
          </a:extLst>
        </xdr:cNvPr>
        <xdr:cNvGrpSpPr>
          <a:grpSpLocks noChangeAspect="1"/>
        </xdr:cNvGrpSpPr>
      </xdr:nvGrpSpPr>
      <xdr:grpSpPr bwMode="auto">
        <a:xfrm>
          <a:off x="0" y="0"/>
          <a:ext cx="14170819" cy="1426369"/>
          <a:chOff x="0" y="0"/>
          <a:chExt cx="12875419" cy="1297781"/>
        </a:xfrm>
      </xdr:grpSpPr>
      <xdr:pic>
        <xdr:nvPicPr>
          <xdr:cNvPr id="38391" name="Picture 14" descr="Header_Calculator_300dpi_2">
            <a:extLst>
              <a:ext uri="{FF2B5EF4-FFF2-40B4-BE49-F238E27FC236}">
                <a16:creationId xmlns:a16="http://schemas.microsoft.com/office/drawing/2014/main" id="{00000000-0008-0000-0600-0000F795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2875419" cy="12977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38392" name="Afbeelding 8">
            <a:extLst>
              <a:ext uri="{FF2B5EF4-FFF2-40B4-BE49-F238E27FC236}">
                <a16:creationId xmlns:a16="http://schemas.microsoft.com/office/drawing/2014/main" id="{00000000-0008-0000-0600-0000F895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7576"/>
          <a:stretch>
            <a:fillRect/>
          </a:stretch>
        </xdr:blipFill>
        <xdr:spPr bwMode="auto">
          <a:xfrm>
            <a:off x="0" y="1"/>
            <a:ext cx="5107781" cy="12891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mc:AlternateContent xmlns:mc="http://schemas.openxmlformats.org/markup-compatibility/2006">
    <mc:Choice xmlns:a14="http://schemas.microsoft.com/office/drawing/2010/main" Requires="a14">
      <xdr:twoCellAnchor>
        <xdr:from>
          <xdr:col>11</xdr:col>
          <xdr:colOff>2838450</xdr:colOff>
          <xdr:row>0</xdr:row>
          <xdr:rowOff>800100</xdr:rowOff>
        </xdr:from>
        <xdr:to>
          <xdr:col>11</xdr:col>
          <xdr:colOff>3705225</xdr:colOff>
          <xdr:row>0</xdr:row>
          <xdr:rowOff>1295400</xdr:rowOff>
        </xdr:to>
        <xdr:sp macro="" textlink="">
          <xdr:nvSpPr>
            <xdr:cNvPr id="38290" name="Label 402" hidden="1">
              <a:extLst>
                <a:ext uri="{63B3BB69-23CF-44E3-9099-C40C66FF867C}">
                  <a14:compatExt spid="_x0000_s38290"/>
                </a:ext>
                <a:ext uri="{FF2B5EF4-FFF2-40B4-BE49-F238E27FC236}">
                  <a16:creationId xmlns:a16="http://schemas.microsoft.com/office/drawing/2014/main" id="{00000000-0008-0000-0600-00009295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3771900</xdr:colOff>
          <xdr:row>0</xdr:row>
          <xdr:rowOff>800100</xdr:rowOff>
        </xdr:from>
        <xdr:to>
          <xdr:col>11</xdr:col>
          <xdr:colOff>4772025</xdr:colOff>
          <xdr:row>0</xdr:row>
          <xdr:rowOff>1295400</xdr:rowOff>
        </xdr:to>
        <xdr:sp macro="" textlink="">
          <xdr:nvSpPr>
            <xdr:cNvPr id="38291" name="Label 403" hidden="1">
              <a:extLst>
                <a:ext uri="{63B3BB69-23CF-44E3-9099-C40C66FF867C}">
                  <a14:compatExt spid="_x0000_s38291"/>
                </a:ext>
                <a:ext uri="{FF2B5EF4-FFF2-40B4-BE49-F238E27FC236}">
                  <a16:creationId xmlns:a16="http://schemas.microsoft.com/office/drawing/2014/main" id="{00000000-0008-0000-0600-00009395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twoCellAnchor>
    <xdr:from>
      <xdr:col>11</xdr:col>
      <xdr:colOff>809625</xdr:colOff>
      <xdr:row>0</xdr:row>
      <xdr:rowOff>104775</xdr:rowOff>
    </xdr:from>
    <xdr:to>
      <xdr:col>11</xdr:col>
      <xdr:colOff>2381250</xdr:colOff>
      <xdr:row>0</xdr:row>
      <xdr:rowOff>314325</xdr:rowOff>
    </xdr:to>
    <xdr:sp macro="" textlink="">
      <xdr:nvSpPr>
        <xdr:cNvPr id="38292" name="WordArt 15">
          <a:hlinkClick xmlns:r="http://schemas.openxmlformats.org/officeDocument/2006/relationships" r:id="rId3"/>
          <a:extLst>
            <a:ext uri="{FF2B5EF4-FFF2-40B4-BE49-F238E27FC236}">
              <a16:creationId xmlns:a16="http://schemas.microsoft.com/office/drawing/2014/main" id="{00000000-0008-0000-0600-000094950000}"/>
            </a:ext>
          </a:extLst>
        </xdr:cNvPr>
        <xdr:cNvSpPr>
          <a:spLocks noChangeArrowheads="1" noChangeShapeType="1"/>
        </xdr:cNvSpPr>
      </xdr:nvSpPr>
      <xdr:spPr bwMode="auto">
        <a:xfrm>
          <a:off x="8982075" y="104775"/>
          <a:ext cx="1571625" cy="209550"/>
        </a:xfrm>
        <a:prstGeom prst="rect">
          <a:avLst/>
        </a:prstGeom>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txBody>
        <a:bodyPr vertOverflow="clip" wrap="none" lIns="91440" tIns="45720" rIns="91440" bIns="45720" fromWordArt="1" anchor="t">
          <a:prstTxWarp prst="textPlain">
            <a:avLst>
              <a:gd name="adj" fmla="val 50000"/>
            </a:avLst>
          </a:prstTxWarp>
        </a:bodyPr>
        <a:lstStyle/>
        <a:p>
          <a:pPr algn="ctr" rtl="0">
            <a:buNone/>
          </a:pPr>
          <a:r>
            <a:rPr lang="nl-NL" sz="800" kern="10" cap="small" spc="0">
              <a:ln>
                <a:noFill/>
              </a:ln>
              <a:noFill/>
              <a:latin typeface="Arial Black"/>
            </a:rPr>
            <a:t>www.biograce.net</a:t>
          </a:r>
        </a:p>
      </xdr:txBody>
    </xdr:sp>
    <xdr:clientData/>
  </xdr:twoCellAnchor>
  <xdr:twoCellAnchor>
    <xdr:from>
      <xdr:col>11</xdr:col>
      <xdr:colOff>2619375</xdr:colOff>
      <xdr:row>0</xdr:row>
      <xdr:rowOff>28575</xdr:rowOff>
    </xdr:from>
    <xdr:to>
      <xdr:col>11</xdr:col>
      <xdr:colOff>4905375</xdr:colOff>
      <xdr:row>0</xdr:row>
      <xdr:rowOff>295275</xdr:rowOff>
    </xdr:to>
    <xdr:sp macro="" textlink="">
      <xdr:nvSpPr>
        <xdr:cNvPr id="38293" name="WordArt 16">
          <a:hlinkClick xmlns:r="http://schemas.openxmlformats.org/officeDocument/2006/relationships" r:id="rId4"/>
          <a:extLst>
            <a:ext uri="{FF2B5EF4-FFF2-40B4-BE49-F238E27FC236}">
              <a16:creationId xmlns:a16="http://schemas.microsoft.com/office/drawing/2014/main" id="{00000000-0008-0000-0600-000095950000}"/>
            </a:ext>
          </a:extLst>
        </xdr:cNvPr>
        <xdr:cNvSpPr>
          <a:spLocks noChangeArrowheads="1" noChangeShapeType="1"/>
        </xdr:cNvSpPr>
      </xdr:nvSpPr>
      <xdr:spPr bwMode="auto">
        <a:xfrm>
          <a:off x="10791825" y="28575"/>
          <a:ext cx="2286000" cy="266700"/>
        </a:xfrm>
        <a:prstGeom prst="rect">
          <a:avLst/>
        </a:prstGeom>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txBody>
        <a:bodyPr vertOverflow="clip" wrap="none" lIns="91440" tIns="45720" rIns="91440" bIns="45720" fromWordArt="1" anchor="t">
          <a:prstTxWarp prst="textPlain">
            <a:avLst>
              <a:gd name="adj" fmla="val 50000"/>
            </a:avLst>
          </a:prstTxWarp>
        </a:bodyPr>
        <a:lstStyle/>
        <a:p>
          <a:pPr algn="ctr" rtl="0">
            <a:buNone/>
          </a:pPr>
          <a:r>
            <a:rPr lang="nl-NL" sz="800" kern="10" cap="small" spc="0">
              <a:ln>
                <a:noFill/>
              </a:ln>
              <a:noFill/>
              <a:latin typeface="Arial Black"/>
            </a:rPr>
            <a:t>intelligent energy europe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12</xdr:col>
      <xdr:colOff>695325</xdr:colOff>
      <xdr:row>1</xdr:row>
      <xdr:rowOff>28575</xdr:rowOff>
    </xdr:to>
    <xdr:grpSp>
      <xdr:nvGrpSpPr>
        <xdr:cNvPr id="45254" name="Groep 9">
          <a:extLst>
            <a:ext uri="{FF2B5EF4-FFF2-40B4-BE49-F238E27FC236}">
              <a16:creationId xmlns:a16="http://schemas.microsoft.com/office/drawing/2014/main" id="{00000000-0008-0000-0700-0000C6B00000}"/>
            </a:ext>
          </a:extLst>
        </xdr:cNvPr>
        <xdr:cNvGrpSpPr>
          <a:grpSpLocks noChangeAspect="1"/>
        </xdr:cNvGrpSpPr>
      </xdr:nvGrpSpPr>
      <xdr:grpSpPr bwMode="auto">
        <a:xfrm>
          <a:off x="0" y="0"/>
          <a:ext cx="13280231" cy="1338263"/>
          <a:chOff x="0" y="0"/>
          <a:chExt cx="12875419" cy="1297781"/>
        </a:xfrm>
      </xdr:grpSpPr>
      <xdr:pic>
        <xdr:nvPicPr>
          <xdr:cNvPr id="45260" name="Picture 14" descr="Header_Calculator_300dpi_2">
            <a:extLst>
              <a:ext uri="{FF2B5EF4-FFF2-40B4-BE49-F238E27FC236}">
                <a16:creationId xmlns:a16="http://schemas.microsoft.com/office/drawing/2014/main" id="{00000000-0008-0000-0700-0000CCB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2875419" cy="12977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45261" name="Afbeelding 11">
            <a:extLst>
              <a:ext uri="{FF2B5EF4-FFF2-40B4-BE49-F238E27FC236}">
                <a16:creationId xmlns:a16="http://schemas.microsoft.com/office/drawing/2014/main" id="{00000000-0008-0000-0700-0000CDB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7576"/>
          <a:stretch>
            <a:fillRect/>
          </a:stretch>
        </xdr:blipFill>
        <xdr:spPr bwMode="auto">
          <a:xfrm>
            <a:off x="0" y="1"/>
            <a:ext cx="5107781" cy="12891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twoCellAnchor editAs="oneCell">
    <xdr:from>
      <xdr:col>28</xdr:col>
      <xdr:colOff>95250</xdr:colOff>
      <xdr:row>59</xdr:row>
      <xdr:rowOff>66675</xdr:rowOff>
    </xdr:from>
    <xdr:to>
      <xdr:col>32</xdr:col>
      <xdr:colOff>1181100</xdr:colOff>
      <xdr:row>64</xdr:row>
      <xdr:rowOff>0</xdr:rowOff>
    </xdr:to>
    <xdr:pic>
      <xdr:nvPicPr>
        <xdr:cNvPr id="45255" name="Picture 183">
          <a:extLst>
            <a:ext uri="{FF2B5EF4-FFF2-40B4-BE49-F238E27FC236}">
              <a16:creationId xmlns:a16="http://schemas.microsoft.com/office/drawing/2014/main" id="{00000000-0008-0000-0700-0000C7B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7727275" y="16992600"/>
          <a:ext cx="422910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29</xdr:col>
      <xdr:colOff>619125</xdr:colOff>
      <xdr:row>69</xdr:row>
      <xdr:rowOff>47625</xdr:rowOff>
    </xdr:from>
    <xdr:to>
      <xdr:col>32</xdr:col>
      <xdr:colOff>1314450</xdr:colOff>
      <xdr:row>72</xdr:row>
      <xdr:rowOff>171450</xdr:rowOff>
    </xdr:to>
    <xdr:pic>
      <xdr:nvPicPr>
        <xdr:cNvPr id="45256" name="Picture 183">
          <a:extLst>
            <a:ext uri="{FF2B5EF4-FFF2-40B4-BE49-F238E27FC236}">
              <a16:creationId xmlns:a16="http://schemas.microsoft.com/office/drawing/2014/main" id="{00000000-0008-0000-0700-0000C8B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9013150" y="18849975"/>
          <a:ext cx="3076575" cy="733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29</xdr:col>
      <xdr:colOff>619125</xdr:colOff>
      <xdr:row>73</xdr:row>
      <xdr:rowOff>0</xdr:rowOff>
    </xdr:from>
    <xdr:to>
      <xdr:col>33</xdr:col>
      <xdr:colOff>0</xdr:colOff>
      <xdr:row>76</xdr:row>
      <xdr:rowOff>28575</xdr:rowOff>
    </xdr:to>
    <xdr:pic>
      <xdr:nvPicPr>
        <xdr:cNvPr id="45257" name="Picture 7">
          <a:extLst>
            <a:ext uri="{FF2B5EF4-FFF2-40B4-BE49-F238E27FC236}">
              <a16:creationId xmlns:a16="http://schemas.microsoft.com/office/drawing/2014/main" id="{00000000-0008-0000-0700-0000C9B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l="34360" t="59412" r="32050" b="31029"/>
        <a:stretch>
          <a:fillRect/>
        </a:stretch>
      </xdr:blipFill>
      <xdr:spPr bwMode="auto">
        <a:xfrm>
          <a:off x="29013150" y="19611975"/>
          <a:ext cx="3086100" cy="74295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8</xdr:col>
          <xdr:colOff>581025</xdr:colOff>
          <xdr:row>0</xdr:row>
          <xdr:rowOff>809625</xdr:rowOff>
        </xdr:from>
        <xdr:to>
          <xdr:col>10</xdr:col>
          <xdr:colOff>66675</xdr:colOff>
          <xdr:row>1</xdr:row>
          <xdr:rowOff>0</xdr:rowOff>
        </xdr:to>
        <xdr:sp macro="" textlink="">
          <xdr:nvSpPr>
            <xdr:cNvPr id="45072" name="Label 16" hidden="1">
              <a:extLst>
                <a:ext uri="{63B3BB69-23CF-44E3-9099-C40C66FF867C}">
                  <a14:compatExt spid="_x0000_s45072"/>
                </a:ext>
                <a:ext uri="{FF2B5EF4-FFF2-40B4-BE49-F238E27FC236}">
                  <a16:creationId xmlns:a16="http://schemas.microsoft.com/office/drawing/2014/main" id="{00000000-0008-0000-0700-000010B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142875</xdr:colOff>
          <xdr:row>0</xdr:row>
          <xdr:rowOff>809625</xdr:rowOff>
        </xdr:from>
        <xdr:to>
          <xdr:col>11</xdr:col>
          <xdr:colOff>342900</xdr:colOff>
          <xdr:row>1</xdr:row>
          <xdr:rowOff>0</xdr:rowOff>
        </xdr:to>
        <xdr:sp macro="" textlink="">
          <xdr:nvSpPr>
            <xdr:cNvPr id="45073" name="Label 17" hidden="1">
              <a:extLst>
                <a:ext uri="{63B3BB69-23CF-44E3-9099-C40C66FF867C}">
                  <a14:compatExt spid="_x0000_s45073"/>
                </a:ext>
                <a:ext uri="{FF2B5EF4-FFF2-40B4-BE49-F238E27FC236}">
                  <a16:creationId xmlns:a16="http://schemas.microsoft.com/office/drawing/2014/main" id="{00000000-0008-0000-0700-000011B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twoCellAnchor>
    <xdr:from>
      <xdr:col>6</xdr:col>
      <xdr:colOff>557212</xdr:colOff>
      <xdr:row>0</xdr:row>
      <xdr:rowOff>123825</xdr:rowOff>
    </xdr:from>
    <xdr:to>
      <xdr:col>8</xdr:col>
      <xdr:colOff>214071</xdr:colOff>
      <xdr:row>0</xdr:row>
      <xdr:rowOff>285750</xdr:rowOff>
    </xdr:to>
    <xdr:sp macro="" textlink="">
      <xdr:nvSpPr>
        <xdr:cNvPr id="22543" name="WordArt 15">
          <a:hlinkClick xmlns:r="http://schemas.openxmlformats.org/officeDocument/2006/relationships" r:id="rId5"/>
          <a:extLst>
            <a:ext uri="{FF2B5EF4-FFF2-40B4-BE49-F238E27FC236}">
              <a16:creationId xmlns:a16="http://schemas.microsoft.com/office/drawing/2014/main" id="{00000000-0008-0000-0700-00000F580000}"/>
            </a:ext>
          </a:extLst>
        </xdr:cNvPr>
        <xdr:cNvSpPr>
          <a:spLocks noChangeArrowheads="1" noChangeShapeType="1" noTextEdit="1"/>
        </xdr:cNvSpPr>
      </xdr:nvSpPr>
      <xdr:spPr bwMode="auto">
        <a:xfrm>
          <a:off x="8181975" y="133350"/>
          <a:ext cx="1438275" cy="161925"/>
        </a:xfrm>
        <a:prstGeom prst="rect">
          <a:avLst/>
        </a:prstGeom>
      </xdr:spPr>
      <xdr:txBody>
        <a:bodyPr wrap="none" fromWordArt="1">
          <a:prstTxWarp prst="textPlain">
            <a:avLst>
              <a:gd name="adj" fmla="val 50000"/>
            </a:avLst>
          </a:prstTxWarp>
        </a:bodyPr>
        <a:lstStyle/>
        <a:p>
          <a:pPr algn="ctr" rtl="0"/>
          <a:r>
            <a:rPr lang="fr-FR" sz="800" kern="10" spc="0">
              <a:ln w="9525">
                <a:noFill/>
                <a:round/>
                <a:headEnd/>
                <a:tailEnd/>
              </a:ln>
              <a:noFill/>
              <a:effectLst/>
              <a:latin typeface="Arial Black"/>
            </a:rPr>
            <a:t>www.biograce.net</a:t>
          </a:r>
        </a:p>
      </xdr:txBody>
    </xdr:sp>
    <xdr:clientData/>
  </xdr:twoCellAnchor>
  <xdr:twoCellAnchor>
    <xdr:from>
      <xdr:col>8</xdr:col>
      <xdr:colOff>459582</xdr:colOff>
      <xdr:row>0</xdr:row>
      <xdr:rowOff>0</xdr:rowOff>
    </xdr:from>
    <xdr:to>
      <xdr:col>11</xdr:col>
      <xdr:colOff>336837</xdr:colOff>
      <xdr:row>0</xdr:row>
      <xdr:rowOff>266700</xdr:rowOff>
    </xdr:to>
    <xdr:sp macro="" textlink="">
      <xdr:nvSpPr>
        <xdr:cNvPr id="22544" name="WordArt 16">
          <a:hlinkClick xmlns:r="http://schemas.openxmlformats.org/officeDocument/2006/relationships" r:id="rId6"/>
          <a:extLst>
            <a:ext uri="{FF2B5EF4-FFF2-40B4-BE49-F238E27FC236}">
              <a16:creationId xmlns:a16="http://schemas.microsoft.com/office/drawing/2014/main" id="{00000000-0008-0000-0700-000010580000}"/>
            </a:ext>
          </a:extLst>
        </xdr:cNvPr>
        <xdr:cNvSpPr>
          <a:spLocks noChangeArrowheads="1" noChangeShapeType="1" noTextEdit="1"/>
        </xdr:cNvSpPr>
      </xdr:nvSpPr>
      <xdr:spPr bwMode="auto">
        <a:xfrm>
          <a:off x="9820275" y="0"/>
          <a:ext cx="2057400" cy="266700"/>
        </a:xfrm>
        <a:prstGeom prst="rect">
          <a:avLst/>
        </a:prstGeom>
      </xdr:spPr>
      <xdr:txBody>
        <a:bodyPr wrap="none" fromWordArt="1">
          <a:prstTxWarp prst="textPlain">
            <a:avLst>
              <a:gd name="adj" fmla="val 50000"/>
            </a:avLst>
          </a:prstTxWarp>
        </a:bodyPr>
        <a:lstStyle/>
        <a:p>
          <a:pPr algn="ctr" rtl="0"/>
          <a:r>
            <a:rPr lang="fr-FR" sz="800" kern="10" spc="0">
              <a:ln w="9525">
                <a:noFill/>
                <a:round/>
                <a:headEnd/>
                <a:tailEnd/>
              </a:ln>
              <a:noFill/>
              <a:effectLst/>
              <a:latin typeface="Arial Black"/>
            </a:rPr>
            <a:t>intelligent energy europe</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13</xdr:col>
      <xdr:colOff>1409700</xdr:colOff>
      <xdr:row>1</xdr:row>
      <xdr:rowOff>0</xdr:rowOff>
    </xdr:to>
    <xdr:grpSp>
      <xdr:nvGrpSpPr>
        <xdr:cNvPr id="49238" name="Groep 8">
          <a:extLst>
            <a:ext uri="{FF2B5EF4-FFF2-40B4-BE49-F238E27FC236}">
              <a16:creationId xmlns:a16="http://schemas.microsoft.com/office/drawing/2014/main" id="{00000000-0008-0000-0800-000056C00000}"/>
            </a:ext>
          </a:extLst>
        </xdr:cNvPr>
        <xdr:cNvGrpSpPr>
          <a:grpSpLocks/>
        </xdr:cNvGrpSpPr>
      </xdr:nvGrpSpPr>
      <xdr:grpSpPr bwMode="auto">
        <a:xfrm>
          <a:off x="0" y="0"/>
          <a:ext cx="12875419" cy="1297781"/>
          <a:chOff x="0" y="0"/>
          <a:chExt cx="12875419" cy="1297781"/>
        </a:xfrm>
      </xdr:grpSpPr>
      <xdr:pic>
        <xdr:nvPicPr>
          <xdr:cNvPr id="49241" name="Picture 14" descr="Header_Calculator_300dpi_2">
            <a:extLst>
              <a:ext uri="{FF2B5EF4-FFF2-40B4-BE49-F238E27FC236}">
                <a16:creationId xmlns:a16="http://schemas.microsoft.com/office/drawing/2014/main" id="{00000000-0008-0000-0800-000059C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2875419" cy="12977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49242" name="Afbeelding 12">
            <a:extLst>
              <a:ext uri="{FF2B5EF4-FFF2-40B4-BE49-F238E27FC236}">
                <a16:creationId xmlns:a16="http://schemas.microsoft.com/office/drawing/2014/main" id="{00000000-0008-0000-0800-00005AC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7576"/>
          <a:stretch>
            <a:fillRect/>
          </a:stretch>
        </xdr:blipFill>
        <xdr:spPr bwMode="auto">
          <a:xfrm>
            <a:off x="0" y="1"/>
            <a:ext cx="5107781" cy="12891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mc:AlternateContent xmlns:mc="http://schemas.openxmlformats.org/markup-compatibility/2006">
    <mc:Choice xmlns:a14="http://schemas.microsoft.com/office/drawing/2010/main" Requires="a14">
      <xdr:twoCellAnchor>
        <xdr:from>
          <xdr:col>12</xdr:col>
          <xdr:colOff>1152525</xdr:colOff>
          <xdr:row>1</xdr:row>
          <xdr:rowOff>295275</xdr:rowOff>
        </xdr:from>
        <xdr:to>
          <xdr:col>13</xdr:col>
          <xdr:colOff>209550</xdr:colOff>
          <xdr:row>1</xdr:row>
          <xdr:rowOff>295275</xdr:rowOff>
        </xdr:to>
        <xdr:sp macro="" textlink="">
          <xdr:nvSpPr>
            <xdr:cNvPr id="49155" name="Label 3" hidden="1">
              <a:extLst>
                <a:ext uri="{63B3BB69-23CF-44E3-9099-C40C66FF867C}">
                  <a14:compatExt spid="_x0000_s49155"/>
                </a:ext>
                <a:ext uri="{FF2B5EF4-FFF2-40B4-BE49-F238E27FC236}">
                  <a16:creationId xmlns:a16="http://schemas.microsoft.com/office/drawing/2014/main" id="{00000000-0008-0000-0800-000003C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1152525</xdr:colOff>
          <xdr:row>1</xdr:row>
          <xdr:rowOff>295275</xdr:rowOff>
        </xdr:from>
        <xdr:to>
          <xdr:col>13</xdr:col>
          <xdr:colOff>209550</xdr:colOff>
          <xdr:row>1</xdr:row>
          <xdr:rowOff>295275</xdr:rowOff>
        </xdr:to>
        <xdr:sp macro="" textlink="">
          <xdr:nvSpPr>
            <xdr:cNvPr id="49156" name="Label 4" hidden="1">
              <a:extLst>
                <a:ext uri="{63B3BB69-23CF-44E3-9099-C40C66FF867C}">
                  <a14:compatExt spid="_x0000_s49156"/>
                </a:ext>
                <a:ext uri="{FF2B5EF4-FFF2-40B4-BE49-F238E27FC236}">
                  <a16:creationId xmlns:a16="http://schemas.microsoft.com/office/drawing/2014/main" id="{00000000-0008-0000-0800-000004C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twoCellAnchor>
    <xdr:from>
      <xdr:col>12</xdr:col>
      <xdr:colOff>7144</xdr:colOff>
      <xdr:row>0</xdr:row>
      <xdr:rowOff>0</xdr:rowOff>
    </xdr:from>
    <xdr:to>
      <xdr:col>13</xdr:col>
      <xdr:colOff>391069</xdr:colOff>
      <xdr:row>0</xdr:row>
      <xdr:rowOff>266700</xdr:rowOff>
    </xdr:to>
    <xdr:sp macro="" textlink="">
      <xdr:nvSpPr>
        <xdr:cNvPr id="10" name="WordArt 17">
          <a:hlinkClick xmlns:r="http://schemas.openxmlformats.org/officeDocument/2006/relationships" r:id="rId3"/>
          <a:extLst>
            <a:ext uri="{FF2B5EF4-FFF2-40B4-BE49-F238E27FC236}">
              <a16:creationId xmlns:a16="http://schemas.microsoft.com/office/drawing/2014/main" id="{00000000-0008-0000-0800-00000A000000}"/>
            </a:ext>
          </a:extLst>
        </xdr:cNvPr>
        <xdr:cNvSpPr>
          <a:spLocks noChangeArrowheads="1" noChangeShapeType="1" noTextEdit="1"/>
        </xdr:cNvSpPr>
      </xdr:nvSpPr>
      <xdr:spPr bwMode="auto">
        <a:xfrm>
          <a:off x="9805988" y="0"/>
          <a:ext cx="2050800" cy="266700"/>
        </a:xfrm>
        <a:prstGeom prst="rect">
          <a:avLst/>
        </a:prstGeom>
      </xdr:spPr>
      <xdr:txBody>
        <a:bodyPr wrap="none" fromWordArt="1">
          <a:prstTxWarp prst="textPlain">
            <a:avLst>
              <a:gd name="adj" fmla="val 50000"/>
            </a:avLst>
          </a:prstTxWarp>
        </a:bodyPr>
        <a:lstStyle/>
        <a:p>
          <a:pPr algn="ctr" rtl="0"/>
          <a:r>
            <a:rPr lang="fr-FR" sz="800" kern="10" spc="0">
              <a:ln w="9525">
                <a:noFill/>
                <a:round/>
                <a:headEnd/>
                <a:tailEnd/>
              </a:ln>
              <a:noFill/>
              <a:effectLst/>
              <a:latin typeface="Arial Black"/>
            </a:rPr>
            <a:t>intelligent energy europe</a:t>
          </a:r>
        </a:p>
      </xdr:txBody>
    </xdr:sp>
    <xdr:clientData/>
  </xdr:twoCellAnchor>
  <xdr:twoCellAnchor>
    <xdr:from>
      <xdr:col>11</xdr:col>
      <xdr:colOff>185737</xdr:colOff>
      <xdr:row>0</xdr:row>
      <xdr:rowOff>133350</xdr:rowOff>
    </xdr:from>
    <xdr:to>
      <xdr:col>11</xdr:col>
      <xdr:colOff>1618995</xdr:colOff>
      <xdr:row>0</xdr:row>
      <xdr:rowOff>295275</xdr:rowOff>
    </xdr:to>
    <xdr:sp macro="" textlink="">
      <xdr:nvSpPr>
        <xdr:cNvPr id="11" name="WordArt 18">
          <a:hlinkClick xmlns:r="http://schemas.openxmlformats.org/officeDocument/2006/relationships" r:id="rId4"/>
          <a:extLst>
            <a:ext uri="{FF2B5EF4-FFF2-40B4-BE49-F238E27FC236}">
              <a16:creationId xmlns:a16="http://schemas.microsoft.com/office/drawing/2014/main" id="{00000000-0008-0000-0800-00000B000000}"/>
            </a:ext>
          </a:extLst>
        </xdr:cNvPr>
        <xdr:cNvSpPr>
          <a:spLocks noChangeArrowheads="1" noChangeShapeType="1" noTextEdit="1"/>
        </xdr:cNvSpPr>
      </xdr:nvSpPr>
      <xdr:spPr bwMode="auto">
        <a:xfrm>
          <a:off x="8174831" y="133350"/>
          <a:ext cx="1433258" cy="161925"/>
        </a:xfrm>
        <a:prstGeom prst="rect">
          <a:avLst/>
        </a:prstGeom>
      </xdr:spPr>
      <xdr:txBody>
        <a:bodyPr wrap="none" fromWordArt="1">
          <a:prstTxWarp prst="textPlain">
            <a:avLst>
              <a:gd name="adj" fmla="val 50000"/>
            </a:avLst>
          </a:prstTxWarp>
        </a:bodyPr>
        <a:lstStyle/>
        <a:p>
          <a:pPr algn="ctr" rtl="0"/>
          <a:r>
            <a:rPr lang="fr-FR" sz="800" kern="10" spc="0">
              <a:ln w="9525">
                <a:noFill/>
                <a:round/>
                <a:headEnd/>
                <a:tailEnd/>
              </a:ln>
              <a:noFill/>
              <a:effectLst/>
              <a:latin typeface="Arial Black"/>
            </a:rPr>
            <a:t>www.biograce.net</a:t>
          </a:r>
        </a:p>
      </xdr:txBody>
    </xdr:sp>
    <xdr:clientData/>
  </xdr:twoCellAnchor>
  <mc:AlternateContent xmlns:mc="http://schemas.openxmlformats.org/markup-compatibility/2006">
    <mc:Choice xmlns:a14="http://schemas.microsoft.com/office/drawing/2010/main" Requires="a14">
      <xdr:twoCellAnchor>
        <xdr:from>
          <xdr:col>12</xdr:col>
          <xdr:colOff>123825</xdr:colOff>
          <xdr:row>0</xdr:row>
          <xdr:rowOff>800100</xdr:rowOff>
        </xdr:from>
        <xdr:to>
          <xdr:col>12</xdr:col>
          <xdr:colOff>990600</xdr:colOff>
          <xdr:row>1</xdr:row>
          <xdr:rowOff>0</xdr:rowOff>
        </xdr:to>
        <xdr:sp macro="" textlink="">
          <xdr:nvSpPr>
            <xdr:cNvPr id="49157" name="Label 5" hidden="1">
              <a:extLst>
                <a:ext uri="{63B3BB69-23CF-44E3-9099-C40C66FF867C}">
                  <a14:compatExt spid="_x0000_s49157"/>
                </a:ext>
                <a:ext uri="{FF2B5EF4-FFF2-40B4-BE49-F238E27FC236}">
                  <a16:creationId xmlns:a16="http://schemas.microsoft.com/office/drawing/2014/main" id="{00000000-0008-0000-0800-000005C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1066800</xdr:colOff>
          <xdr:row>0</xdr:row>
          <xdr:rowOff>800100</xdr:rowOff>
        </xdr:from>
        <xdr:to>
          <xdr:col>13</xdr:col>
          <xdr:colOff>390525</xdr:colOff>
          <xdr:row>1</xdr:row>
          <xdr:rowOff>0</xdr:rowOff>
        </xdr:to>
        <xdr:sp macro="" textlink="">
          <xdr:nvSpPr>
            <xdr:cNvPr id="49158" name="Label 6" hidden="1">
              <a:extLst>
                <a:ext uri="{63B3BB69-23CF-44E3-9099-C40C66FF867C}">
                  <a14:compatExt spid="_x0000_s49158"/>
                </a:ext>
                <a:ext uri="{FF2B5EF4-FFF2-40B4-BE49-F238E27FC236}">
                  <a16:creationId xmlns:a16="http://schemas.microsoft.com/office/drawing/2014/main" id="{00000000-0008-0000-0800-000006C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0</xdr:col>
      <xdr:colOff>0</xdr:colOff>
      <xdr:row>0</xdr:row>
      <xdr:rowOff>0</xdr:rowOff>
    </xdr:from>
    <xdr:to>
      <xdr:col>14</xdr:col>
      <xdr:colOff>885825</xdr:colOff>
      <xdr:row>1</xdr:row>
      <xdr:rowOff>0</xdr:rowOff>
    </xdr:to>
    <xdr:grpSp>
      <xdr:nvGrpSpPr>
        <xdr:cNvPr id="25324" name="Groep 4">
          <a:extLst>
            <a:ext uri="{FF2B5EF4-FFF2-40B4-BE49-F238E27FC236}">
              <a16:creationId xmlns:a16="http://schemas.microsoft.com/office/drawing/2014/main" id="{00000000-0008-0000-0900-0000EC620000}"/>
            </a:ext>
          </a:extLst>
        </xdr:cNvPr>
        <xdr:cNvGrpSpPr>
          <a:grpSpLocks/>
        </xdr:cNvGrpSpPr>
      </xdr:nvGrpSpPr>
      <xdr:grpSpPr bwMode="auto">
        <a:xfrm>
          <a:off x="0" y="0"/>
          <a:ext cx="12875419" cy="1297781"/>
          <a:chOff x="0" y="0"/>
          <a:chExt cx="12875419" cy="1297781"/>
        </a:xfrm>
      </xdr:grpSpPr>
      <xdr:pic>
        <xdr:nvPicPr>
          <xdr:cNvPr id="25327" name="Picture 14" descr="Header_Calculator_300dpi_2">
            <a:extLst>
              <a:ext uri="{FF2B5EF4-FFF2-40B4-BE49-F238E27FC236}">
                <a16:creationId xmlns:a16="http://schemas.microsoft.com/office/drawing/2014/main" id="{00000000-0008-0000-0900-0000EF62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2875419" cy="12977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25328" name="Afbeelding 3">
            <a:extLst>
              <a:ext uri="{FF2B5EF4-FFF2-40B4-BE49-F238E27FC236}">
                <a16:creationId xmlns:a16="http://schemas.microsoft.com/office/drawing/2014/main" id="{00000000-0008-0000-0900-0000F062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7576"/>
          <a:stretch>
            <a:fillRect/>
          </a:stretch>
        </xdr:blipFill>
        <xdr:spPr bwMode="auto">
          <a:xfrm>
            <a:off x="0" y="1"/>
            <a:ext cx="5107781" cy="12891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twoCellAnchor>
    <xdr:from>
      <xdr:col>10</xdr:col>
      <xdr:colOff>316707</xdr:colOff>
      <xdr:row>0</xdr:row>
      <xdr:rowOff>0</xdr:rowOff>
    </xdr:from>
    <xdr:to>
      <xdr:col>13</xdr:col>
      <xdr:colOff>986382</xdr:colOff>
      <xdr:row>0</xdr:row>
      <xdr:rowOff>266700</xdr:rowOff>
    </xdr:to>
    <xdr:sp macro="" textlink="">
      <xdr:nvSpPr>
        <xdr:cNvPr id="24593" name="WordArt 17">
          <a:hlinkClick xmlns:r="http://schemas.openxmlformats.org/officeDocument/2006/relationships" r:id="rId3"/>
          <a:extLst>
            <a:ext uri="{FF2B5EF4-FFF2-40B4-BE49-F238E27FC236}">
              <a16:creationId xmlns:a16="http://schemas.microsoft.com/office/drawing/2014/main" id="{00000000-0008-0000-0900-000011600000}"/>
            </a:ext>
          </a:extLst>
        </xdr:cNvPr>
        <xdr:cNvSpPr>
          <a:spLocks noChangeArrowheads="1" noChangeShapeType="1" noTextEdit="1"/>
        </xdr:cNvSpPr>
      </xdr:nvSpPr>
      <xdr:spPr bwMode="auto">
        <a:xfrm>
          <a:off x="9820275" y="0"/>
          <a:ext cx="2057400" cy="266700"/>
        </a:xfrm>
        <a:prstGeom prst="rect">
          <a:avLst/>
        </a:prstGeom>
      </xdr:spPr>
      <xdr:txBody>
        <a:bodyPr wrap="none" fromWordArt="1">
          <a:prstTxWarp prst="textPlain">
            <a:avLst>
              <a:gd name="adj" fmla="val 50000"/>
            </a:avLst>
          </a:prstTxWarp>
        </a:bodyPr>
        <a:lstStyle/>
        <a:p>
          <a:pPr algn="ctr" rtl="0"/>
          <a:r>
            <a:rPr lang="fr-FR" sz="800" kern="10" spc="0">
              <a:ln w="9525">
                <a:noFill/>
                <a:round/>
                <a:headEnd/>
                <a:tailEnd/>
              </a:ln>
              <a:noFill/>
              <a:effectLst/>
              <a:latin typeface="Arial Black"/>
            </a:rPr>
            <a:t>intelligent energy europe</a:t>
          </a:r>
        </a:p>
      </xdr:txBody>
    </xdr:sp>
    <xdr:clientData/>
  </xdr:twoCellAnchor>
  <xdr:twoCellAnchor>
    <xdr:from>
      <xdr:col>7</xdr:col>
      <xdr:colOff>1209675</xdr:colOff>
      <xdr:row>0</xdr:row>
      <xdr:rowOff>133350</xdr:rowOff>
    </xdr:from>
    <xdr:to>
      <xdr:col>10</xdr:col>
      <xdr:colOff>118808</xdr:colOff>
      <xdr:row>0</xdr:row>
      <xdr:rowOff>295275</xdr:rowOff>
    </xdr:to>
    <xdr:sp macro="" textlink="">
      <xdr:nvSpPr>
        <xdr:cNvPr id="24594" name="WordArt 18">
          <a:hlinkClick xmlns:r="http://schemas.openxmlformats.org/officeDocument/2006/relationships" r:id="rId4"/>
          <a:extLst>
            <a:ext uri="{FF2B5EF4-FFF2-40B4-BE49-F238E27FC236}">
              <a16:creationId xmlns:a16="http://schemas.microsoft.com/office/drawing/2014/main" id="{00000000-0008-0000-0900-000012600000}"/>
            </a:ext>
          </a:extLst>
        </xdr:cNvPr>
        <xdr:cNvSpPr>
          <a:spLocks noChangeArrowheads="1" noChangeShapeType="1" noTextEdit="1"/>
        </xdr:cNvSpPr>
      </xdr:nvSpPr>
      <xdr:spPr bwMode="auto">
        <a:xfrm>
          <a:off x="8181975" y="133350"/>
          <a:ext cx="1438275" cy="161925"/>
        </a:xfrm>
        <a:prstGeom prst="rect">
          <a:avLst/>
        </a:prstGeom>
      </xdr:spPr>
      <xdr:txBody>
        <a:bodyPr wrap="none" fromWordArt="1">
          <a:prstTxWarp prst="textPlain">
            <a:avLst>
              <a:gd name="adj" fmla="val 50000"/>
            </a:avLst>
          </a:prstTxWarp>
        </a:bodyPr>
        <a:lstStyle/>
        <a:p>
          <a:pPr algn="ctr" rtl="0"/>
          <a:r>
            <a:rPr lang="fr-FR" sz="800" kern="10" spc="0">
              <a:ln w="9525">
                <a:noFill/>
                <a:round/>
                <a:headEnd/>
                <a:tailEnd/>
              </a:ln>
              <a:noFill/>
              <a:effectLst/>
              <a:latin typeface="Arial Black"/>
            </a:rPr>
            <a:t>www.biograce.net</a:t>
          </a:r>
        </a:p>
      </xdr:txBody>
    </xdr:sp>
    <xdr:clientData/>
  </xdr:twoCellAnchor>
  <mc:AlternateContent xmlns:mc="http://schemas.openxmlformats.org/markup-compatibility/2006">
    <mc:Choice xmlns:a14="http://schemas.microsoft.com/office/drawing/2010/main" Requires="a14">
      <xdr:twoCellAnchor editAs="oneCell">
        <xdr:from>
          <xdr:col>9</xdr:col>
          <xdr:colOff>38100</xdr:colOff>
          <xdr:row>13</xdr:row>
          <xdr:rowOff>47625</xdr:rowOff>
        </xdr:from>
        <xdr:to>
          <xdr:col>13</xdr:col>
          <xdr:colOff>885825</xdr:colOff>
          <xdr:row>15</xdr:row>
          <xdr:rowOff>85725</xdr:rowOff>
        </xdr:to>
        <xdr:sp macro="" textlink="">
          <xdr:nvSpPr>
            <xdr:cNvPr id="24581" name="CheckBox2" hidden="1">
              <a:extLst>
                <a:ext uri="{63B3BB69-23CF-44E3-9099-C40C66FF867C}">
                  <a14:compatExt spid="_x0000_s24581"/>
                </a:ext>
                <a:ext uri="{FF2B5EF4-FFF2-40B4-BE49-F238E27FC236}">
                  <a16:creationId xmlns:a16="http://schemas.microsoft.com/office/drawing/2014/main" id="{00000000-0008-0000-0900-000005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11</xdr:row>
          <xdr:rowOff>0</xdr:rowOff>
        </xdr:from>
        <xdr:to>
          <xdr:col>13</xdr:col>
          <xdr:colOff>866775</xdr:colOff>
          <xdr:row>13</xdr:row>
          <xdr:rowOff>171450</xdr:rowOff>
        </xdr:to>
        <xdr:sp macro="" textlink="">
          <xdr:nvSpPr>
            <xdr:cNvPr id="24582" name="CheckBox1" hidden="1">
              <a:extLst>
                <a:ext uri="{63B3BB69-23CF-44E3-9099-C40C66FF867C}">
                  <a14:compatExt spid="_x0000_s24582"/>
                </a:ext>
                <a:ext uri="{FF2B5EF4-FFF2-40B4-BE49-F238E27FC236}">
                  <a16:creationId xmlns:a16="http://schemas.microsoft.com/office/drawing/2014/main" id="{00000000-0008-0000-0900-000006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109</xdr:row>
          <xdr:rowOff>0</xdr:rowOff>
        </xdr:from>
        <xdr:to>
          <xdr:col>3</xdr:col>
          <xdr:colOff>19050</xdr:colOff>
          <xdr:row>110</xdr:row>
          <xdr:rowOff>9525</xdr:rowOff>
        </xdr:to>
        <xdr:sp macro="" textlink="">
          <xdr:nvSpPr>
            <xdr:cNvPr id="24595" name="ComboBox1" hidden="1">
              <a:extLst>
                <a:ext uri="{63B3BB69-23CF-44E3-9099-C40C66FF867C}">
                  <a14:compatExt spid="_x0000_s24595"/>
                </a:ext>
                <a:ext uri="{FF2B5EF4-FFF2-40B4-BE49-F238E27FC236}">
                  <a16:creationId xmlns:a16="http://schemas.microsoft.com/office/drawing/2014/main" id="{00000000-0008-0000-0900-000013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126</xdr:row>
          <xdr:rowOff>9525</xdr:rowOff>
        </xdr:from>
        <xdr:to>
          <xdr:col>3</xdr:col>
          <xdr:colOff>19050</xdr:colOff>
          <xdr:row>127</xdr:row>
          <xdr:rowOff>19050</xdr:rowOff>
        </xdr:to>
        <xdr:sp macro="" textlink="">
          <xdr:nvSpPr>
            <xdr:cNvPr id="24799" name="ComboBox2" hidden="1">
              <a:extLst>
                <a:ext uri="{63B3BB69-23CF-44E3-9099-C40C66FF867C}">
                  <a14:compatExt spid="_x0000_s24799"/>
                </a:ext>
                <a:ext uri="{FF2B5EF4-FFF2-40B4-BE49-F238E27FC236}">
                  <a16:creationId xmlns:a16="http://schemas.microsoft.com/office/drawing/2014/main" id="{00000000-0008-0000-0900-0000DF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1295400</xdr:colOff>
          <xdr:row>17</xdr:row>
          <xdr:rowOff>95250</xdr:rowOff>
        </xdr:from>
        <xdr:to>
          <xdr:col>3</xdr:col>
          <xdr:colOff>466725</xdr:colOff>
          <xdr:row>18</xdr:row>
          <xdr:rowOff>219075</xdr:rowOff>
        </xdr:to>
        <xdr:sp macro="" textlink="">
          <xdr:nvSpPr>
            <xdr:cNvPr id="25155" name="cmdTrackChanges" hidden="1">
              <a:extLst>
                <a:ext uri="{63B3BB69-23CF-44E3-9099-C40C66FF867C}">
                  <a14:compatExt spid="_x0000_s25155"/>
                </a:ext>
                <a:ext uri="{FF2B5EF4-FFF2-40B4-BE49-F238E27FC236}">
                  <a16:creationId xmlns:a16="http://schemas.microsoft.com/office/drawing/2014/main" id="{00000000-0008-0000-0900-00004362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438150</xdr:colOff>
          <xdr:row>0</xdr:row>
          <xdr:rowOff>800100</xdr:rowOff>
        </xdr:from>
        <xdr:to>
          <xdr:col>12</xdr:col>
          <xdr:colOff>85725</xdr:colOff>
          <xdr:row>1</xdr:row>
          <xdr:rowOff>0</xdr:rowOff>
        </xdr:to>
        <xdr:sp macro="" textlink="">
          <xdr:nvSpPr>
            <xdr:cNvPr id="25221" name="Label 645" hidden="1">
              <a:extLst>
                <a:ext uri="{63B3BB69-23CF-44E3-9099-C40C66FF867C}">
                  <a14:compatExt spid="_x0000_s25221"/>
                </a:ext>
                <a:ext uri="{FF2B5EF4-FFF2-40B4-BE49-F238E27FC236}">
                  <a16:creationId xmlns:a16="http://schemas.microsoft.com/office/drawing/2014/main" id="{00000000-0008-0000-0900-00008562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161925</xdr:colOff>
          <xdr:row>0</xdr:row>
          <xdr:rowOff>800100</xdr:rowOff>
        </xdr:from>
        <xdr:to>
          <xdr:col>13</xdr:col>
          <xdr:colOff>990600</xdr:colOff>
          <xdr:row>1</xdr:row>
          <xdr:rowOff>0</xdr:rowOff>
        </xdr:to>
        <xdr:sp macro="" textlink="">
          <xdr:nvSpPr>
            <xdr:cNvPr id="25222" name="Label 646" hidden="1">
              <a:extLst>
                <a:ext uri="{63B3BB69-23CF-44E3-9099-C40C66FF867C}">
                  <a14:compatExt spid="_x0000_s25222"/>
                </a:ext>
                <a:ext uri="{FF2B5EF4-FFF2-40B4-BE49-F238E27FC236}">
                  <a16:creationId xmlns:a16="http://schemas.microsoft.com/office/drawing/2014/main" id="{00000000-0008-0000-0900-00008662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14</xdr:col>
      <xdr:colOff>885825</xdr:colOff>
      <xdr:row>1</xdr:row>
      <xdr:rowOff>0</xdr:rowOff>
    </xdr:to>
    <xdr:grpSp>
      <xdr:nvGrpSpPr>
        <xdr:cNvPr id="23393" name="Groep 12">
          <a:extLst>
            <a:ext uri="{FF2B5EF4-FFF2-40B4-BE49-F238E27FC236}">
              <a16:creationId xmlns:a16="http://schemas.microsoft.com/office/drawing/2014/main" id="{00000000-0008-0000-0A00-0000615B0000}"/>
            </a:ext>
          </a:extLst>
        </xdr:cNvPr>
        <xdr:cNvGrpSpPr>
          <a:grpSpLocks/>
        </xdr:cNvGrpSpPr>
      </xdr:nvGrpSpPr>
      <xdr:grpSpPr bwMode="auto">
        <a:xfrm>
          <a:off x="0" y="0"/>
          <a:ext cx="12887325" cy="1295400"/>
          <a:chOff x="0" y="0"/>
          <a:chExt cx="12875419" cy="1297781"/>
        </a:xfrm>
      </xdr:grpSpPr>
      <xdr:pic>
        <xdr:nvPicPr>
          <xdr:cNvPr id="23396" name="Picture 14" descr="Header_Calculator_300dpi_2">
            <a:extLst>
              <a:ext uri="{FF2B5EF4-FFF2-40B4-BE49-F238E27FC236}">
                <a16:creationId xmlns:a16="http://schemas.microsoft.com/office/drawing/2014/main" id="{00000000-0008-0000-0A00-0000645B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2875419" cy="12977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23397" name="Afbeelding 14">
            <a:extLst>
              <a:ext uri="{FF2B5EF4-FFF2-40B4-BE49-F238E27FC236}">
                <a16:creationId xmlns:a16="http://schemas.microsoft.com/office/drawing/2014/main" id="{00000000-0008-0000-0A00-0000655B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7576"/>
          <a:stretch>
            <a:fillRect/>
          </a:stretch>
        </xdr:blipFill>
        <xdr:spPr bwMode="auto">
          <a:xfrm>
            <a:off x="0" y="1"/>
            <a:ext cx="5107781" cy="12891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twoCellAnchor>
    <xdr:from>
      <xdr:col>7</xdr:col>
      <xdr:colOff>1209675</xdr:colOff>
      <xdr:row>0</xdr:row>
      <xdr:rowOff>133350</xdr:rowOff>
    </xdr:from>
    <xdr:to>
      <xdr:col>10</xdr:col>
      <xdr:colOff>118808</xdr:colOff>
      <xdr:row>0</xdr:row>
      <xdr:rowOff>295275</xdr:rowOff>
    </xdr:to>
    <xdr:sp macro="" textlink="">
      <xdr:nvSpPr>
        <xdr:cNvPr id="22543" name="WordArt 15">
          <a:hlinkClick xmlns:r="http://schemas.openxmlformats.org/officeDocument/2006/relationships" r:id="rId3"/>
          <a:extLst>
            <a:ext uri="{FF2B5EF4-FFF2-40B4-BE49-F238E27FC236}">
              <a16:creationId xmlns:a16="http://schemas.microsoft.com/office/drawing/2014/main" id="{00000000-0008-0000-0A00-00000F580000}"/>
            </a:ext>
          </a:extLst>
        </xdr:cNvPr>
        <xdr:cNvSpPr>
          <a:spLocks noChangeArrowheads="1" noChangeShapeType="1" noTextEdit="1"/>
        </xdr:cNvSpPr>
      </xdr:nvSpPr>
      <xdr:spPr bwMode="auto">
        <a:xfrm>
          <a:off x="8181975" y="133350"/>
          <a:ext cx="1438275" cy="161925"/>
        </a:xfrm>
        <a:prstGeom prst="rect">
          <a:avLst/>
        </a:prstGeom>
      </xdr:spPr>
      <xdr:txBody>
        <a:bodyPr wrap="none" fromWordArt="1">
          <a:prstTxWarp prst="textPlain">
            <a:avLst>
              <a:gd name="adj" fmla="val 50000"/>
            </a:avLst>
          </a:prstTxWarp>
        </a:bodyPr>
        <a:lstStyle/>
        <a:p>
          <a:pPr algn="ctr" rtl="0"/>
          <a:r>
            <a:rPr lang="fr-FR" sz="800" kern="10" spc="0">
              <a:ln w="9525">
                <a:noFill/>
                <a:round/>
                <a:headEnd/>
                <a:tailEnd/>
              </a:ln>
              <a:noFill/>
              <a:effectLst/>
              <a:latin typeface="Arial Black"/>
            </a:rPr>
            <a:t>www.biograce.net</a:t>
          </a:r>
        </a:p>
      </xdr:txBody>
    </xdr:sp>
    <xdr:clientData/>
  </xdr:twoCellAnchor>
  <xdr:twoCellAnchor>
    <xdr:from>
      <xdr:col>10</xdr:col>
      <xdr:colOff>316707</xdr:colOff>
      <xdr:row>0</xdr:row>
      <xdr:rowOff>0</xdr:rowOff>
    </xdr:from>
    <xdr:to>
      <xdr:col>13</xdr:col>
      <xdr:colOff>986382</xdr:colOff>
      <xdr:row>0</xdr:row>
      <xdr:rowOff>266700</xdr:rowOff>
    </xdr:to>
    <xdr:sp macro="" textlink="">
      <xdr:nvSpPr>
        <xdr:cNvPr id="22544" name="WordArt 16">
          <a:hlinkClick xmlns:r="http://schemas.openxmlformats.org/officeDocument/2006/relationships" r:id="rId4"/>
          <a:extLst>
            <a:ext uri="{FF2B5EF4-FFF2-40B4-BE49-F238E27FC236}">
              <a16:creationId xmlns:a16="http://schemas.microsoft.com/office/drawing/2014/main" id="{00000000-0008-0000-0A00-000010580000}"/>
            </a:ext>
          </a:extLst>
        </xdr:cNvPr>
        <xdr:cNvSpPr>
          <a:spLocks noChangeArrowheads="1" noChangeShapeType="1" noTextEdit="1"/>
        </xdr:cNvSpPr>
      </xdr:nvSpPr>
      <xdr:spPr bwMode="auto">
        <a:xfrm>
          <a:off x="9820275" y="0"/>
          <a:ext cx="2057400" cy="266700"/>
        </a:xfrm>
        <a:prstGeom prst="rect">
          <a:avLst/>
        </a:prstGeom>
      </xdr:spPr>
      <xdr:txBody>
        <a:bodyPr wrap="none" fromWordArt="1">
          <a:prstTxWarp prst="textPlain">
            <a:avLst>
              <a:gd name="adj" fmla="val 50000"/>
            </a:avLst>
          </a:prstTxWarp>
        </a:bodyPr>
        <a:lstStyle/>
        <a:p>
          <a:pPr algn="ctr" rtl="0"/>
          <a:r>
            <a:rPr lang="fr-FR" sz="800" kern="10" spc="0">
              <a:ln w="9525">
                <a:noFill/>
                <a:round/>
                <a:headEnd/>
                <a:tailEnd/>
              </a:ln>
              <a:noFill/>
              <a:effectLst/>
              <a:latin typeface="Arial Black"/>
            </a:rPr>
            <a:t>intelligent energy europe</a:t>
          </a:r>
        </a:p>
      </xdr:txBody>
    </xdr:sp>
    <xdr:clientData/>
  </xdr:twoCellAnchor>
  <mc:AlternateContent xmlns:mc="http://schemas.openxmlformats.org/markup-compatibility/2006">
    <mc:Choice xmlns:a14="http://schemas.microsoft.com/office/drawing/2010/main" Requires="a14">
      <xdr:twoCellAnchor editAs="oneCell">
        <xdr:from>
          <xdr:col>9</xdr:col>
          <xdr:colOff>38100</xdr:colOff>
          <xdr:row>14</xdr:row>
          <xdr:rowOff>47625</xdr:rowOff>
        </xdr:from>
        <xdr:to>
          <xdr:col>13</xdr:col>
          <xdr:colOff>885825</xdr:colOff>
          <xdr:row>16</xdr:row>
          <xdr:rowOff>85725</xdr:rowOff>
        </xdr:to>
        <xdr:sp macro="" textlink="">
          <xdr:nvSpPr>
            <xdr:cNvPr id="22533" name="CheckBox2" hidden="1">
              <a:extLst>
                <a:ext uri="{63B3BB69-23CF-44E3-9099-C40C66FF867C}">
                  <a14:compatExt spid="_x0000_s22533"/>
                </a:ext>
                <a:ext uri="{FF2B5EF4-FFF2-40B4-BE49-F238E27FC236}">
                  <a16:creationId xmlns:a16="http://schemas.microsoft.com/office/drawing/2014/main" id="{00000000-0008-0000-0A00-000005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12</xdr:row>
          <xdr:rowOff>0</xdr:rowOff>
        </xdr:from>
        <xdr:to>
          <xdr:col>13</xdr:col>
          <xdr:colOff>866775</xdr:colOff>
          <xdr:row>14</xdr:row>
          <xdr:rowOff>171450</xdr:rowOff>
        </xdr:to>
        <xdr:sp macro="" textlink="">
          <xdr:nvSpPr>
            <xdr:cNvPr id="22534" name="CheckBox1" hidden="1">
              <a:extLst>
                <a:ext uri="{63B3BB69-23CF-44E3-9099-C40C66FF867C}">
                  <a14:compatExt spid="_x0000_s22534"/>
                </a:ext>
                <a:ext uri="{FF2B5EF4-FFF2-40B4-BE49-F238E27FC236}">
                  <a16:creationId xmlns:a16="http://schemas.microsoft.com/office/drawing/2014/main" id="{00000000-0008-0000-0A00-000006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145</xdr:row>
          <xdr:rowOff>0</xdr:rowOff>
        </xdr:from>
        <xdr:to>
          <xdr:col>3</xdr:col>
          <xdr:colOff>47625</xdr:colOff>
          <xdr:row>146</xdr:row>
          <xdr:rowOff>9525</xdr:rowOff>
        </xdr:to>
        <xdr:sp macro="" textlink="">
          <xdr:nvSpPr>
            <xdr:cNvPr id="22601" name="ComboBox2" hidden="1">
              <a:extLst>
                <a:ext uri="{63B3BB69-23CF-44E3-9099-C40C66FF867C}">
                  <a14:compatExt spid="_x0000_s22601"/>
                </a:ext>
                <a:ext uri="{FF2B5EF4-FFF2-40B4-BE49-F238E27FC236}">
                  <a16:creationId xmlns:a16="http://schemas.microsoft.com/office/drawing/2014/main" id="{00000000-0008-0000-0A00-00004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128</xdr:row>
          <xdr:rowOff>0</xdr:rowOff>
        </xdr:from>
        <xdr:to>
          <xdr:col>3</xdr:col>
          <xdr:colOff>38100</xdr:colOff>
          <xdr:row>129</xdr:row>
          <xdr:rowOff>9525</xdr:rowOff>
        </xdr:to>
        <xdr:sp macro="" textlink="">
          <xdr:nvSpPr>
            <xdr:cNvPr id="22672" name="ComboBox1" hidden="1">
              <a:extLst>
                <a:ext uri="{63B3BB69-23CF-44E3-9099-C40C66FF867C}">
                  <a14:compatExt spid="_x0000_s22672"/>
                </a:ext>
                <a:ext uri="{FF2B5EF4-FFF2-40B4-BE49-F238E27FC236}">
                  <a16:creationId xmlns:a16="http://schemas.microsoft.com/office/drawing/2014/main" id="{00000000-0008-0000-0A00-000090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1390650</xdr:colOff>
          <xdr:row>18</xdr:row>
          <xdr:rowOff>104775</xdr:rowOff>
        </xdr:from>
        <xdr:to>
          <xdr:col>3</xdr:col>
          <xdr:colOff>561975</xdr:colOff>
          <xdr:row>19</xdr:row>
          <xdr:rowOff>228600</xdr:rowOff>
        </xdr:to>
        <xdr:sp macro="" textlink="">
          <xdr:nvSpPr>
            <xdr:cNvPr id="23220" name="cmdTrackChanges" hidden="1">
              <a:extLst>
                <a:ext uri="{63B3BB69-23CF-44E3-9099-C40C66FF867C}">
                  <a14:compatExt spid="_x0000_s23220"/>
                </a:ext>
                <a:ext uri="{FF2B5EF4-FFF2-40B4-BE49-F238E27FC236}">
                  <a16:creationId xmlns:a16="http://schemas.microsoft.com/office/drawing/2014/main" id="{00000000-0008-0000-0A00-0000B45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438150</xdr:colOff>
          <xdr:row>0</xdr:row>
          <xdr:rowOff>800100</xdr:rowOff>
        </xdr:from>
        <xdr:to>
          <xdr:col>12</xdr:col>
          <xdr:colOff>85725</xdr:colOff>
          <xdr:row>1</xdr:row>
          <xdr:rowOff>0</xdr:rowOff>
        </xdr:to>
        <xdr:sp macro="" textlink="">
          <xdr:nvSpPr>
            <xdr:cNvPr id="23292" name="Label 764" hidden="1">
              <a:extLst>
                <a:ext uri="{63B3BB69-23CF-44E3-9099-C40C66FF867C}">
                  <a14:compatExt spid="_x0000_s23292"/>
                </a:ext>
                <a:ext uri="{FF2B5EF4-FFF2-40B4-BE49-F238E27FC236}">
                  <a16:creationId xmlns:a16="http://schemas.microsoft.com/office/drawing/2014/main" id="{00000000-0008-0000-0A00-0000FC5A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152400</xdr:colOff>
          <xdr:row>0</xdr:row>
          <xdr:rowOff>800100</xdr:rowOff>
        </xdr:from>
        <xdr:to>
          <xdr:col>13</xdr:col>
          <xdr:colOff>981075</xdr:colOff>
          <xdr:row>1</xdr:row>
          <xdr:rowOff>0</xdr:rowOff>
        </xdr:to>
        <xdr:sp macro="" textlink="">
          <xdr:nvSpPr>
            <xdr:cNvPr id="23293" name="Label 765" hidden="1">
              <a:extLst>
                <a:ext uri="{63B3BB69-23CF-44E3-9099-C40C66FF867C}">
                  <a14:compatExt spid="_x0000_s23293"/>
                </a:ext>
                <a:ext uri="{FF2B5EF4-FFF2-40B4-BE49-F238E27FC236}">
                  <a16:creationId xmlns:a16="http://schemas.microsoft.com/office/drawing/2014/main" id="{00000000-0008-0000-0A00-0000FD5A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0</xdr:col>
      <xdr:colOff>0</xdr:colOff>
      <xdr:row>0</xdr:row>
      <xdr:rowOff>0</xdr:rowOff>
    </xdr:from>
    <xdr:to>
      <xdr:col>14</xdr:col>
      <xdr:colOff>885825</xdr:colOff>
      <xdr:row>1</xdr:row>
      <xdr:rowOff>0</xdr:rowOff>
    </xdr:to>
    <xdr:grpSp>
      <xdr:nvGrpSpPr>
        <xdr:cNvPr id="30444" name="Groep 11">
          <a:extLst>
            <a:ext uri="{FF2B5EF4-FFF2-40B4-BE49-F238E27FC236}">
              <a16:creationId xmlns:a16="http://schemas.microsoft.com/office/drawing/2014/main" id="{00000000-0008-0000-0B00-0000EC760000}"/>
            </a:ext>
          </a:extLst>
        </xdr:cNvPr>
        <xdr:cNvGrpSpPr>
          <a:grpSpLocks/>
        </xdr:cNvGrpSpPr>
      </xdr:nvGrpSpPr>
      <xdr:grpSpPr bwMode="auto">
        <a:xfrm>
          <a:off x="0" y="0"/>
          <a:ext cx="12887325" cy="1295400"/>
          <a:chOff x="0" y="0"/>
          <a:chExt cx="12875419" cy="1297781"/>
        </a:xfrm>
      </xdr:grpSpPr>
      <xdr:pic>
        <xdr:nvPicPr>
          <xdr:cNvPr id="30447" name="Picture 14" descr="Header_Calculator_300dpi_2">
            <a:extLst>
              <a:ext uri="{FF2B5EF4-FFF2-40B4-BE49-F238E27FC236}">
                <a16:creationId xmlns:a16="http://schemas.microsoft.com/office/drawing/2014/main" id="{00000000-0008-0000-0B00-0000EF76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2875419" cy="12977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30448" name="Afbeelding 13">
            <a:extLst>
              <a:ext uri="{FF2B5EF4-FFF2-40B4-BE49-F238E27FC236}">
                <a16:creationId xmlns:a16="http://schemas.microsoft.com/office/drawing/2014/main" id="{00000000-0008-0000-0B00-0000F076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7576"/>
          <a:stretch>
            <a:fillRect/>
          </a:stretch>
        </xdr:blipFill>
        <xdr:spPr bwMode="auto">
          <a:xfrm>
            <a:off x="0" y="1"/>
            <a:ext cx="5107781" cy="12891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twoCellAnchor>
    <xdr:from>
      <xdr:col>7</xdr:col>
      <xdr:colOff>1209675</xdr:colOff>
      <xdr:row>0</xdr:row>
      <xdr:rowOff>133350</xdr:rowOff>
    </xdr:from>
    <xdr:to>
      <xdr:col>10</xdr:col>
      <xdr:colOff>118808</xdr:colOff>
      <xdr:row>0</xdr:row>
      <xdr:rowOff>295275</xdr:rowOff>
    </xdr:to>
    <xdr:sp macro="" textlink="">
      <xdr:nvSpPr>
        <xdr:cNvPr id="29708" name="WordArt 12">
          <a:hlinkClick xmlns:r="http://schemas.openxmlformats.org/officeDocument/2006/relationships" r:id="rId3"/>
          <a:extLst>
            <a:ext uri="{FF2B5EF4-FFF2-40B4-BE49-F238E27FC236}">
              <a16:creationId xmlns:a16="http://schemas.microsoft.com/office/drawing/2014/main" id="{00000000-0008-0000-0B00-00000C740000}"/>
            </a:ext>
          </a:extLst>
        </xdr:cNvPr>
        <xdr:cNvSpPr>
          <a:spLocks noChangeArrowheads="1" noChangeShapeType="1" noTextEdit="1"/>
        </xdr:cNvSpPr>
      </xdr:nvSpPr>
      <xdr:spPr bwMode="auto">
        <a:xfrm>
          <a:off x="8181975" y="133350"/>
          <a:ext cx="1438275" cy="161925"/>
        </a:xfrm>
        <a:prstGeom prst="rect">
          <a:avLst/>
        </a:prstGeom>
      </xdr:spPr>
      <xdr:txBody>
        <a:bodyPr wrap="none" fromWordArt="1">
          <a:prstTxWarp prst="textPlain">
            <a:avLst>
              <a:gd name="adj" fmla="val 50000"/>
            </a:avLst>
          </a:prstTxWarp>
        </a:bodyPr>
        <a:lstStyle/>
        <a:p>
          <a:pPr algn="ctr" rtl="0"/>
          <a:r>
            <a:rPr lang="fr-FR" sz="800" kern="10" spc="0">
              <a:ln w="9525">
                <a:noFill/>
                <a:round/>
                <a:headEnd/>
                <a:tailEnd/>
              </a:ln>
              <a:noFill/>
              <a:effectLst/>
              <a:latin typeface="Arial Black"/>
            </a:rPr>
            <a:t>www.biograce.net</a:t>
          </a:r>
        </a:p>
      </xdr:txBody>
    </xdr:sp>
    <xdr:clientData/>
  </xdr:twoCellAnchor>
  <xdr:twoCellAnchor>
    <xdr:from>
      <xdr:col>10</xdr:col>
      <xdr:colOff>316707</xdr:colOff>
      <xdr:row>0</xdr:row>
      <xdr:rowOff>0</xdr:rowOff>
    </xdr:from>
    <xdr:to>
      <xdr:col>13</xdr:col>
      <xdr:colOff>986382</xdr:colOff>
      <xdr:row>0</xdr:row>
      <xdr:rowOff>266700</xdr:rowOff>
    </xdr:to>
    <xdr:sp macro="" textlink="">
      <xdr:nvSpPr>
        <xdr:cNvPr id="29709" name="WordArt 13">
          <a:hlinkClick xmlns:r="http://schemas.openxmlformats.org/officeDocument/2006/relationships" r:id="rId4"/>
          <a:extLst>
            <a:ext uri="{FF2B5EF4-FFF2-40B4-BE49-F238E27FC236}">
              <a16:creationId xmlns:a16="http://schemas.microsoft.com/office/drawing/2014/main" id="{00000000-0008-0000-0B00-00000D740000}"/>
            </a:ext>
          </a:extLst>
        </xdr:cNvPr>
        <xdr:cNvSpPr>
          <a:spLocks noChangeArrowheads="1" noChangeShapeType="1" noTextEdit="1"/>
        </xdr:cNvSpPr>
      </xdr:nvSpPr>
      <xdr:spPr bwMode="auto">
        <a:xfrm>
          <a:off x="9820275" y="0"/>
          <a:ext cx="2057400" cy="266700"/>
        </a:xfrm>
        <a:prstGeom prst="rect">
          <a:avLst/>
        </a:prstGeom>
      </xdr:spPr>
      <xdr:txBody>
        <a:bodyPr wrap="none" fromWordArt="1">
          <a:prstTxWarp prst="textPlain">
            <a:avLst>
              <a:gd name="adj" fmla="val 50000"/>
            </a:avLst>
          </a:prstTxWarp>
        </a:bodyPr>
        <a:lstStyle/>
        <a:p>
          <a:pPr algn="ctr" rtl="0"/>
          <a:r>
            <a:rPr lang="fr-FR" sz="800" kern="10" spc="0">
              <a:ln w="9525">
                <a:noFill/>
                <a:round/>
                <a:headEnd/>
                <a:tailEnd/>
              </a:ln>
              <a:noFill/>
              <a:effectLst/>
              <a:latin typeface="Arial Black"/>
            </a:rPr>
            <a:t>intelligent energy europe</a:t>
          </a:r>
        </a:p>
      </xdr:txBody>
    </xdr:sp>
    <xdr:clientData/>
  </xdr:twoCellAnchor>
  <mc:AlternateContent xmlns:mc="http://schemas.openxmlformats.org/markup-compatibility/2006">
    <mc:Choice xmlns:a14="http://schemas.microsoft.com/office/drawing/2010/main" Requires="a14">
      <xdr:twoCellAnchor editAs="oneCell">
        <xdr:from>
          <xdr:col>9</xdr:col>
          <xdr:colOff>38100</xdr:colOff>
          <xdr:row>14</xdr:row>
          <xdr:rowOff>47625</xdr:rowOff>
        </xdr:from>
        <xdr:to>
          <xdr:col>13</xdr:col>
          <xdr:colOff>885825</xdr:colOff>
          <xdr:row>16</xdr:row>
          <xdr:rowOff>85725</xdr:rowOff>
        </xdr:to>
        <xdr:sp macro="" textlink="">
          <xdr:nvSpPr>
            <xdr:cNvPr id="29700" name="CheckBox2" hidden="1">
              <a:extLst>
                <a:ext uri="{63B3BB69-23CF-44E3-9099-C40C66FF867C}">
                  <a14:compatExt spid="_x0000_s29700"/>
                </a:ext>
                <a:ext uri="{FF2B5EF4-FFF2-40B4-BE49-F238E27FC236}">
                  <a16:creationId xmlns:a16="http://schemas.microsoft.com/office/drawing/2014/main" id="{00000000-0008-0000-0B00-000004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12</xdr:row>
          <xdr:rowOff>0</xdr:rowOff>
        </xdr:from>
        <xdr:to>
          <xdr:col>13</xdr:col>
          <xdr:colOff>866775</xdr:colOff>
          <xdr:row>14</xdr:row>
          <xdr:rowOff>171450</xdr:rowOff>
        </xdr:to>
        <xdr:sp macro="" textlink="">
          <xdr:nvSpPr>
            <xdr:cNvPr id="29701" name="CheckBox1" hidden="1">
              <a:extLst>
                <a:ext uri="{63B3BB69-23CF-44E3-9099-C40C66FF867C}">
                  <a14:compatExt spid="_x0000_s29701"/>
                </a:ext>
                <a:ext uri="{FF2B5EF4-FFF2-40B4-BE49-F238E27FC236}">
                  <a16:creationId xmlns:a16="http://schemas.microsoft.com/office/drawing/2014/main" id="{00000000-0008-0000-0B00-000005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128</xdr:row>
          <xdr:rowOff>0</xdr:rowOff>
        </xdr:from>
        <xdr:to>
          <xdr:col>3</xdr:col>
          <xdr:colOff>47625</xdr:colOff>
          <xdr:row>129</xdr:row>
          <xdr:rowOff>28575</xdr:rowOff>
        </xdr:to>
        <xdr:sp macro="" textlink="">
          <xdr:nvSpPr>
            <xdr:cNvPr id="29718" name="ComboBox1" hidden="1">
              <a:extLst>
                <a:ext uri="{63B3BB69-23CF-44E3-9099-C40C66FF867C}">
                  <a14:compatExt spid="_x0000_s29718"/>
                </a:ext>
                <a:ext uri="{FF2B5EF4-FFF2-40B4-BE49-F238E27FC236}">
                  <a16:creationId xmlns:a16="http://schemas.microsoft.com/office/drawing/2014/main" id="{00000000-0008-0000-0B00-000016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145</xdr:row>
          <xdr:rowOff>0</xdr:rowOff>
        </xdr:from>
        <xdr:to>
          <xdr:col>3</xdr:col>
          <xdr:colOff>47625</xdr:colOff>
          <xdr:row>146</xdr:row>
          <xdr:rowOff>9525</xdr:rowOff>
        </xdr:to>
        <xdr:sp macro="" textlink="">
          <xdr:nvSpPr>
            <xdr:cNvPr id="29921" name="ComboBox2" hidden="1">
              <a:extLst>
                <a:ext uri="{63B3BB69-23CF-44E3-9099-C40C66FF867C}">
                  <a14:compatExt spid="_x0000_s29921"/>
                </a:ext>
                <a:ext uri="{FF2B5EF4-FFF2-40B4-BE49-F238E27FC236}">
                  <a16:creationId xmlns:a16="http://schemas.microsoft.com/office/drawing/2014/main" id="{00000000-0008-0000-0B00-0000E1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1409700</xdr:colOff>
          <xdr:row>18</xdr:row>
          <xdr:rowOff>95250</xdr:rowOff>
        </xdr:from>
        <xdr:to>
          <xdr:col>3</xdr:col>
          <xdr:colOff>581025</xdr:colOff>
          <xdr:row>19</xdr:row>
          <xdr:rowOff>219075</xdr:rowOff>
        </xdr:to>
        <xdr:sp macro="" textlink="">
          <xdr:nvSpPr>
            <xdr:cNvPr id="30274" name="cmdTrackChanges" hidden="1">
              <a:extLst>
                <a:ext uri="{63B3BB69-23CF-44E3-9099-C40C66FF867C}">
                  <a14:compatExt spid="_x0000_s30274"/>
                </a:ext>
                <a:ext uri="{FF2B5EF4-FFF2-40B4-BE49-F238E27FC236}">
                  <a16:creationId xmlns:a16="http://schemas.microsoft.com/office/drawing/2014/main" id="{00000000-0008-0000-0B00-0000427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438150</xdr:colOff>
          <xdr:row>0</xdr:row>
          <xdr:rowOff>800100</xdr:rowOff>
        </xdr:from>
        <xdr:to>
          <xdr:col>12</xdr:col>
          <xdr:colOff>85725</xdr:colOff>
          <xdr:row>1</xdr:row>
          <xdr:rowOff>0</xdr:rowOff>
        </xdr:to>
        <xdr:sp macro="" textlink="">
          <xdr:nvSpPr>
            <xdr:cNvPr id="30343" name="Label 647" hidden="1">
              <a:extLst>
                <a:ext uri="{63B3BB69-23CF-44E3-9099-C40C66FF867C}">
                  <a14:compatExt spid="_x0000_s30343"/>
                </a:ext>
                <a:ext uri="{FF2B5EF4-FFF2-40B4-BE49-F238E27FC236}">
                  <a16:creationId xmlns:a16="http://schemas.microsoft.com/office/drawing/2014/main" id="{00000000-0008-0000-0B00-00008776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0</xdr:colOff>
          <xdr:row>0</xdr:row>
          <xdr:rowOff>800100</xdr:rowOff>
        </xdr:from>
        <xdr:to>
          <xdr:col>13</xdr:col>
          <xdr:colOff>1000125</xdr:colOff>
          <xdr:row>1</xdr:row>
          <xdr:rowOff>0</xdr:rowOff>
        </xdr:to>
        <xdr:sp macro="" textlink="">
          <xdr:nvSpPr>
            <xdr:cNvPr id="30344" name="Label 648" hidden="1">
              <a:extLst>
                <a:ext uri="{63B3BB69-23CF-44E3-9099-C40C66FF867C}">
                  <a14:compatExt spid="_x0000_s30344"/>
                </a:ext>
                <a:ext uri="{FF2B5EF4-FFF2-40B4-BE49-F238E27FC236}">
                  <a16:creationId xmlns:a16="http://schemas.microsoft.com/office/drawing/2014/main" id="{00000000-0008-0000-0B00-00008876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0</xdr:col>
      <xdr:colOff>0</xdr:colOff>
      <xdr:row>0</xdr:row>
      <xdr:rowOff>0</xdr:rowOff>
    </xdr:from>
    <xdr:to>
      <xdr:col>14</xdr:col>
      <xdr:colOff>885825</xdr:colOff>
      <xdr:row>1</xdr:row>
      <xdr:rowOff>0</xdr:rowOff>
    </xdr:to>
    <xdr:grpSp>
      <xdr:nvGrpSpPr>
        <xdr:cNvPr id="1841" name="Groep 11">
          <a:extLst>
            <a:ext uri="{FF2B5EF4-FFF2-40B4-BE49-F238E27FC236}">
              <a16:creationId xmlns:a16="http://schemas.microsoft.com/office/drawing/2014/main" id="{00000000-0008-0000-0C00-000031070000}"/>
            </a:ext>
          </a:extLst>
        </xdr:cNvPr>
        <xdr:cNvGrpSpPr>
          <a:grpSpLocks/>
        </xdr:cNvGrpSpPr>
      </xdr:nvGrpSpPr>
      <xdr:grpSpPr bwMode="auto">
        <a:xfrm>
          <a:off x="0" y="0"/>
          <a:ext cx="12887325" cy="1295400"/>
          <a:chOff x="0" y="0"/>
          <a:chExt cx="12875419" cy="1297781"/>
        </a:xfrm>
      </xdr:grpSpPr>
      <xdr:pic>
        <xdr:nvPicPr>
          <xdr:cNvPr id="1844" name="Picture 14" descr="Header_Calculator_300dpi_2">
            <a:extLst>
              <a:ext uri="{FF2B5EF4-FFF2-40B4-BE49-F238E27FC236}">
                <a16:creationId xmlns:a16="http://schemas.microsoft.com/office/drawing/2014/main" id="{00000000-0008-0000-0C00-00003407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2875419" cy="12977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845" name="Afbeelding 13">
            <a:extLst>
              <a:ext uri="{FF2B5EF4-FFF2-40B4-BE49-F238E27FC236}">
                <a16:creationId xmlns:a16="http://schemas.microsoft.com/office/drawing/2014/main" id="{00000000-0008-0000-0C00-00003507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7576"/>
          <a:stretch>
            <a:fillRect/>
          </a:stretch>
        </xdr:blipFill>
        <xdr:spPr bwMode="auto">
          <a:xfrm>
            <a:off x="0" y="1"/>
            <a:ext cx="5107781" cy="12891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twoCellAnchor>
    <xdr:from>
      <xdr:col>7</xdr:col>
      <xdr:colOff>1209675</xdr:colOff>
      <xdr:row>0</xdr:row>
      <xdr:rowOff>133350</xdr:rowOff>
    </xdr:from>
    <xdr:to>
      <xdr:col>10</xdr:col>
      <xdr:colOff>118808</xdr:colOff>
      <xdr:row>0</xdr:row>
      <xdr:rowOff>295275</xdr:rowOff>
    </xdr:to>
    <xdr:sp macro="" textlink="">
      <xdr:nvSpPr>
        <xdr:cNvPr id="1105" name="WordArt 81">
          <a:hlinkClick xmlns:r="http://schemas.openxmlformats.org/officeDocument/2006/relationships" r:id="rId3"/>
          <a:extLst>
            <a:ext uri="{FF2B5EF4-FFF2-40B4-BE49-F238E27FC236}">
              <a16:creationId xmlns:a16="http://schemas.microsoft.com/office/drawing/2014/main" id="{00000000-0008-0000-0C00-000051040000}"/>
            </a:ext>
          </a:extLst>
        </xdr:cNvPr>
        <xdr:cNvSpPr>
          <a:spLocks noChangeArrowheads="1" noChangeShapeType="1" noTextEdit="1"/>
        </xdr:cNvSpPr>
      </xdr:nvSpPr>
      <xdr:spPr bwMode="auto">
        <a:xfrm>
          <a:off x="8181975" y="133350"/>
          <a:ext cx="1438275" cy="161925"/>
        </a:xfrm>
        <a:prstGeom prst="rect">
          <a:avLst/>
        </a:prstGeom>
      </xdr:spPr>
      <xdr:txBody>
        <a:bodyPr wrap="none" fromWordArt="1">
          <a:prstTxWarp prst="textPlain">
            <a:avLst>
              <a:gd name="adj" fmla="val 50000"/>
            </a:avLst>
          </a:prstTxWarp>
        </a:bodyPr>
        <a:lstStyle/>
        <a:p>
          <a:pPr algn="ctr" rtl="0"/>
          <a:r>
            <a:rPr lang="fr-FR" sz="800" kern="10" spc="0">
              <a:ln w="9525">
                <a:noFill/>
                <a:round/>
                <a:headEnd/>
                <a:tailEnd/>
              </a:ln>
              <a:noFill/>
              <a:effectLst/>
              <a:latin typeface="Arial Black"/>
            </a:rPr>
            <a:t>www.biograce.net</a:t>
          </a:r>
        </a:p>
      </xdr:txBody>
    </xdr:sp>
    <xdr:clientData/>
  </xdr:twoCellAnchor>
  <xdr:twoCellAnchor>
    <xdr:from>
      <xdr:col>10</xdr:col>
      <xdr:colOff>316707</xdr:colOff>
      <xdr:row>0</xdr:row>
      <xdr:rowOff>0</xdr:rowOff>
    </xdr:from>
    <xdr:to>
      <xdr:col>13</xdr:col>
      <xdr:colOff>986382</xdr:colOff>
      <xdr:row>0</xdr:row>
      <xdr:rowOff>266700</xdr:rowOff>
    </xdr:to>
    <xdr:sp macro="" textlink="">
      <xdr:nvSpPr>
        <xdr:cNvPr id="1106" name="WordArt 82">
          <a:hlinkClick xmlns:r="http://schemas.openxmlformats.org/officeDocument/2006/relationships" r:id="rId4"/>
          <a:extLst>
            <a:ext uri="{FF2B5EF4-FFF2-40B4-BE49-F238E27FC236}">
              <a16:creationId xmlns:a16="http://schemas.microsoft.com/office/drawing/2014/main" id="{00000000-0008-0000-0C00-000052040000}"/>
            </a:ext>
          </a:extLst>
        </xdr:cNvPr>
        <xdr:cNvSpPr>
          <a:spLocks noChangeArrowheads="1" noChangeShapeType="1" noTextEdit="1"/>
        </xdr:cNvSpPr>
      </xdr:nvSpPr>
      <xdr:spPr bwMode="auto">
        <a:xfrm>
          <a:off x="9820275" y="0"/>
          <a:ext cx="2057400" cy="266700"/>
        </a:xfrm>
        <a:prstGeom prst="rect">
          <a:avLst/>
        </a:prstGeom>
      </xdr:spPr>
      <xdr:txBody>
        <a:bodyPr wrap="none" fromWordArt="1">
          <a:prstTxWarp prst="textPlain">
            <a:avLst>
              <a:gd name="adj" fmla="val 50000"/>
            </a:avLst>
          </a:prstTxWarp>
        </a:bodyPr>
        <a:lstStyle/>
        <a:p>
          <a:pPr algn="ctr" rtl="0"/>
          <a:r>
            <a:rPr lang="fr-FR" sz="800" kern="10" spc="0">
              <a:ln w="9525">
                <a:noFill/>
                <a:round/>
                <a:headEnd/>
                <a:tailEnd/>
              </a:ln>
              <a:noFill/>
              <a:effectLst/>
              <a:latin typeface="Arial Black"/>
            </a:rPr>
            <a:t>intelligent energy europe</a:t>
          </a:r>
        </a:p>
      </xdr:txBody>
    </xdr:sp>
    <xdr:clientData/>
  </xdr:twoCellAnchor>
  <mc:AlternateContent xmlns:mc="http://schemas.openxmlformats.org/markup-compatibility/2006">
    <mc:Choice xmlns:a14="http://schemas.microsoft.com/office/drawing/2010/main" Requires="a14">
      <xdr:twoCellAnchor editAs="oneCell">
        <xdr:from>
          <xdr:col>9</xdr:col>
          <xdr:colOff>38100</xdr:colOff>
          <xdr:row>14</xdr:row>
          <xdr:rowOff>47625</xdr:rowOff>
        </xdr:from>
        <xdr:to>
          <xdr:col>13</xdr:col>
          <xdr:colOff>885825</xdr:colOff>
          <xdr:row>16</xdr:row>
          <xdr:rowOff>85725</xdr:rowOff>
        </xdr:to>
        <xdr:sp macro="" textlink="">
          <xdr:nvSpPr>
            <xdr:cNvPr id="1092" name="CheckBox2" hidden="1">
              <a:extLst>
                <a:ext uri="{63B3BB69-23CF-44E3-9099-C40C66FF867C}">
                  <a14:compatExt spid="_x0000_s1092"/>
                </a:ext>
                <a:ext uri="{FF2B5EF4-FFF2-40B4-BE49-F238E27FC236}">
                  <a16:creationId xmlns:a16="http://schemas.microsoft.com/office/drawing/2014/main" id="{00000000-0008-0000-0C00-00004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12</xdr:row>
          <xdr:rowOff>0</xdr:rowOff>
        </xdr:from>
        <xdr:to>
          <xdr:col>13</xdr:col>
          <xdr:colOff>866775</xdr:colOff>
          <xdr:row>14</xdr:row>
          <xdr:rowOff>171450</xdr:rowOff>
        </xdr:to>
        <xdr:sp macro="" textlink="">
          <xdr:nvSpPr>
            <xdr:cNvPr id="1096" name="CheckBox1" hidden="1">
              <a:extLst>
                <a:ext uri="{63B3BB69-23CF-44E3-9099-C40C66FF867C}">
                  <a14:compatExt spid="_x0000_s1096"/>
                </a:ext>
                <a:ext uri="{FF2B5EF4-FFF2-40B4-BE49-F238E27FC236}">
                  <a16:creationId xmlns:a16="http://schemas.microsoft.com/office/drawing/2014/main" id="{00000000-0008-0000-0C00-00004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119</xdr:row>
          <xdr:rowOff>190500</xdr:rowOff>
        </xdr:from>
        <xdr:to>
          <xdr:col>3</xdr:col>
          <xdr:colOff>19050</xdr:colOff>
          <xdr:row>121</xdr:row>
          <xdr:rowOff>0</xdr:rowOff>
        </xdr:to>
        <xdr:sp macro="" textlink="">
          <xdr:nvSpPr>
            <xdr:cNvPr id="1112" name="ComboBox1" hidden="1">
              <a:extLst>
                <a:ext uri="{63B3BB69-23CF-44E3-9099-C40C66FF867C}">
                  <a14:compatExt spid="_x0000_s1112"/>
                </a:ext>
                <a:ext uri="{FF2B5EF4-FFF2-40B4-BE49-F238E27FC236}">
                  <a16:creationId xmlns:a16="http://schemas.microsoft.com/office/drawing/2014/main" id="{00000000-0008-0000-0C00-00005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137</xdr:row>
          <xdr:rowOff>0</xdr:rowOff>
        </xdr:from>
        <xdr:to>
          <xdr:col>3</xdr:col>
          <xdr:colOff>38100</xdr:colOff>
          <xdr:row>138</xdr:row>
          <xdr:rowOff>9525</xdr:rowOff>
        </xdr:to>
        <xdr:sp macro="" textlink="">
          <xdr:nvSpPr>
            <xdr:cNvPr id="1316" name="ComboBox2" hidden="1">
              <a:extLst>
                <a:ext uri="{63B3BB69-23CF-44E3-9099-C40C66FF867C}">
                  <a14:compatExt spid="_x0000_s1316"/>
                </a:ext>
                <a:ext uri="{FF2B5EF4-FFF2-40B4-BE49-F238E27FC236}">
                  <a16:creationId xmlns:a16="http://schemas.microsoft.com/office/drawing/2014/main" id="{00000000-0008-0000-0C00-000024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1314450</xdr:colOff>
          <xdr:row>18</xdr:row>
          <xdr:rowOff>95250</xdr:rowOff>
        </xdr:from>
        <xdr:to>
          <xdr:col>3</xdr:col>
          <xdr:colOff>485775</xdr:colOff>
          <xdr:row>19</xdr:row>
          <xdr:rowOff>219075</xdr:rowOff>
        </xdr:to>
        <xdr:sp macro="" textlink="">
          <xdr:nvSpPr>
            <xdr:cNvPr id="1671" name="cmdTrackChanges" hidden="1">
              <a:extLst>
                <a:ext uri="{63B3BB69-23CF-44E3-9099-C40C66FF867C}">
                  <a14:compatExt spid="_x0000_s1671"/>
                </a:ext>
                <a:ext uri="{FF2B5EF4-FFF2-40B4-BE49-F238E27FC236}">
                  <a16:creationId xmlns:a16="http://schemas.microsoft.com/office/drawing/2014/main" id="{00000000-0008-0000-0C00-0000870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438150</xdr:colOff>
          <xdr:row>0</xdr:row>
          <xdr:rowOff>800100</xdr:rowOff>
        </xdr:from>
        <xdr:to>
          <xdr:col>12</xdr:col>
          <xdr:colOff>85725</xdr:colOff>
          <xdr:row>1</xdr:row>
          <xdr:rowOff>0</xdr:rowOff>
        </xdr:to>
        <xdr:sp macro="" textlink="">
          <xdr:nvSpPr>
            <xdr:cNvPr id="1738" name="Label 714" hidden="1">
              <a:extLst>
                <a:ext uri="{63B3BB69-23CF-44E3-9099-C40C66FF867C}">
                  <a14:compatExt spid="_x0000_s1738"/>
                </a:ext>
                <a:ext uri="{FF2B5EF4-FFF2-40B4-BE49-F238E27FC236}">
                  <a16:creationId xmlns:a16="http://schemas.microsoft.com/office/drawing/2014/main" id="{00000000-0008-0000-0C00-0000CA06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161925</xdr:colOff>
          <xdr:row>0</xdr:row>
          <xdr:rowOff>800100</xdr:rowOff>
        </xdr:from>
        <xdr:to>
          <xdr:col>13</xdr:col>
          <xdr:colOff>990600</xdr:colOff>
          <xdr:row>1</xdr:row>
          <xdr:rowOff>0</xdr:rowOff>
        </xdr:to>
        <xdr:sp macro="" textlink="">
          <xdr:nvSpPr>
            <xdr:cNvPr id="1739" name="Label 715" hidden="1">
              <a:extLst>
                <a:ext uri="{63B3BB69-23CF-44E3-9099-C40C66FF867C}">
                  <a14:compatExt spid="_x0000_s1739"/>
                </a:ext>
                <a:ext uri="{FF2B5EF4-FFF2-40B4-BE49-F238E27FC236}">
                  <a16:creationId xmlns:a16="http://schemas.microsoft.com/office/drawing/2014/main" id="{00000000-0008-0000-0C00-0000CB06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0</xdr:col>
      <xdr:colOff>0</xdr:colOff>
      <xdr:row>0</xdr:row>
      <xdr:rowOff>0</xdr:rowOff>
    </xdr:from>
    <xdr:to>
      <xdr:col>14</xdr:col>
      <xdr:colOff>885825</xdr:colOff>
      <xdr:row>1</xdr:row>
      <xdr:rowOff>0</xdr:rowOff>
    </xdr:to>
    <xdr:grpSp>
      <xdr:nvGrpSpPr>
        <xdr:cNvPr id="20212" name="Groep 11">
          <a:extLst>
            <a:ext uri="{FF2B5EF4-FFF2-40B4-BE49-F238E27FC236}">
              <a16:creationId xmlns:a16="http://schemas.microsoft.com/office/drawing/2014/main" id="{00000000-0008-0000-0D00-0000F44E0000}"/>
            </a:ext>
          </a:extLst>
        </xdr:cNvPr>
        <xdr:cNvGrpSpPr>
          <a:grpSpLocks/>
        </xdr:cNvGrpSpPr>
      </xdr:nvGrpSpPr>
      <xdr:grpSpPr bwMode="auto">
        <a:xfrm>
          <a:off x="0" y="0"/>
          <a:ext cx="12887325" cy="1295400"/>
          <a:chOff x="0" y="0"/>
          <a:chExt cx="12875419" cy="1297781"/>
        </a:xfrm>
      </xdr:grpSpPr>
      <xdr:pic>
        <xdr:nvPicPr>
          <xdr:cNvPr id="20215" name="Picture 14" descr="Header_Calculator_300dpi_2">
            <a:extLst>
              <a:ext uri="{FF2B5EF4-FFF2-40B4-BE49-F238E27FC236}">
                <a16:creationId xmlns:a16="http://schemas.microsoft.com/office/drawing/2014/main" id="{00000000-0008-0000-0D00-0000F74E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2875419" cy="12977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20216" name="Afbeelding 13">
            <a:extLst>
              <a:ext uri="{FF2B5EF4-FFF2-40B4-BE49-F238E27FC236}">
                <a16:creationId xmlns:a16="http://schemas.microsoft.com/office/drawing/2014/main" id="{00000000-0008-0000-0D00-0000F84E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7576"/>
          <a:stretch>
            <a:fillRect/>
          </a:stretch>
        </xdr:blipFill>
        <xdr:spPr bwMode="auto">
          <a:xfrm>
            <a:off x="0" y="1"/>
            <a:ext cx="5107781" cy="12891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twoCellAnchor>
    <xdr:from>
      <xdr:col>7</xdr:col>
      <xdr:colOff>1209675</xdr:colOff>
      <xdr:row>0</xdr:row>
      <xdr:rowOff>133350</xdr:rowOff>
    </xdr:from>
    <xdr:to>
      <xdr:col>10</xdr:col>
      <xdr:colOff>118808</xdr:colOff>
      <xdr:row>0</xdr:row>
      <xdr:rowOff>295275</xdr:rowOff>
    </xdr:to>
    <xdr:sp macro="" textlink="">
      <xdr:nvSpPr>
        <xdr:cNvPr id="19471" name="WordArt 15">
          <a:hlinkClick xmlns:r="http://schemas.openxmlformats.org/officeDocument/2006/relationships" r:id="rId3"/>
          <a:extLst>
            <a:ext uri="{FF2B5EF4-FFF2-40B4-BE49-F238E27FC236}">
              <a16:creationId xmlns:a16="http://schemas.microsoft.com/office/drawing/2014/main" id="{00000000-0008-0000-0D00-00000F4C0000}"/>
            </a:ext>
          </a:extLst>
        </xdr:cNvPr>
        <xdr:cNvSpPr>
          <a:spLocks noChangeArrowheads="1" noChangeShapeType="1" noTextEdit="1"/>
        </xdr:cNvSpPr>
      </xdr:nvSpPr>
      <xdr:spPr bwMode="auto">
        <a:xfrm>
          <a:off x="8181975" y="133350"/>
          <a:ext cx="1438275" cy="161925"/>
        </a:xfrm>
        <a:prstGeom prst="rect">
          <a:avLst/>
        </a:prstGeom>
      </xdr:spPr>
      <xdr:txBody>
        <a:bodyPr wrap="none" fromWordArt="1">
          <a:prstTxWarp prst="textPlain">
            <a:avLst>
              <a:gd name="adj" fmla="val 50000"/>
            </a:avLst>
          </a:prstTxWarp>
        </a:bodyPr>
        <a:lstStyle/>
        <a:p>
          <a:pPr algn="ctr" rtl="0"/>
          <a:r>
            <a:rPr lang="fr-FR" sz="800" kern="10" spc="0">
              <a:ln w="9525">
                <a:noFill/>
                <a:round/>
                <a:headEnd/>
                <a:tailEnd/>
              </a:ln>
              <a:noFill/>
              <a:effectLst/>
              <a:latin typeface="Arial Black"/>
            </a:rPr>
            <a:t>www.biograce.net</a:t>
          </a:r>
        </a:p>
      </xdr:txBody>
    </xdr:sp>
    <xdr:clientData/>
  </xdr:twoCellAnchor>
  <xdr:twoCellAnchor>
    <xdr:from>
      <xdr:col>10</xdr:col>
      <xdr:colOff>316707</xdr:colOff>
      <xdr:row>0</xdr:row>
      <xdr:rowOff>0</xdr:rowOff>
    </xdr:from>
    <xdr:to>
      <xdr:col>13</xdr:col>
      <xdr:colOff>986382</xdr:colOff>
      <xdr:row>0</xdr:row>
      <xdr:rowOff>266700</xdr:rowOff>
    </xdr:to>
    <xdr:sp macro="" textlink="">
      <xdr:nvSpPr>
        <xdr:cNvPr id="19472" name="WordArt 16">
          <a:hlinkClick xmlns:r="http://schemas.openxmlformats.org/officeDocument/2006/relationships" r:id="rId4"/>
          <a:extLst>
            <a:ext uri="{FF2B5EF4-FFF2-40B4-BE49-F238E27FC236}">
              <a16:creationId xmlns:a16="http://schemas.microsoft.com/office/drawing/2014/main" id="{00000000-0008-0000-0D00-0000104C0000}"/>
            </a:ext>
          </a:extLst>
        </xdr:cNvPr>
        <xdr:cNvSpPr>
          <a:spLocks noChangeArrowheads="1" noChangeShapeType="1" noTextEdit="1"/>
        </xdr:cNvSpPr>
      </xdr:nvSpPr>
      <xdr:spPr bwMode="auto">
        <a:xfrm>
          <a:off x="9820275" y="0"/>
          <a:ext cx="2057400" cy="266700"/>
        </a:xfrm>
        <a:prstGeom prst="rect">
          <a:avLst/>
        </a:prstGeom>
      </xdr:spPr>
      <xdr:txBody>
        <a:bodyPr wrap="none" fromWordArt="1">
          <a:prstTxWarp prst="textPlain">
            <a:avLst>
              <a:gd name="adj" fmla="val 50000"/>
            </a:avLst>
          </a:prstTxWarp>
        </a:bodyPr>
        <a:lstStyle/>
        <a:p>
          <a:pPr algn="ctr" rtl="0"/>
          <a:r>
            <a:rPr lang="fr-FR" sz="800" kern="10" spc="0">
              <a:ln w="9525">
                <a:noFill/>
                <a:round/>
                <a:headEnd/>
                <a:tailEnd/>
              </a:ln>
              <a:noFill/>
              <a:effectLst/>
              <a:latin typeface="Arial Black"/>
            </a:rPr>
            <a:t>intelligent energy europe</a:t>
          </a:r>
        </a:p>
      </xdr:txBody>
    </xdr:sp>
    <xdr:clientData/>
  </xdr:twoCellAnchor>
  <mc:AlternateContent xmlns:mc="http://schemas.openxmlformats.org/markup-compatibility/2006">
    <mc:Choice xmlns:a14="http://schemas.microsoft.com/office/drawing/2010/main" Requires="a14">
      <xdr:twoCellAnchor editAs="oneCell">
        <xdr:from>
          <xdr:col>9</xdr:col>
          <xdr:colOff>38100</xdr:colOff>
          <xdr:row>14</xdr:row>
          <xdr:rowOff>47625</xdr:rowOff>
        </xdr:from>
        <xdr:to>
          <xdr:col>13</xdr:col>
          <xdr:colOff>885825</xdr:colOff>
          <xdr:row>16</xdr:row>
          <xdr:rowOff>85725</xdr:rowOff>
        </xdr:to>
        <xdr:sp macro="" textlink="">
          <xdr:nvSpPr>
            <xdr:cNvPr id="19461" name="CheckBox2" hidden="1">
              <a:extLst>
                <a:ext uri="{63B3BB69-23CF-44E3-9099-C40C66FF867C}">
                  <a14:compatExt spid="_x0000_s19461"/>
                </a:ext>
                <a:ext uri="{FF2B5EF4-FFF2-40B4-BE49-F238E27FC236}">
                  <a16:creationId xmlns:a16="http://schemas.microsoft.com/office/drawing/2014/main" id="{00000000-0008-0000-0D00-000005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12</xdr:row>
          <xdr:rowOff>0</xdr:rowOff>
        </xdr:from>
        <xdr:to>
          <xdr:col>13</xdr:col>
          <xdr:colOff>866775</xdr:colOff>
          <xdr:row>14</xdr:row>
          <xdr:rowOff>171450</xdr:rowOff>
        </xdr:to>
        <xdr:sp macro="" textlink="">
          <xdr:nvSpPr>
            <xdr:cNvPr id="19462" name="CheckBox1" hidden="1">
              <a:extLst>
                <a:ext uri="{63B3BB69-23CF-44E3-9099-C40C66FF867C}">
                  <a14:compatExt spid="_x0000_s19462"/>
                </a:ext>
                <a:ext uri="{FF2B5EF4-FFF2-40B4-BE49-F238E27FC236}">
                  <a16:creationId xmlns:a16="http://schemas.microsoft.com/office/drawing/2014/main" id="{00000000-0008-0000-0D00-000006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128</xdr:row>
          <xdr:rowOff>0</xdr:rowOff>
        </xdr:from>
        <xdr:to>
          <xdr:col>3</xdr:col>
          <xdr:colOff>47625</xdr:colOff>
          <xdr:row>129</xdr:row>
          <xdr:rowOff>9525</xdr:rowOff>
        </xdr:to>
        <xdr:sp macro="" textlink="">
          <xdr:nvSpPr>
            <xdr:cNvPr id="19480" name="ComboBox1" hidden="1">
              <a:extLst>
                <a:ext uri="{63B3BB69-23CF-44E3-9099-C40C66FF867C}">
                  <a14:compatExt spid="_x0000_s19480"/>
                </a:ext>
                <a:ext uri="{FF2B5EF4-FFF2-40B4-BE49-F238E27FC236}">
                  <a16:creationId xmlns:a16="http://schemas.microsoft.com/office/drawing/2014/main" id="{00000000-0008-0000-0D00-000018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145</xdr:row>
          <xdr:rowOff>0</xdr:rowOff>
        </xdr:from>
        <xdr:to>
          <xdr:col>3</xdr:col>
          <xdr:colOff>38100</xdr:colOff>
          <xdr:row>146</xdr:row>
          <xdr:rowOff>9525</xdr:rowOff>
        </xdr:to>
        <xdr:sp macro="" textlink="">
          <xdr:nvSpPr>
            <xdr:cNvPr id="19683" name="ComboBox2" hidden="1">
              <a:extLst>
                <a:ext uri="{63B3BB69-23CF-44E3-9099-C40C66FF867C}">
                  <a14:compatExt spid="_x0000_s19683"/>
                </a:ext>
                <a:ext uri="{FF2B5EF4-FFF2-40B4-BE49-F238E27FC236}">
                  <a16:creationId xmlns:a16="http://schemas.microsoft.com/office/drawing/2014/main" id="{00000000-0008-0000-0D00-0000E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1314450</xdr:colOff>
          <xdr:row>18</xdr:row>
          <xdr:rowOff>95250</xdr:rowOff>
        </xdr:from>
        <xdr:to>
          <xdr:col>3</xdr:col>
          <xdr:colOff>485775</xdr:colOff>
          <xdr:row>19</xdr:row>
          <xdr:rowOff>219075</xdr:rowOff>
        </xdr:to>
        <xdr:sp macro="" textlink="">
          <xdr:nvSpPr>
            <xdr:cNvPr id="20036" name="cmdTrackChanges" hidden="1">
              <a:extLst>
                <a:ext uri="{63B3BB69-23CF-44E3-9099-C40C66FF867C}">
                  <a14:compatExt spid="_x0000_s20036"/>
                </a:ext>
                <a:ext uri="{FF2B5EF4-FFF2-40B4-BE49-F238E27FC236}">
                  <a16:creationId xmlns:a16="http://schemas.microsoft.com/office/drawing/2014/main" id="{00000000-0008-0000-0D00-0000444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428625</xdr:colOff>
          <xdr:row>0</xdr:row>
          <xdr:rowOff>800100</xdr:rowOff>
        </xdr:from>
        <xdr:to>
          <xdr:col>12</xdr:col>
          <xdr:colOff>76200</xdr:colOff>
          <xdr:row>1</xdr:row>
          <xdr:rowOff>0</xdr:rowOff>
        </xdr:to>
        <xdr:sp macro="" textlink="">
          <xdr:nvSpPr>
            <xdr:cNvPr id="20111" name="Label 655" hidden="1">
              <a:extLst>
                <a:ext uri="{63B3BB69-23CF-44E3-9099-C40C66FF867C}">
                  <a14:compatExt spid="_x0000_s20111"/>
                </a:ext>
                <a:ext uri="{FF2B5EF4-FFF2-40B4-BE49-F238E27FC236}">
                  <a16:creationId xmlns:a16="http://schemas.microsoft.com/office/drawing/2014/main" id="{00000000-0008-0000-0D00-00008F4E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161925</xdr:colOff>
          <xdr:row>0</xdr:row>
          <xdr:rowOff>800100</xdr:rowOff>
        </xdr:from>
        <xdr:to>
          <xdr:col>13</xdr:col>
          <xdr:colOff>990600</xdr:colOff>
          <xdr:row>1</xdr:row>
          <xdr:rowOff>0</xdr:rowOff>
        </xdr:to>
        <xdr:sp macro="" textlink="">
          <xdr:nvSpPr>
            <xdr:cNvPr id="20112" name="Label 656" hidden="1">
              <a:extLst>
                <a:ext uri="{63B3BB69-23CF-44E3-9099-C40C66FF867C}">
                  <a14:compatExt spid="_x0000_s20112"/>
                </a:ext>
                <a:ext uri="{FF2B5EF4-FFF2-40B4-BE49-F238E27FC236}">
                  <a16:creationId xmlns:a16="http://schemas.microsoft.com/office/drawing/2014/main" id="{00000000-0008-0000-0D00-0000904E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0</xdr:col>
      <xdr:colOff>0</xdr:colOff>
      <xdr:row>0</xdr:row>
      <xdr:rowOff>0</xdr:rowOff>
    </xdr:from>
    <xdr:to>
      <xdr:col>14</xdr:col>
      <xdr:colOff>885825</xdr:colOff>
      <xdr:row>1</xdr:row>
      <xdr:rowOff>0</xdr:rowOff>
    </xdr:to>
    <xdr:grpSp>
      <xdr:nvGrpSpPr>
        <xdr:cNvPr id="22253" name="Groep 13">
          <a:extLst>
            <a:ext uri="{FF2B5EF4-FFF2-40B4-BE49-F238E27FC236}">
              <a16:creationId xmlns:a16="http://schemas.microsoft.com/office/drawing/2014/main" id="{00000000-0008-0000-0E00-0000ED560000}"/>
            </a:ext>
          </a:extLst>
        </xdr:cNvPr>
        <xdr:cNvGrpSpPr>
          <a:grpSpLocks/>
        </xdr:cNvGrpSpPr>
      </xdr:nvGrpSpPr>
      <xdr:grpSpPr bwMode="auto">
        <a:xfrm>
          <a:off x="0" y="0"/>
          <a:ext cx="12887325" cy="1295400"/>
          <a:chOff x="0" y="0"/>
          <a:chExt cx="12875419" cy="1297781"/>
        </a:xfrm>
      </xdr:grpSpPr>
      <xdr:pic>
        <xdr:nvPicPr>
          <xdr:cNvPr id="22256" name="Picture 14" descr="Header_Calculator_300dpi_2">
            <a:extLst>
              <a:ext uri="{FF2B5EF4-FFF2-40B4-BE49-F238E27FC236}">
                <a16:creationId xmlns:a16="http://schemas.microsoft.com/office/drawing/2014/main" id="{00000000-0008-0000-0E00-0000F056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2875419" cy="12977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22257" name="Afbeelding 15">
            <a:extLst>
              <a:ext uri="{FF2B5EF4-FFF2-40B4-BE49-F238E27FC236}">
                <a16:creationId xmlns:a16="http://schemas.microsoft.com/office/drawing/2014/main" id="{00000000-0008-0000-0E00-0000F156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7576"/>
          <a:stretch>
            <a:fillRect/>
          </a:stretch>
        </xdr:blipFill>
        <xdr:spPr bwMode="auto">
          <a:xfrm>
            <a:off x="0" y="1"/>
            <a:ext cx="5107781" cy="12891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twoCellAnchor>
    <xdr:from>
      <xdr:col>7</xdr:col>
      <xdr:colOff>1209675</xdr:colOff>
      <xdr:row>0</xdr:row>
      <xdr:rowOff>133350</xdr:rowOff>
    </xdr:from>
    <xdr:to>
      <xdr:col>10</xdr:col>
      <xdr:colOff>118808</xdr:colOff>
      <xdr:row>0</xdr:row>
      <xdr:rowOff>295275</xdr:rowOff>
    </xdr:to>
    <xdr:sp macro="" textlink="">
      <xdr:nvSpPr>
        <xdr:cNvPr id="21519" name="WordArt 15">
          <a:hlinkClick xmlns:r="http://schemas.openxmlformats.org/officeDocument/2006/relationships" r:id="rId3"/>
          <a:extLst>
            <a:ext uri="{FF2B5EF4-FFF2-40B4-BE49-F238E27FC236}">
              <a16:creationId xmlns:a16="http://schemas.microsoft.com/office/drawing/2014/main" id="{00000000-0008-0000-0E00-00000F540000}"/>
            </a:ext>
          </a:extLst>
        </xdr:cNvPr>
        <xdr:cNvSpPr>
          <a:spLocks noChangeArrowheads="1" noChangeShapeType="1" noTextEdit="1"/>
        </xdr:cNvSpPr>
      </xdr:nvSpPr>
      <xdr:spPr bwMode="auto">
        <a:xfrm>
          <a:off x="8181975" y="133350"/>
          <a:ext cx="1438275" cy="161925"/>
        </a:xfrm>
        <a:prstGeom prst="rect">
          <a:avLst/>
        </a:prstGeom>
      </xdr:spPr>
      <xdr:txBody>
        <a:bodyPr wrap="none" fromWordArt="1">
          <a:prstTxWarp prst="textPlain">
            <a:avLst>
              <a:gd name="adj" fmla="val 50000"/>
            </a:avLst>
          </a:prstTxWarp>
        </a:bodyPr>
        <a:lstStyle/>
        <a:p>
          <a:pPr algn="ctr" rtl="0"/>
          <a:r>
            <a:rPr lang="fr-FR" sz="800" kern="10" spc="0">
              <a:ln w="9525">
                <a:noFill/>
                <a:round/>
                <a:headEnd/>
                <a:tailEnd/>
              </a:ln>
              <a:noFill/>
              <a:effectLst/>
              <a:latin typeface="Arial Black"/>
            </a:rPr>
            <a:t>www.biograce.net</a:t>
          </a:r>
        </a:p>
      </xdr:txBody>
    </xdr:sp>
    <xdr:clientData/>
  </xdr:twoCellAnchor>
  <xdr:twoCellAnchor>
    <xdr:from>
      <xdr:col>10</xdr:col>
      <xdr:colOff>316707</xdr:colOff>
      <xdr:row>0</xdr:row>
      <xdr:rowOff>0</xdr:rowOff>
    </xdr:from>
    <xdr:to>
      <xdr:col>13</xdr:col>
      <xdr:colOff>986382</xdr:colOff>
      <xdr:row>0</xdr:row>
      <xdr:rowOff>266700</xdr:rowOff>
    </xdr:to>
    <xdr:sp macro="" textlink="">
      <xdr:nvSpPr>
        <xdr:cNvPr id="21520" name="WordArt 16">
          <a:hlinkClick xmlns:r="http://schemas.openxmlformats.org/officeDocument/2006/relationships" r:id="rId4"/>
          <a:extLst>
            <a:ext uri="{FF2B5EF4-FFF2-40B4-BE49-F238E27FC236}">
              <a16:creationId xmlns:a16="http://schemas.microsoft.com/office/drawing/2014/main" id="{00000000-0008-0000-0E00-000010540000}"/>
            </a:ext>
          </a:extLst>
        </xdr:cNvPr>
        <xdr:cNvSpPr>
          <a:spLocks noChangeArrowheads="1" noChangeShapeType="1" noTextEdit="1"/>
        </xdr:cNvSpPr>
      </xdr:nvSpPr>
      <xdr:spPr bwMode="auto">
        <a:xfrm>
          <a:off x="9820275" y="0"/>
          <a:ext cx="2057400" cy="266700"/>
        </a:xfrm>
        <a:prstGeom prst="rect">
          <a:avLst/>
        </a:prstGeom>
      </xdr:spPr>
      <xdr:txBody>
        <a:bodyPr wrap="none" fromWordArt="1">
          <a:prstTxWarp prst="textPlain">
            <a:avLst>
              <a:gd name="adj" fmla="val 50000"/>
            </a:avLst>
          </a:prstTxWarp>
        </a:bodyPr>
        <a:lstStyle/>
        <a:p>
          <a:pPr algn="ctr" rtl="0"/>
          <a:r>
            <a:rPr lang="fr-FR" sz="800" kern="10" spc="0">
              <a:ln w="9525">
                <a:noFill/>
                <a:round/>
                <a:headEnd/>
                <a:tailEnd/>
              </a:ln>
              <a:noFill/>
              <a:effectLst/>
              <a:latin typeface="Arial Black"/>
            </a:rPr>
            <a:t>intelligent energy europe</a:t>
          </a:r>
        </a:p>
      </xdr:txBody>
    </xdr:sp>
    <xdr:clientData/>
  </xdr:twoCellAnchor>
  <mc:AlternateContent xmlns:mc="http://schemas.openxmlformats.org/markup-compatibility/2006">
    <mc:Choice xmlns:a14="http://schemas.microsoft.com/office/drawing/2010/main" Requires="a14">
      <xdr:twoCellAnchor editAs="oneCell">
        <xdr:from>
          <xdr:col>9</xdr:col>
          <xdr:colOff>38100</xdr:colOff>
          <xdr:row>14</xdr:row>
          <xdr:rowOff>47625</xdr:rowOff>
        </xdr:from>
        <xdr:to>
          <xdr:col>13</xdr:col>
          <xdr:colOff>885825</xdr:colOff>
          <xdr:row>16</xdr:row>
          <xdr:rowOff>85725</xdr:rowOff>
        </xdr:to>
        <xdr:sp macro="" textlink="">
          <xdr:nvSpPr>
            <xdr:cNvPr id="21509" name="CheckBox2" hidden="1">
              <a:extLst>
                <a:ext uri="{63B3BB69-23CF-44E3-9099-C40C66FF867C}">
                  <a14:compatExt spid="_x0000_s21509"/>
                </a:ext>
                <a:ext uri="{FF2B5EF4-FFF2-40B4-BE49-F238E27FC236}">
                  <a16:creationId xmlns:a16="http://schemas.microsoft.com/office/drawing/2014/main" id="{00000000-0008-0000-0E00-00000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12</xdr:row>
          <xdr:rowOff>0</xdr:rowOff>
        </xdr:from>
        <xdr:to>
          <xdr:col>13</xdr:col>
          <xdr:colOff>866775</xdr:colOff>
          <xdr:row>14</xdr:row>
          <xdr:rowOff>171450</xdr:rowOff>
        </xdr:to>
        <xdr:sp macro="" textlink="">
          <xdr:nvSpPr>
            <xdr:cNvPr id="21510" name="CheckBox1" hidden="1">
              <a:extLst>
                <a:ext uri="{63B3BB69-23CF-44E3-9099-C40C66FF867C}">
                  <a14:compatExt spid="_x0000_s21510"/>
                </a:ext>
                <a:ext uri="{FF2B5EF4-FFF2-40B4-BE49-F238E27FC236}">
                  <a16:creationId xmlns:a16="http://schemas.microsoft.com/office/drawing/2014/main" id="{00000000-0008-0000-0E00-00000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128</xdr:row>
          <xdr:rowOff>0</xdr:rowOff>
        </xdr:from>
        <xdr:to>
          <xdr:col>3</xdr:col>
          <xdr:colOff>47625</xdr:colOff>
          <xdr:row>129</xdr:row>
          <xdr:rowOff>9525</xdr:rowOff>
        </xdr:to>
        <xdr:sp macro="" textlink="">
          <xdr:nvSpPr>
            <xdr:cNvPr id="21528" name="ComboBox1" hidden="1">
              <a:extLst>
                <a:ext uri="{63B3BB69-23CF-44E3-9099-C40C66FF867C}">
                  <a14:compatExt spid="_x0000_s21528"/>
                </a:ext>
                <a:ext uri="{FF2B5EF4-FFF2-40B4-BE49-F238E27FC236}">
                  <a16:creationId xmlns:a16="http://schemas.microsoft.com/office/drawing/2014/main" id="{00000000-0008-0000-0E00-00001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145</xdr:row>
          <xdr:rowOff>0</xdr:rowOff>
        </xdr:from>
        <xdr:to>
          <xdr:col>3</xdr:col>
          <xdr:colOff>38100</xdr:colOff>
          <xdr:row>146</xdr:row>
          <xdr:rowOff>9525</xdr:rowOff>
        </xdr:to>
        <xdr:sp macro="" textlink="">
          <xdr:nvSpPr>
            <xdr:cNvPr id="21750" name="ComboBox2" hidden="1">
              <a:extLst>
                <a:ext uri="{63B3BB69-23CF-44E3-9099-C40C66FF867C}">
                  <a14:compatExt spid="_x0000_s21750"/>
                </a:ext>
                <a:ext uri="{FF2B5EF4-FFF2-40B4-BE49-F238E27FC236}">
                  <a16:creationId xmlns:a16="http://schemas.microsoft.com/office/drawing/2014/main" id="{00000000-0008-0000-0E00-0000F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128</xdr:row>
          <xdr:rowOff>0</xdr:rowOff>
        </xdr:from>
        <xdr:to>
          <xdr:col>3</xdr:col>
          <xdr:colOff>47625</xdr:colOff>
          <xdr:row>129</xdr:row>
          <xdr:rowOff>28575</xdr:rowOff>
        </xdr:to>
        <xdr:sp macro="" textlink="">
          <xdr:nvSpPr>
            <xdr:cNvPr id="21796" name="ComboBox3" hidden="1">
              <a:extLst>
                <a:ext uri="{63B3BB69-23CF-44E3-9099-C40C66FF867C}">
                  <a14:compatExt spid="_x0000_s21796"/>
                </a:ext>
                <a:ext uri="{FF2B5EF4-FFF2-40B4-BE49-F238E27FC236}">
                  <a16:creationId xmlns:a16="http://schemas.microsoft.com/office/drawing/2014/main" id="{00000000-0008-0000-0E00-000024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145</xdr:row>
          <xdr:rowOff>0</xdr:rowOff>
        </xdr:from>
        <xdr:to>
          <xdr:col>3</xdr:col>
          <xdr:colOff>47625</xdr:colOff>
          <xdr:row>146</xdr:row>
          <xdr:rowOff>9525</xdr:rowOff>
        </xdr:to>
        <xdr:sp macro="" textlink="">
          <xdr:nvSpPr>
            <xdr:cNvPr id="21797" name="ComboBox4" hidden="1">
              <a:extLst>
                <a:ext uri="{63B3BB69-23CF-44E3-9099-C40C66FF867C}">
                  <a14:compatExt spid="_x0000_s21797"/>
                </a:ext>
                <a:ext uri="{FF2B5EF4-FFF2-40B4-BE49-F238E27FC236}">
                  <a16:creationId xmlns:a16="http://schemas.microsoft.com/office/drawing/2014/main" id="{00000000-0008-0000-0E00-000025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1409700</xdr:colOff>
          <xdr:row>18</xdr:row>
          <xdr:rowOff>95250</xdr:rowOff>
        </xdr:from>
        <xdr:to>
          <xdr:col>3</xdr:col>
          <xdr:colOff>581025</xdr:colOff>
          <xdr:row>19</xdr:row>
          <xdr:rowOff>219075</xdr:rowOff>
        </xdr:to>
        <xdr:sp macro="" textlink="">
          <xdr:nvSpPr>
            <xdr:cNvPr id="22085" name="cmdTrackChanges" hidden="1">
              <a:extLst>
                <a:ext uri="{63B3BB69-23CF-44E3-9099-C40C66FF867C}">
                  <a14:compatExt spid="_x0000_s22085"/>
                </a:ext>
                <a:ext uri="{FF2B5EF4-FFF2-40B4-BE49-F238E27FC236}">
                  <a16:creationId xmlns:a16="http://schemas.microsoft.com/office/drawing/2014/main" id="{00000000-0008-0000-0E00-0000455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438150</xdr:colOff>
          <xdr:row>0</xdr:row>
          <xdr:rowOff>800100</xdr:rowOff>
        </xdr:from>
        <xdr:to>
          <xdr:col>12</xdr:col>
          <xdr:colOff>85725</xdr:colOff>
          <xdr:row>1</xdr:row>
          <xdr:rowOff>0</xdr:rowOff>
        </xdr:to>
        <xdr:sp macro="" textlink="">
          <xdr:nvSpPr>
            <xdr:cNvPr id="22152" name="Label 648" hidden="1">
              <a:extLst>
                <a:ext uri="{63B3BB69-23CF-44E3-9099-C40C66FF867C}">
                  <a14:compatExt spid="_x0000_s22152"/>
                </a:ext>
                <a:ext uri="{FF2B5EF4-FFF2-40B4-BE49-F238E27FC236}">
                  <a16:creationId xmlns:a16="http://schemas.microsoft.com/office/drawing/2014/main" id="{00000000-0008-0000-0E00-00008856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161925</xdr:colOff>
          <xdr:row>0</xdr:row>
          <xdr:rowOff>800100</xdr:rowOff>
        </xdr:from>
        <xdr:to>
          <xdr:col>13</xdr:col>
          <xdr:colOff>990600</xdr:colOff>
          <xdr:row>1</xdr:row>
          <xdr:rowOff>0</xdr:rowOff>
        </xdr:to>
        <xdr:sp macro="" textlink="">
          <xdr:nvSpPr>
            <xdr:cNvPr id="22153" name="Label 649" hidden="1">
              <a:extLst>
                <a:ext uri="{63B3BB69-23CF-44E3-9099-C40C66FF867C}">
                  <a14:compatExt spid="_x0000_s22153"/>
                </a:ext>
                <a:ext uri="{FF2B5EF4-FFF2-40B4-BE49-F238E27FC236}">
                  <a16:creationId xmlns:a16="http://schemas.microsoft.com/office/drawing/2014/main" id="{00000000-0008-0000-0E00-00008956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0</xdr:col>
      <xdr:colOff>0</xdr:colOff>
      <xdr:row>0</xdr:row>
      <xdr:rowOff>0</xdr:rowOff>
    </xdr:from>
    <xdr:to>
      <xdr:col>14</xdr:col>
      <xdr:colOff>885825</xdr:colOff>
      <xdr:row>1</xdr:row>
      <xdr:rowOff>0</xdr:rowOff>
    </xdr:to>
    <xdr:grpSp>
      <xdr:nvGrpSpPr>
        <xdr:cNvPr id="19189" name="Groep 11">
          <a:extLst>
            <a:ext uri="{FF2B5EF4-FFF2-40B4-BE49-F238E27FC236}">
              <a16:creationId xmlns:a16="http://schemas.microsoft.com/office/drawing/2014/main" id="{00000000-0008-0000-0F00-0000F54A0000}"/>
            </a:ext>
          </a:extLst>
        </xdr:cNvPr>
        <xdr:cNvGrpSpPr>
          <a:grpSpLocks/>
        </xdr:cNvGrpSpPr>
      </xdr:nvGrpSpPr>
      <xdr:grpSpPr bwMode="auto">
        <a:xfrm>
          <a:off x="0" y="0"/>
          <a:ext cx="12887325" cy="1295400"/>
          <a:chOff x="0" y="0"/>
          <a:chExt cx="12875419" cy="1297781"/>
        </a:xfrm>
      </xdr:grpSpPr>
      <xdr:pic>
        <xdr:nvPicPr>
          <xdr:cNvPr id="19192" name="Picture 14" descr="Header_Calculator_300dpi_2">
            <a:extLst>
              <a:ext uri="{FF2B5EF4-FFF2-40B4-BE49-F238E27FC236}">
                <a16:creationId xmlns:a16="http://schemas.microsoft.com/office/drawing/2014/main" id="{00000000-0008-0000-0F00-0000F84A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2875419" cy="12977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9193" name="Afbeelding 13">
            <a:extLst>
              <a:ext uri="{FF2B5EF4-FFF2-40B4-BE49-F238E27FC236}">
                <a16:creationId xmlns:a16="http://schemas.microsoft.com/office/drawing/2014/main" id="{00000000-0008-0000-0F00-0000F94A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7576"/>
          <a:stretch>
            <a:fillRect/>
          </a:stretch>
        </xdr:blipFill>
        <xdr:spPr bwMode="auto">
          <a:xfrm>
            <a:off x="0" y="1"/>
            <a:ext cx="5107781" cy="12891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twoCellAnchor>
    <xdr:from>
      <xdr:col>10</xdr:col>
      <xdr:colOff>316707</xdr:colOff>
      <xdr:row>0</xdr:row>
      <xdr:rowOff>0</xdr:rowOff>
    </xdr:from>
    <xdr:to>
      <xdr:col>13</xdr:col>
      <xdr:colOff>986382</xdr:colOff>
      <xdr:row>0</xdr:row>
      <xdr:rowOff>266700</xdr:rowOff>
    </xdr:to>
    <xdr:sp macro="" textlink="">
      <xdr:nvSpPr>
        <xdr:cNvPr id="18449" name="WordArt 17">
          <a:hlinkClick xmlns:r="http://schemas.openxmlformats.org/officeDocument/2006/relationships" r:id="rId3"/>
          <a:extLst>
            <a:ext uri="{FF2B5EF4-FFF2-40B4-BE49-F238E27FC236}">
              <a16:creationId xmlns:a16="http://schemas.microsoft.com/office/drawing/2014/main" id="{00000000-0008-0000-0F00-000011480000}"/>
            </a:ext>
          </a:extLst>
        </xdr:cNvPr>
        <xdr:cNvSpPr>
          <a:spLocks noChangeArrowheads="1" noChangeShapeType="1" noTextEdit="1"/>
        </xdr:cNvSpPr>
      </xdr:nvSpPr>
      <xdr:spPr bwMode="auto">
        <a:xfrm>
          <a:off x="9820275" y="0"/>
          <a:ext cx="2057400" cy="266700"/>
        </a:xfrm>
        <a:prstGeom prst="rect">
          <a:avLst/>
        </a:prstGeom>
      </xdr:spPr>
      <xdr:txBody>
        <a:bodyPr wrap="none" fromWordArt="1">
          <a:prstTxWarp prst="textPlain">
            <a:avLst>
              <a:gd name="adj" fmla="val 50000"/>
            </a:avLst>
          </a:prstTxWarp>
        </a:bodyPr>
        <a:lstStyle/>
        <a:p>
          <a:pPr algn="ctr" rtl="0"/>
          <a:r>
            <a:rPr lang="fr-FR" sz="800" kern="10" spc="0">
              <a:ln w="9525">
                <a:noFill/>
                <a:round/>
                <a:headEnd/>
                <a:tailEnd/>
              </a:ln>
              <a:noFill/>
              <a:effectLst/>
              <a:latin typeface="Arial Black"/>
            </a:rPr>
            <a:t>intelligent energy europe</a:t>
          </a:r>
        </a:p>
      </xdr:txBody>
    </xdr:sp>
    <xdr:clientData/>
  </xdr:twoCellAnchor>
  <xdr:twoCellAnchor>
    <xdr:from>
      <xdr:col>7</xdr:col>
      <xdr:colOff>1209675</xdr:colOff>
      <xdr:row>0</xdr:row>
      <xdr:rowOff>133350</xdr:rowOff>
    </xdr:from>
    <xdr:to>
      <xdr:col>10</xdr:col>
      <xdr:colOff>118808</xdr:colOff>
      <xdr:row>0</xdr:row>
      <xdr:rowOff>295275</xdr:rowOff>
    </xdr:to>
    <xdr:sp macro="" textlink="">
      <xdr:nvSpPr>
        <xdr:cNvPr id="18450" name="WordArt 18">
          <a:hlinkClick xmlns:r="http://schemas.openxmlformats.org/officeDocument/2006/relationships" r:id="rId4"/>
          <a:extLst>
            <a:ext uri="{FF2B5EF4-FFF2-40B4-BE49-F238E27FC236}">
              <a16:creationId xmlns:a16="http://schemas.microsoft.com/office/drawing/2014/main" id="{00000000-0008-0000-0F00-000012480000}"/>
            </a:ext>
          </a:extLst>
        </xdr:cNvPr>
        <xdr:cNvSpPr>
          <a:spLocks noChangeArrowheads="1" noChangeShapeType="1" noTextEdit="1"/>
        </xdr:cNvSpPr>
      </xdr:nvSpPr>
      <xdr:spPr bwMode="auto">
        <a:xfrm>
          <a:off x="8181975" y="133350"/>
          <a:ext cx="1438275" cy="161925"/>
        </a:xfrm>
        <a:prstGeom prst="rect">
          <a:avLst/>
        </a:prstGeom>
      </xdr:spPr>
      <xdr:txBody>
        <a:bodyPr wrap="none" fromWordArt="1">
          <a:prstTxWarp prst="textPlain">
            <a:avLst>
              <a:gd name="adj" fmla="val 50000"/>
            </a:avLst>
          </a:prstTxWarp>
        </a:bodyPr>
        <a:lstStyle/>
        <a:p>
          <a:pPr algn="ctr" rtl="0"/>
          <a:r>
            <a:rPr lang="fr-FR" sz="800" kern="10" spc="0">
              <a:ln w="9525">
                <a:noFill/>
                <a:round/>
                <a:headEnd/>
                <a:tailEnd/>
              </a:ln>
              <a:noFill/>
              <a:effectLst/>
              <a:latin typeface="Arial Black"/>
            </a:rPr>
            <a:t>www.biograce.net</a:t>
          </a:r>
        </a:p>
      </xdr:txBody>
    </xdr:sp>
    <xdr:clientData/>
  </xdr:twoCellAnchor>
  <mc:AlternateContent xmlns:mc="http://schemas.openxmlformats.org/markup-compatibility/2006">
    <mc:Choice xmlns:a14="http://schemas.microsoft.com/office/drawing/2010/main" Requires="a14">
      <xdr:twoCellAnchor editAs="oneCell">
        <xdr:from>
          <xdr:col>9</xdr:col>
          <xdr:colOff>38100</xdr:colOff>
          <xdr:row>13</xdr:row>
          <xdr:rowOff>47625</xdr:rowOff>
        </xdr:from>
        <xdr:to>
          <xdr:col>13</xdr:col>
          <xdr:colOff>885825</xdr:colOff>
          <xdr:row>15</xdr:row>
          <xdr:rowOff>85725</xdr:rowOff>
        </xdr:to>
        <xdr:sp macro="" textlink="">
          <xdr:nvSpPr>
            <xdr:cNvPr id="18437" name="CheckBox2" hidden="1">
              <a:extLst>
                <a:ext uri="{63B3BB69-23CF-44E3-9099-C40C66FF867C}">
                  <a14:compatExt spid="_x0000_s18437"/>
                </a:ext>
                <a:ext uri="{FF2B5EF4-FFF2-40B4-BE49-F238E27FC236}">
                  <a16:creationId xmlns:a16="http://schemas.microsoft.com/office/drawing/2014/main" id="{00000000-0008-0000-0F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11</xdr:row>
          <xdr:rowOff>0</xdr:rowOff>
        </xdr:from>
        <xdr:to>
          <xdr:col>13</xdr:col>
          <xdr:colOff>866775</xdr:colOff>
          <xdr:row>13</xdr:row>
          <xdr:rowOff>171450</xdr:rowOff>
        </xdr:to>
        <xdr:sp macro="" textlink="">
          <xdr:nvSpPr>
            <xdr:cNvPr id="18438" name="CheckBox1" hidden="1">
              <a:extLst>
                <a:ext uri="{63B3BB69-23CF-44E3-9099-C40C66FF867C}">
                  <a14:compatExt spid="_x0000_s18438"/>
                </a:ext>
                <a:ext uri="{FF2B5EF4-FFF2-40B4-BE49-F238E27FC236}">
                  <a16:creationId xmlns:a16="http://schemas.microsoft.com/office/drawing/2014/main" id="{00000000-0008-0000-0F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119</xdr:row>
          <xdr:rowOff>9525</xdr:rowOff>
        </xdr:from>
        <xdr:to>
          <xdr:col>3</xdr:col>
          <xdr:colOff>38100</xdr:colOff>
          <xdr:row>120</xdr:row>
          <xdr:rowOff>19050</xdr:rowOff>
        </xdr:to>
        <xdr:sp macro="" textlink="">
          <xdr:nvSpPr>
            <xdr:cNvPr id="18469" name="ComboBox1" hidden="1">
              <a:extLst>
                <a:ext uri="{63B3BB69-23CF-44E3-9099-C40C66FF867C}">
                  <a14:compatExt spid="_x0000_s18469"/>
                </a:ext>
                <a:ext uri="{FF2B5EF4-FFF2-40B4-BE49-F238E27FC236}">
                  <a16:creationId xmlns:a16="http://schemas.microsoft.com/office/drawing/2014/main" id="{00000000-0008-0000-0F00-00002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136</xdr:row>
          <xdr:rowOff>9525</xdr:rowOff>
        </xdr:from>
        <xdr:to>
          <xdr:col>3</xdr:col>
          <xdr:colOff>57150</xdr:colOff>
          <xdr:row>137</xdr:row>
          <xdr:rowOff>19050</xdr:rowOff>
        </xdr:to>
        <xdr:sp macro="" textlink="">
          <xdr:nvSpPr>
            <xdr:cNvPr id="18691" name="ComboBox2" hidden="1">
              <a:extLst>
                <a:ext uri="{63B3BB69-23CF-44E3-9099-C40C66FF867C}">
                  <a14:compatExt spid="_x0000_s18691"/>
                </a:ext>
                <a:ext uri="{FF2B5EF4-FFF2-40B4-BE49-F238E27FC236}">
                  <a16:creationId xmlns:a16="http://schemas.microsoft.com/office/drawing/2014/main" id="{00000000-0008-0000-0F00-0000034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1323975</xdr:colOff>
          <xdr:row>17</xdr:row>
          <xdr:rowOff>95250</xdr:rowOff>
        </xdr:from>
        <xdr:to>
          <xdr:col>3</xdr:col>
          <xdr:colOff>495300</xdr:colOff>
          <xdr:row>18</xdr:row>
          <xdr:rowOff>219075</xdr:rowOff>
        </xdr:to>
        <xdr:sp macro="" textlink="">
          <xdr:nvSpPr>
            <xdr:cNvPr id="19024" name="cmdTrackChanges" hidden="1">
              <a:extLst>
                <a:ext uri="{63B3BB69-23CF-44E3-9099-C40C66FF867C}">
                  <a14:compatExt spid="_x0000_s19024"/>
                </a:ext>
                <a:ext uri="{FF2B5EF4-FFF2-40B4-BE49-F238E27FC236}">
                  <a16:creationId xmlns:a16="http://schemas.microsoft.com/office/drawing/2014/main" id="{00000000-0008-0000-0F00-0000504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428625</xdr:colOff>
          <xdr:row>0</xdr:row>
          <xdr:rowOff>800100</xdr:rowOff>
        </xdr:from>
        <xdr:to>
          <xdr:col>12</xdr:col>
          <xdr:colOff>76200</xdr:colOff>
          <xdr:row>1</xdr:row>
          <xdr:rowOff>0</xdr:rowOff>
        </xdr:to>
        <xdr:sp macro="" textlink="">
          <xdr:nvSpPr>
            <xdr:cNvPr id="19089" name="Label 657" hidden="1">
              <a:extLst>
                <a:ext uri="{63B3BB69-23CF-44E3-9099-C40C66FF867C}">
                  <a14:compatExt spid="_x0000_s19089"/>
                </a:ext>
                <a:ext uri="{FF2B5EF4-FFF2-40B4-BE49-F238E27FC236}">
                  <a16:creationId xmlns:a16="http://schemas.microsoft.com/office/drawing/2014/main" id="{00000000-0008-0000-0F00-0000914A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161925</xdr:colOff>
          <xdr:row>0</xdr:row>
          <xdr:rowOff>800100</xdr:rowOff>
        </xdr:from>
        <xdr:to>
          <xdr:col>13</xdr:col>
          <xdr:colOff>990600</xdr:colOff>
          <xdr:row>1</xdr:row>
          <xdr:rowOff>0</xdr:rowOff>
        </xdr:to>
        <xdr:sp macro="" textlink="">
          <xdr:nvSpPr>
            <xdr:cNvPr id="19090" name="Label 658" hidden="1">
              <a:extLst>
                <a:ext uri="{63B3BB69-23CF-44E3-9099-C40C66FF867C}">
                  <a14:compatExt spid="_x0000_s19090"/>
                </a:ext>
                <a:ext uri="{FF2B5EF4-FFF2-40B4-BE49-F238E27FC236}">
                  <a16:creationId xmlns:a16="http://schemas.microsoft.com/office/drawing/2014/main" id="{00000000-0008-0000-0F00-0000924A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0</xdr:col>
      <xdr:colOff>0</xdr:colOff>
      <xdr:row>0</xdr:row>
      <xdr:rowOff>0</xdr:rowOff>
    </xdr:from>
    <xdr:to>
      <xdr:col>14</xdr:col>
      <xdr:colOff>885825</xdr:colOff>
      <xdr:row>1</xdr:row>
      <xdr:rowOff>0</xdr:rowOff>
    </xdr:to>
    <xdr:grpSp>
      <xdr:nvGrpSpPr>
        <xdr:cNvPr id="17159" name="Groep 11">
          <a:extLst>
            <a:ext uri="{FF2B5EF4-FFF2-40B4-BE49-F238E27FC236}">
              <a16:creationId xmlns:a16="http://schemas.microsoft.com/office/drawing/2014/main" id="{00000000-0008-0000-1000-000007430000}"/>
            </a:ext>
          </a:extLst>
        </xdr:cNvPr>
        <xdr:cNvGrpSpPr>
          <a:grpSpLocks/>
        </xdr:cNvGrpSpPr>
      </xdr:nvGrpSpPr>
      <xdr:grpSpPr bwMode="auto">
        <a:xfrm>
          <a:off x="0" y="0"/>
          <a:ext cx="12887325" cy="1295400"/>
          <a:chOff x="0" y="0"/>
          <a:chExt cx="12875419" cy="1297781"/>
        </a:xfrm>
      </xdr:grpSpPr>
      <xdr:pic>
        <xdr:nvPicPr>
          <xdr:cNvPr id="17162" name="Picture 14" descr="Header_Calculator_300dpi_2">
            <a:extLst>
              <a:ext uri="{FF2B5EF4-FFF2-40B4-BE49-F238E27FC236}">
                <a16:creationId xmlns:a16="http://schemas.microsoft.com/office/drawing/2014/main" id="{00000000-0008-0000-1000-00000A43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2875419" cy="12977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7163" name="Afbeelding 13">
            <a:extLst>
              <a:ext uri="{FF2B5EF4-FFF2-40B4-BE49-F238E27FC236}">
                <a16:creationId xmlns:a16="http://schemas.microsoft.com/office/drawing/2014/main" id="{00000000-0008-0000-1000-00000B43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7576"/>
          <a:stretch>
            <a:fillRect/>
          </a:stretch>
        </xdr:blipFill>
        <xdr:spPr bwMode="auto">
          <a:xfrm>
            <a:off x="0" y="1"/>
            <a:ext cx="5107781" cy="12891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twoCellAnchor>
    <xdr:from>
      <xdr:col>10</xdr:col>
      <xdr:colOff>316707</xdr:colOff>
      <xdr:row>0</xdr:row>
      <xdr:rowOff>0</xdr:rowOff>
    </xdr:from>
    <xdr:to>
      <xdr:col>13</xdr:col>
      <xdr:colOff>986382</xdr:colOff>
      <xdr:row>0</xdr:row>
      <xdr:rowOff>266700</xdr:rowOff>
    </xdr:to>
    <xdr:sp macro="" textlink="">
      <xdr:nvSpPr>
        <xdr:cNvPr id="16401" name="WordArt 17">
          <a:hlinkClick xmlns:r="http://schemas.openxmlformats.org/officeDocument/2006/relationships" r:id="rId3"/>
          <a:extLst>
            <a:ext uri="{FF2B5EF4-FFF2-40B4-BE49-F238E27FC236}">
              <a16:creationId xmlns:a16="http://schemas.microsoft.com/office/drawing/2014/main" id="{00000000-0008-0000-1000-000011400000}"/>
            </a:ext>
          </a:extLst>
        </xdr:cNvPr>
        <xdr:cNvSpPr>
          <a:spLocks noChangeArrowheads="1" noChangeShapeType="1" noTextEdit="1"/>
        </xdr:cNvSpPr>
      </xdr:nvSpPr>
      <xdr:spPr bwMode="auto">
        <a:xfrm>
          <a:off x="9820275" y="0"/>
          <a:ext cx="2057400" cy="266700"/>
        </a:xfrm>
        <a:prstGeom prst="rect">
          <a:avLst/>
        </a:prstGeom>
      </xdr:spPr>
      <xdr:txBody>
        <a:bodyPr wrap="none" fromWordArt="1">
          <a:prstTxWarp prst="textPlain">
            <a:avLst>
              <a:gd name="adj" fmla="val 50000"/>
            </a:avLst>
          </a:prstTxWarp>
        </a:bodyPr>
        <a:lstStyle/>
        <a:p>
          <a:pPr algn="ctr" rtl="0"/>
          <a:r>
            <a:rPr lang="fr-FR" sz="800" kern="10" spc="0">
              <a:ln w="9525">
                <a:noFill/>
                <a:round/>
                <a:headEnd/>
                <a:tailEnd/>
              </a:ln>
              <a:noFill/>
              <a:effectLst/>
              <a:latin typeface="Arial Black"/>
            </a:rPr>
            <a:t>intelligent energy europe</a:t>
          </a:r>
        </a:p>
      </xdr:txBody>
    </xdr:sp>
    <xdr:clientData/>
  </xdr:twoCellAnchor>
  <xdr:twoCellAnchor>
    <xdr:from>
      <xdr:col>7</xdr:col>
      <xdr:colOff>1209675</xdr:colOff>
      <xdr:row>0</xdr:row>
      <xdr:rowOff>133350</xdr:rowOff>
    </xdr:from>
    <xdr:to>
      <xdr:col>10</xdr:col>
      <xdr:colOff>118808</xdr:colOff>
      <xdr:row>0</xdr:row>
      <xdr:rowOff>295275</xdr:rowOff>
    </xdr:to>
    <xdr:sp macro="" textlink="">
      <xdr:nvSpPr>
        <xdr:cNvPr id="16402" name="WordArt 18">
          <a:hlinkClick xmlns:r="http://schemas.openxmlformats.org/officeDocument/2006/relationships" r:id="rId4"/>
          <a:extLst>
            <a:ext uri="{FF2B5EF4-FFF2-40B4-BE49-F238E27FC236}">
              <a16:creationId xmlns:a16="http://schemas.microsoft.com/office/drawing/2014/main" id="{00000000-0008-0000-1000-000012400000}"/>
            </a:ext>
          </a:extLst>
        </xdr:cNvPr>
        <xdr:cNvSpPr>
          <a:spLocks noChangeArrowheads="1" noChangeShapeType="1" noTextEdit="1"/>
        </xdr:cNvSpPr>
      </xdr:nvSpPr>
      <xdr:spPr bwMode="auto">
        <a:xfrm>
          <a:off x="8181975" y="133350"/>
          <a:ext cx="1438275" cy="161925"/>
        </a:xfrm>
        <a:prstGeom prst="rect">
          <a:avLst/>
        </a:prstGeom>
      </xdr:spPr>
      <xdr:txBody>
        <a:bodyPr wrap="none" fromWordArt="1">
          <a:prstTxWarp prst="textPlain">
            <a:avLst>
              <a:gd name="adj" fmla="val 50000"/>
            </a:avLst>
          </a:prstTxWarp>
        </a:bodyPr>
        <a:lstStyle/>
        <a:p>
          <a:pPr algn="ctr" rtl="0"/>
          <a:r>
            <a:rPr lang="fr-FR" sz="800" kern="10" spc="0">
              <a:ln w="9525">
                <a:noFill/>
                <a:round/>
                <a:headEnd/>
                <a:tailEnd/>
              </a:ln>
              <a:noFill/>
              <a:effectLst/>
              <a:latin typeface="Arial Black"/>
            </a:rPr>
            <a:t>www.biograce.net</a:t>
          </a:r>
        </a:p>
      </xdr:txBody>
    </xdr:sp>
    <xdr:clientData/>
  </xdr:twoCellAnchor>
  <mc:AlternateContent xmlns:mc="http://schemas.openxmlformats.org/markup-compatibility/2006">
    <mc:Choice xmlns:a14="http://schemas.microsoft.com/office/drawing/2010/main" Requires="a14">
      <xdr:twoCellAnchor editAs="oneCell">
        <xdr:from>
          <xdr:col>9</xdr:col>
          <xdr:colOff>38100</xdr:colOff>
          <xdr:row>14</xdr:row>
          <xdr:rowOff>47625</xdr:rowOff>
        </xdr:from>
        <xdr:to>
          <xdr:col>13</xdr:col>
          <xdr:colOff>876300</xdr:colOff>
          <xdr:row>16</xdr:row>
          <xdr:rowOff>85725</xdr:rowOff>
        </xdr:to>
        <xdr:sp macro="" textlink="">
          <xdr:nvSpPr>
            <xdr:cNvPr id="16389" name="CheckBox2" hidden="1">
              <a:extLst>
                <a:ext uri="{63B3BB69-23CF-44E3-9099-C40C66FF867C}">
                  <a14:compatExt spid="_x0000_s16389"/>
                </a:ext>
                <a:ext uri="{FF2B5EF4-FFF2-40B4-BE49-F238E27FC236}">
                  <a16:creationId xmlns:a16="http://schemas.microsoft.com/office/drawing/2014/main" id="{00000000-0008-0000-1000-000005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12</xdr:row>
          <xdr:rowOff>0</xdr:rowOff>
        </xdr:from>
        <xdr:to>
          <xdr:col>13</xdr:col>
          <xdr:colOff>866775</xdr:colOff>
          <xdr:row>14</xdr:row>
          <xdr:rowOff>161925</xdr:rowOff>
        </xdr:to>
        <xdr:sp macro="" textlink="">
          <xdr:nvSpPr>
            <xdr:cNvPr id="16390" name="CheckBox1" hidden="1">
              <a:extLst>
                <a:ext uri="{63B3BB69-23CF-44E3-9099-C40C66FF867C}">
                  <a14:compatExt spid="_x0000_s16390"/>
                </a:ext>
                <a:ext uri="{FF2B5EF4-FFF2-40B4-BE49-F238E27FC236}">
                  <a16:creationId xmlns:a16="http://schemas.microsoft.com/office/drawing/2014/main" id="{00000000-0008-0000-1000-000006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1714500</xdr:colOff>
          <xdr:row>157</xdr:row>
          <xdr:rowOff>0</xdr:rowOff>
        </xdr:from>
        <xdr:to>
          <xdr:col>3</xdr:col>
          <xdr:colOff>38100</xdr:colOff>
          <xdr:row>158</xdr:row>
          <xdr:rowOff>47625</xdr:rowOff>
        </xdr:to>
        <xdr:sp macro="" textlink="">
          <xdr:nvSpPr>
            <xdr:cNvPr id="16426" name="ComboBox1" hidden="1">
              <a:extLst>
                <a:ext uri="{63B3BB69-23CF-44E3-9099-C40C66FF867C}">
                  <a14:compatExt spid="_x0000_s16426"/>
                </a:ext>
                <a:ext uri="{FF2B5EF4-FFF2-40B4-BE49-F238E27FC236}">
                  <a16:creationId xmlns:a16="http://schemas.microsoft.com/office/drawing/2014/main" id="{00000000-0008-0000-1000-00002A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173</xdr:row>
          <xdr:rowOff>190500</xdr:rowOff>
        </xdr:from>
        <xdr:to>
          <xdr:col>3</xdr:col>
          <xdr:colOff>9525</xdr:colOff>
          <xdr:row>175</xdr:row>
          <xdr:rowOff>0</xdr:rowOff>
        </xdr:to>
        <xdr:sp macro="" textlink="">
          <xdr:nvSpPr>
            <xdr:cNvPr id="16653" name="ComboBox2" hidden="1">
              <a:extLst>
                <a:ext uri="{63B3BB69-23CF-44E3-9099-C40C66FF867C}">
                  <a14:compatExt spid="_x0000_s16653"/>
                </a:ext>
                <a:ext uri="{FF2B5EF4-FFF2-40B4-BE49-F238E27FC236}">
                  <a16:creationId xmlns:a16="http://schemas.microsoft.com/office/drawing/2014/main" id="{00000000-0008-0000-1000-00000D41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1419225</xdr:colOff>
          <xdr:row>18</xdr:row>
          <xdr:rowOff>95250</xdr:rowOff>
        </xdr:from>
        <xdr:to>
          <xdr:col>3</xdr:col>
          <xdr:colOff>590550</xdr:colOff>
          <xdr:row>19</xdr:row>
          <xdr:rowOff>219075</xdr:rowOff>
        </xdr:to>
        <xdr:sp macro="" textlink="">
          <xdr:nvSpPr>
            <xdr:cNvPr id="16981" name="cmdTrackChanges" hidden="1">
              <a:extLst>
                <a:ext uri="{63B3BB69-23CF-44E3-9099-C40C66FF867C}">
                  <a14:compatExt spid="_x0000_s16981"/>
                </a:ext>
                <a:ext uri="{FF2B5EF4-FFF2-40B4-BE49-F238E27FC236}">
                  <a16:creationId xmlns:a16="http://schemas.microsoft.com/office/drawing/2014/main" id="{00000000-0008-0000-1000-00005542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428625</xdr:colOff>
          <xdr:row>0</xdr:row>
          <xdr:rowOff>800100</xdr:rowOff>
        </xdr:from>
        <xdr:to>
          <xdr:col>12</xdr:col>
          <xdr:colOff>76200</xdr:colOff>
          <xdr:row>1</xdr:row>
          <xdr:rowOff>0</xdr:rowOff>
        </xdr:to>
        <xdr:sp macro="" textlink="">
          <xdr:nvSpPr>
            <xdr:cNvPr id="17057" name="Label 673" hidden="1">
              <a:extLst>
                <a:ext uri="{63B3BB69-23CF-44E3-9099-C40C66FF867C}">
                  <a14:compatExt spid="_x0000_s17057"/>
                </a:ext>
                <a:ext uri="{FF2B5EF4-FFF2-40B4-BE49-F238E27FC236}">
                  <a16:creationId xmlns:a16="http://schemas.microsoft.com/office/drawing/2014/main" id="{00000000-0008-0000-1000-0000A142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161925</xdr:colOff>
          <xdr:row>0</xdr:row>
          <xdr:rowOff>800100</xdr:rowOff>
        </xdr:from>
        <xdr:to>
          <xdr:col>13</xdr:col>
          <xdr:colOff>990600</xdr:colOff>
          <xdr:row>1</xdr:row>
          <xdr:rowOff>0</xdr:rowOff>
        </xdr:to>
        <xdr:sp macro="" textlink="">
          <xdr:nvSpPr>
            <xdr:cNvPr id="17058" name="Label 674" hidden="1">
              <a:extLst>
                <a:ext uri="{63B3BB69-23CF-44E3-9099-C40C66FF867C}">
                  <a14:compatExt spid="_x0000_s17058"/>
                </a:ext>
                <a:ext uri="{FF2B5EF4-FFF2-40B4-BE49-F238E27FC236}">
                  <a16:creationId xmlns:a16="http://schemas.microsoft.com/office/drawing/2014/main" id="{00000000-0008-0000-1000-0000A242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0</xdr:col>
      <xdr:colOff>0</xdr:colOff>
      <xdr:row>0</xdr:row>
      <xdr:rowOff>0</xdr:rowOff>
    </xdr:from>
    <xdr:to>
      <xdr:col>14</xdr:col>
      <xdr:colOff>885825</xdr:colOff>
      <xdr:row>1</xdr:row>
      <xdr:rowOff>0</xdr:rowOff>
    </xdr:to>
    <xdr:grpSp>
      <xdr:nvGrpSpPr>
        <xdr:cNvPr id="6927" name="Groep 11">
          <a:extLst>
            <a:ext uri="{FF2B5EF4-FFF2-40B4-BE49-F238E27FC236}">
              <a16:creationId xmlns:a16="http://schemas.microsoft.com/office/drawing/2014/main" id="{00000000-0008-0000-1100-00000F1B0000}"/>
            </a:ext>
          </a:extLst>
        </xdr:cNvPr>
        <xdr:cNvGrpSpPr>
          <a:grpSpLocks/>
        </xdr:cNvGrpSpPr>
      </xdr:nvGrpSpPr>
      <xdr:grpSpPr bwMode="auto">
        <a:xfrm>
          <a:off x="0" y="0"/>
          <a:ext cx="12875419" cy="1297781"/>
          <a:chOff x="0" y="0"/>
          <a:chExt cx="12875419" cy="1297781"/>
        </a:xfrm>
      </xdr:grpSpPr>
      <xdr:pic>
        <xdr:nvPicPr>
          <xdr:cNvPr id="6930" name="Picture 14" descr="Header_Calculator_300dpi_2">
            <a:extLst>
              <a:ext uri="{FF2B5EF4-FFF2-40B4-BE49-F238E27FC236}">
                <a16:creationId xmlns:a16="http://schemas.microsoft.com/office/drawing/2014/main" id="{00000000-0008-0000-1100-0000121B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2875419" cy="12977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6931" name="Afbeelding 13">
            <a:extLst>
              <a:ext uri="{FF2B5EF4-FFF2-40B4-BE49-F238E27FC236}">
                <a16:creationId xmlns:a16="http://schemas.microsoft.com/office/drawing/2014/main" id="{00000000-0008-0000-1100-0000131B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7576"/>
          <a:stretch>
            <a:fillRect/>
          </a:stretch>
        </xdr:blipFill>
        <xdr:spPr bwMode="auto">
          <a:xfrm>
            <a:off x="0" y="1"/>
            <a:ext cx="5107781" cy="12891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twoCellAnchor>
    <xdr:from>
      <xdr:col>7</xdr:col>
      <xdr:colOff>1209675</xdr:colOff>
      <xdr:row>0</xdr:row>
      <xdr:rowOff>133350</xdr:rowOff>
    </xdr:from>
    <xdr:to>
      <xdr:col>10</xdr:col>
      <xdr:colOff>118808</xdr:colOff>
      <xdr:row>0</xdr:row>
      <xdr:rowOff>295275</xdr:rowOff>
    </xdr:to>
    <xdr:sp macro="" textlink="">
      <xdr:nvSpPr>
        <xdr:cNvPr id="6179" name="WordArt 35">
          <a:hlinkClick xmlns:r="http://schemas.openxmlformats.org/officeDocument/2006/relationships" r:id="rId3"/>
          <a:extLst>
            <a:ext uri="{FF2B5EF4-FFF2-40B4-BE49-F238E27FC236}">
              <a16:creationId xmlns:a16="http://schemas.microsoft.com/office/drawing/2014/main" id="{00000000-0008-0000-1100-000023180000}"/>
            </a:ext>
          </a:extLst>
        </xdr:cNvPr>
        <xdr:cNvSpPr>
          <a:spLocks noChangeArrowheads="1" noChangeShapeType="1" noTextEdit="1"/>
        </xdr:cNvSpPr>
      </xdr:nvSpPr>
      <xdr:spPr bwMode="auto">
        <a:xfrm>
          <a:off x="8181975" y="133350"/>
          <a:ext cx="1438275" cy="161925"/>
        </a:xfrm>
        <a:prstGeom prst="rect">
          <a:avLst/>
        </a:prstGeom>
      </xdr:spPr>
      <xdr:txBody>
        <a:bodyPr wrap="none" fromWordArt="1">
          <a:prstTxWarp prst="textPlain">
            <a:avLst>
              <a:gd name="adj" fmla="val 50000"/>
            </a:avLst>
          </a:prstTxWarp>
        </a:bodyPr>
        <a:lstStyle/>
        <a:p>
          <a:pPr algn="ctr" rtl="0"/>
          <a:r>
            <a:rPr lang="fr-FR" sz="800" kern="10" spc="0">
              <a:ln w="9525">
                <a:noFill/>
                <a:round/>
                <a:headEnd/>
                <a:tailEnd/>
              </a:ln>
              <a:noFill/>
              <a:effectLst/>
              <a:latin typeface="Arial Black"/>
            </a:rPr>
            <a:t>www.biograce.net</a:t>
          </a:r>
        </a:p>
      </xdr:txBody>
    </xdr:sp>
    <xdr:clientData/>
  </xdr:twoCellAnchor>
  <xdr:twoCellAnchor>
    <xdr:from>
      <xdr:col>10</xdr:col>
      <xdr:colOff>316707</xdr:colOff>
      <xdr:row>0</xdr:row>
      <xdr:rowOff>0</xdr:rowOff>
    </xdr:from>
    <xdr:to>
      <xdr:col>13</xdr:col>
      <xdr:colOff>986382</xdr:colOff>
      <xdr:row>0</xdr:row>
      <xdr:rowOff>266700</xdr:rowOff>
    </xdr:to>
    <xdr:sp macro="" textlink="">
      <xdr:nvSpPr>
        <xdr:cNvPr id="6180" name="WordArt 36">
          <a:hlinkClick xmlns:r="http://schemas.openxmlformats.org/officeDocument/2006/relationships" r:id="rId4"/>
          <a:extLst>
            <a:ext uri="{FF2B5EF4-FFF2-40B4-BE49-F238E27FC236}">
              <a16:creationId xmlns:a16="http://schemas.microsoft.com/office/drawing/2014/main" id="{00000000-0008-0000-1100-000024180000}"/>
            </a:ext>
          </a:extLst>
        </xdr:cNvPr>
        <xdr:cNvSpPr>
          <a:spLocks noChangeArrowheads="1" noChangeShapeType="1" noTextEdit="1"/>
        </xdr:cNvSpPr>
      </xdr:nvSpPr>
      <xdr:spPr bwMode="auto">
        <a:xfrm>
          <a:off x="9820275" y="0"/>
          <a:ext cx="2057400" cy="266700"/>
        </a:xfrm>
        <a:prstGeom prst="rect">
          <a:avLst/>
        </a:prstGeom>
      </xdr:spPr>
      <xdr:txBody>
        <a:bodyPr wrap="none" fromWordArt="1">
          <a:prstTxWarp prst="textPlain">
            <a:avLst>
              <a:gd name="adj" fmla="val 50000"/>
            </a:avLst>
          </a:prstTxWarp>
        </a:bodyPr>
        <a:lstStyle/>
        <a:p>
          <a:pPr algn="ctr" rtl="0"/>
          <a:r>
            <a:rPr lang="fr-FR" sz="800" kern="10" spc="0">
              <a:ln w="9525">
                <a:noFill/>
                <a:round/>
                <a:headEnd/>
                <a:tailEnd/>
              </a:ln>
              <a:noFill/>
              <a:effectLst/>
              <a:latin typeface="Arial Black"/>
            </a:rPr>
            <a:t>intelligent energy europe</a:t>
          </a:r>
        </a:p>
      </xdr:txBody>
    </xdr:sp>
    <xdr:clientData/>
  </xdr:twoCellAnchor>
  <mc:AlternateContent xmlns:mc="http://schemas.openxmlformats.org/markup-compatibility/2006">
    <mc:Choice xmlns:a14="http://schemas.microsoft.com/office/drawing/2010/main" Requires="a14">
      <xdr:twoCellAnchor editAs="oneCell">
        <xdr:from>
          <xdr:col>9</xdr:col>
          <xdr:colOff>38100</xdr:colOff>
          <xdr:row>18</xdr:row>
          <xdr:rowOff>47625</xdr:rowOff>
        </xdr:from>
        <xdr:to>
          <xdr:col>13</xdr:col>
          <xdr:colOff>885825</xdr:colOff>
          <xdr:row>20</xdr:row>
          <xdr:rowOff>85725</xdr:rowOff>
        </xdr:to>
        <xdr:sp macro="" textlink="">
          <xdr:nvSpPr>
            <xdr:cNvPr id="6149" name="CheckBox2" hidden="1">
              <a:extLst>
                <a:ext uri="{63B3BB69-23CF-44E3-9099-C40C66FF867C}">
                  <a14:compatExt spid="_x0000_s6149"/>
                </a:ext>
                <a:ext uri="{FF2B5EF4-FFF2-40B4-BE49-F238E27FC236}">
                  <a16:creationId xmlns:a16="http://schemas.microsoft.com/office/drawing/2014/main" id="{00000000-0008-0000-1100-00000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16</xdr:row>
          <xdr:rowOff>0</xdr:rowOff>
        </xdr:from>
        <xdr:to>
          <xdr:col>13</xdr:col>
          <xdr:colOff>866775</xdr:colOff>
          <xdr:row>18</xdr:row>
          <xdr:rowOff>171450</xdr:rowOff>
        </xdr:to>
        <xdr:sp macro="" textlink="">
          <xdr:nvSpPr>
            <xdr:cNvPr id="6150" name="CheckBox1" hidden="1">
              <a:extLst>
                <a:ext uri="{63B3BB69-23CF-44E3-9099-C40C66FF867C}">
                  <a14:compatExt spid="_x0000_s6150"/>
                </a:ext>
                <a:ext uri="{FF2B5EF4-FFF2-40B4-BE49-F238E27FC236}">
                  <a16:creationId xmlns:a16="http://schemas.microsoft.com/office/drawing/2014/main" id="{00000000-0008-0000-1100-000006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1714500</xdr:colOff>
          <xdr:row>205</xdr:row>
          <xdr:rowOff>0</xdr:rowOff>
        </xdr:from>
        <xdr:to>
          <xdr:col>3</xdr:col>
          <xdr:colOff>38100</xdr:colOff>
          <xdr:row>206</xdr:row>
          <xdr:rowOff>38100</xdr:rowOff>
        </xdr:to>
        <xdr:sp macro="" textlink="">
          <xdr:nvSpPr>
            <xdr:cNvPr id="6185" name="ComboBox1" hidden="1">
              <a:extLst>
                <a:ext uri="{63B3BB69-23CF-44E3-9099-C40C66FF867C}">
                  <a14:compatExt spid="_x0000_s6185"/>
                </a:ext>
                <a:ext uri="{FF2B5EF4-FFF2-40B4-BE49-F238E27FC236}">
                  <a16:creationId xmlns:a16="http://schemas.microsoft.com/office/drawing/2014/main" id="{00000000-0008-0000-1100-00002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1695450</xdr:colOff>
          <xdr:row>222</xdr:row>
          <xdr:rowOff>28575</xdr:rowOff>
        </xdr:from>
        <xdr:to>
          <xdr:col>2</xdr:col>
          <xdr:colOff>628650</xdr:colOff>
          <xdr:row>223</xdr:row>
          <xdr:rowOff>38100</xdr:rowOff>
        </xdr:to>
        <xdr:sp macro="" textlink="">
          <xdr:nvSpPr>
            <xdr:cNvPr id="6413" name="ComboBox2" hidden="1">
              <a:extLst>
                <a:ext uri="{63B3BB69-23CF-44E3-9099-C40C66FF867C}">
                  <a14:compatExt spid="_x0000_s6413"/>
                </a:ext>
                <a:ext uri="{FF2B5EF4-FFF2-40B4-BE49-F238E27FC236}">
                  <a16:creationId xmlns:a16="http://schemas.microsoft.com/office/drawing/2014/main" id="{00000000-0008-0000-1100-00000D1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1438275</xdr:colOff>
          <xdr:row>22</xdr:row>
          <xdr:rowOff>104775</xdr:rowOff>
        </xdr:from>
        <xdr:to>
          <xdr:col>3</xdr:col>
          <xdr:colOff>609600</xdr:colOff>
          <xdr:row>23</xdr:row>
          <xdr:rowOff>228600</xdr:rowOff>
        </xdr:to>
        <xdr:sp macro="" textlink="">
          <xdr:nvSpPr>
            <xdr:cNvPr id="6741" name="cmdTrackChanges" hidden="1">
              <a:extLst>
                <a:ext uri="{63B3BB69-23CF-44E3-9099-C40C66FF867C}">
                  <a14:compatExt spid="_x0000_s6741"/>
                </a:ext>
                <a:ext uri="{FF2B5EF4-FFF2-40B4-BE49-F238E27FC236}">
                  <a16:creationId xmlns:a16="http://schemas.microsoft.com/office/drawing/2014/main" id="{00000000-0008-0000-1100-0000551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428625</xdr:colOff>
          <xdr:row>0</xdr:row>
          <xdr:rowOff>800100</xdr:rowOff>
        </xdr:from>
        <xdr:to>
          <xdr:col>12</xdr:col>
          <xdr:colOff>76200</xdr:colOff>
          <xdr:row>1</xdr:row>
          <xdr:rowOff>0</xdr:rowOff>
        </xdr:to>
        <xdr:sp macro="" textlink="">
          <xdr:nvSpPr>
            <xdr:cNvPr id="6817" name="Label 673" hidden="1">
              <a:extLst>
                <a:ext uri="{63B3BB69-23CF-44E3-9099-C40C66FF867C}">
                  <a14:compatExt spid="_x0000_s6817"/>
                </a:ext>
                <a:ext uri="{FF2B5EF4-FFF2-40B4-BE49-F238E27FC236}">
                  <a16:creationId xmlns:a16="http://schemas.microsoft.com/office/drawing/2014/main" id="{00000000-0008-0000-1100-0000A11A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161925</xdr:colOff>
          <xdr:row>0</xdr:row>
          <xdr:rowOff>800100</xdr:rowOff>
        </xdr:from>
        <xdr:to>
          <xdr:col>13</xdr:col>
          <xdr:colOff>990600</xdr:colOff>
          <xdr:row>1</xdr:row>
          <xdr:rowOff>0</xdr:rowOff>
        </xdr:to>
        <xdr:sp macro="" textlink="">
          <xdr:nvSpPr>
            <xdr:cNvPr id="6818" name="Label 674" hidden="1">
              <a:extLst>
                <a:ext uri="{63B3BB69-23CF-44E3-9099-C40C66FF867C}">
                  <a14:compatExt spid="_x0000_s6818"/>
                </a:ext>
                <a:ext uri="{FF2B5EF4-FFF2-40B4-BE49-F238E27FC236}">
                  <a16:creationId xmlns:a16="http://schemas.microsoft.com/office/drawing/2014/main" id="{00000000-0008-0000-1100-0000A21A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0</xdr:col>
      <xdr:colOff>0</xdr:colOff>
      <xdr:row>0</xdr:row>
      <xdr:rowOff>0</xdr:rowOff>
    </xdr:from>
    <xdr:to>
      <xdr:col>14</xdr:col>
      <xdr:colOff>885825</xdr:colOff>
      <xdr:row>1</xdr:row>
      <xdr:rowOff>0</xdr:rowOff>
    </xdr:to>
    <xdr:grpSp>
      <xdr:nvGrpSpPr>
        <xdr:cNvPr id="27411" name="Groep 11">
          <a:extLst>
            <a:ext uri="{FF2B5EF4-FFF2-40B4-BE49-F238E27FC236}">
              <a16:creationId xmlns:a16="http://schemas.microsoft.com/office/drawing/2014/main" id="{00000000-0008-0000-1200-0000136B0000}"/>
            </a:ext>
          </a:extLst>
        </xdr:cNvPr>
        <xdr:cNvGrpSpPr>
          <a:grpSpLocks/>
        </xdr:cNvGrpSpPr>
      </xdr:nvGrpSpPr>
      <xdr:grpSpPr bwMode="auto">
        <a:xfrm>
          <a:off x="0" y="0"/>
          <a:ext cx="12887325" cy="1295400"/>
          <a:chOff x="0" y="0"/>
          <a:chExt cx="12875419" cy="1297781"/>
        </a:xfrm>
      </xdr:grpSpPr>
      <xdr:pic>
        <xdr:nvPicPr>
          <xdr:cNvPr id="27414" name="Picture 14" descr="Header_Calculator_300dpi_2">
            <a:extLst>
              <a:ext uri="{FF2B5EF4-FFF2-40B4-BE49-F238E27FC236}">
                <a16:creationId xmlns:a16="http://schemas.microsoft.com/office/drawing/2014/main" id="{00000000-0008-0000-1200-0000166B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2875419" cy="12977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27415" name="Afbeelding 13">
            <a:extLst>
              <a:ext uri="{FF2B5EF4-FFF2-40B4-BE49-F238E27FC236}">
                <a16:creationId xmlns:a16="http://schemas.microsoft.com/office/drawing/2014/main" id="{00000000-0008-0000-1200-0000176B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7576"/>
          <a:stretch>
            <a:fillRect/>
          </a:stretch>
        </xdr:blipFill>
        <xdr:spPr bwMode="auto">
          <a:xfrm>
            <a:off x="0" y="1"/>
            <a:ext cx="5107781" cy="12891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twoCellAnchor>
    <xdr:from>
      <xdr:col>7</xdr:col>
      <xdr:colOff>1209675</xdr:colOff>
      <xdr:row>0</xdr:row>
      <xdr:rowOff>133350</xdr:rowOff>
    </xdr:from>
    <xdr:to>
      <xdr:col>10</xdr:col>
      <xdr:colOff>118808</xdr:colOff>
      <xdr:row>0</xdr:row>
      <xdr:rowOff>295275</xdr:rowOff>
    </xdr:to>
    <xdr:sp macro="" textlink="">
      <xdr:nvSpPr>
        <xdr:cNvPr id="26652" name="WordArt 28">
          <a:hlinkClick xmlns:r="http://schemas.openxmlformats.org/officeDocument/2006/relationships" r:id="rId3"/>
          <a:extLst>
            <a:ext uri="{FF2B5EF4-FFF2-40B4-BE49-F238E27FC236}">
              <a16:creationId xmlns:a16="http://schemas.microsoft.com/office/drawing/2014/main" id="{00000000-0008-0000-1200-00001C680000}"/>
            </a:ext>
          </a:extLst>
        </xdr:cNvPr>
        <xdr:cNvSpPr>
          <a:spLocks noChangeArrowheads="1" noChangeShapeType="1" noTextEdit="1"/>
        </xdr:cNvSpPr>
      </xdr:nvSpPr>
      <xdr:spPr bwMode="auto">
        <a:xfrm>
          <a:off x="8181975" y="133350"/>
          <a:ext cx="1438275" cy="161925"/>
        </a:xfrm>
        <a:prstGeom prst="rect">
          <a:avLst/>
        </a:prstGeom>
      </xdr:spPr>
      <xdr:txBody>
        <a:bodyPr wrap="none" fromWordArt="1">
          <a:prstTxWarp prst="textPlain">
            <a:avLst>
              <a:gd name="adj" fmla="val 50000"/>
            </a:avLst>
          </a:prstTxWarp>
        </a:bodyPr>
        <a:lstStyle/>
        <a:p>
          <a:pPr algn="ctr" rtl="0"/>
          <a:r>
            <a:rPr lang="fr-FR" sz="800" kern="10" spc="0">
              <a:ln w="9525">
                <a:noFill/>
                <a:round/>
                <a:headEnd/>
                <a:tailEnd/>
              </a:ln>
              <a:noFill/>
              <a:effectLst/>
              <a:latin typeface="Arial Black"/>
            </a:rPr>
            <a:t>www.biograce.net</a:t>
          </a:r>
        </a:p>
      </xdr:txBody>
    </xdr:sp>
    <xdr:clientData/>
  </xdr:twoCellAnchor>
  <xdr:twoCellAnchor>
    <xdr:from>
      <xdr:col>10</xdr:col>
      <xdr:colOff>316707</xdr:colOff>
      <xdr:row>0</xdr:row>
      <xdr:rowOff>0</xdr:rowOff>
    </xdr:from>
    <xdr:to>
      <xdr:col>13</xdr:col>
      <xdr:colOff>986382</xdr:colOff>
      <xdr:row>0</xdr:row>
      <xdr:rowOff>266700</xdr:rowOff>
    </xdr:to>
    <xdr:sp macro="" textlink="">
      <xdr:nvSpPr>
        <xdr:cNvPr id="26653" name="WordArt 29">
          <a:hlinkClick xmlns:r="http://schemas.openxmlformats.org/officeDocument/2006/relationships" r:id="rId4"/>
          <a:extLst>
            <a:ext uri="{FF2B5EF4-FFF2-40B4-BE49-F238E27FC236}">
              <a16:creationId xmlns:a16="http://schemas.microsoft.com/office/drawing/2014/main" id="{00000000-0008-0000-1200-00001D680000}"/>
            </a:ext>
          </a:extLst>
        </xdr:cNvPr>
        <xdr:cNvSpPr>
          <a:spLocks noChangeArrowheads="1" noChangeShapeType="1" noTextEdit="1"/>
        </xdr:cNvSpPr>
      </xdr:nvSpPr>
      <xdr:spPr bwMode="auto">
        <a:xfrm>
          <a:off x="9820275" y="0"/>
          <a:ext cx="2057400" cy="266700"/>
        </a:xfrm>
        <a:prstGeom prst="rect">
          <a:avLst/>
        </a:prstGeom>
      </xdr:spPr>
      <xdr:txBody>
        <a:bodyPr wrap="none" fromWordArt="1">
          <a:prstTxWarp prst="textPlain">
            <a:avLst>
              <a:gd name="adj" fmla="val 50000"/>
            </a:avLst>
          </a:prstTxWarp>
        </a:bodyPr>
        <a:lstStyle/>
        <a:p>
          <a:pPr algn="ctr" rtl="0"/>
          <a:r>
            <a:rPr lang="fr-FR" sz="800" kern="10" spc="0">
              <a:ln w="9525">
                <a:noFill/>
                <a:round/>
                <a:headEnd/>
                <a:tailEnd/>
              </a:ln>
              <a:noFill/>
              <a:effectLst/>
              <a:latin typeface="Arial Black"/>
            </a:rPr>
            <a:t>intelligent energy europe</a:t>
          </a:r>
        </a:p>
      </xdr:txBody>
    </xdr:sp>
    <xdr:clientData/>
  </xdr:twoCellAnchor>
  <mc:AlternateContent xmlns:mc="http://schemas.openxmlformats.org/markup-compatibility/2006">
    <mc:Choice xmlns:a14="http://schemas.microsoft.com/office/drawing/2010/main" Requires="a14">
      <xdr:twoCellAnchor editAs="oneCell">
        <xdr:from>
          <xdr:col>9</xdr:col>
          <xdr:colOff>38100</xdr:colOff>
          <xdr:row>18</xdr:row>
          <xdr:rowOff>47625</xdr:rowOff>
        </xdr:from>
        <xdr:to>
          <xdr:col>13</xdr:col>
          <xdr:colOff>885825</xdr:colOff>
          <xdr:row>20</xdr:row>
          <xdr:rowOff>85725</xdr:rowOff>
        </xdr:to>
        <xdr:sp macro="" textlink="">
          <xdr:nvSpPr>
            <xdr:cNvPr id="26628" name="CheckBox2" hidden="1">
              <a:extLst>
                <a:ext uri="{63B3BB69-23CF-44E3-9099-C40C66FF867C}">
                  <a14:compatExt spid="_x0000_s26628"/>
                </a:ext>
                <a:ext uri="{FF2B5EF4-FFF2-40B4-BE49-F238E27FC236}">
                  <a16:creationId xmlns:a16="http://schemas.microsoft.com/office/drawing/2014/main" id="{00000000-0008-0000-1200-000004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16</xdr:row>
          <xdr:rowOff>0</xdr:rowOff>
        </xdr:from>
        <xdr:to>
          <xdr:col>13</xdr:col>
          <xdr:colOff>866775</xdr:colOff>
          <xdr:row>18</xdr:row>
          <xdr:rowOff>171450</xdr:rowOff>
        </xdr:to>
        <xdr:sp macro="" textlink="">
          <xdr:nvSpPr>
            <xdr:cNvPr id="26629" name="CheckBox1" hidden="1">
              <a:extLst>
                <a:ext uri="{63B3BB69-23CF-44E3-9099-C40C66FF867C}">
                  <a14:compatExt spid="_x0000_s26629"/>
                </a:ext>
                <a:ext uri="{FF2B5EF4-FFF2-40B4-BE49-F238E27FC236}">
                  <a16:creationId xmlns:a16="http://schemas.microsoft.com/office/drawing/2014/main" id="{00000000-0008-0000-1200-000005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205</xdr:row>
          <xdr:rowOff>0</xdr:rowOff>
        </xdr:from>
        <xdr:to>
          <xdr:col>3</xdr:col>
          <xdr:colOff>38100</xdr:colOff>
          <xdr:row>206</xdr:row>
          <xdr:rowOff>38100</xdr:rowOff>
        </xdr:to>
        <xdr:sp macro="" textlink="">
          <xdr:nvSpPr>
            <xdr:cNvPr id="26662" name="ComboBox1" hidden="1">
              <a:extLst>
                <a:ext uri="{63B3BB69-23CF-44E3-9099-C40C66FF867C}">
                  <a14:compatExt spid="_x0000_s26662"/>
                </a:ext>
                <a:ext uri="{FF2B5EF4-FFF2-40B4-BE49-F238E27FC236}">
                  <a16:creationId xmlns:a16="http://schemas.microsoft.com/office/drawing/2014/main" id="{00000000-0008-0000-1200-000026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1714500</xdr:colOff>
          <xdr:row>221</xdr:row>
          <xdr:rowOff>190500</xdr:rowOff>
        </xdr:from>
        <xdr:to>
          <xdr:col>3</xdr:col>
          <xdr:colOff>0</xdr:colOff>
          <xdr:row>223</xdr:row>
          <xdr:rowOff>0</xdr:rowOff>
        </xdr:to>
        <xdr:sp macro="" textlink="">
          <xdr:nvSpPr>
            <xdr:cNvPr id="26900" name="ComboBox2" hidden="1">
              <a:extLst>
                <a:ext uri="{63B3BB69-23CF-44E3-9099-C40C66FF867C}">
                  <a14:compatExt spid="_x0000_s26900"/>
                </a:ext>
                <a:ext uri="{FF2B5EF4-FFF2-40B4-BE49-F238E27FC236}">
                  <a16:creationId xmlns:a16="http://schemas.microsoft.com/office/drawing/2014/main" id="{00000000-0008-0000-1200-0000146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1371600</xdr:colOff>
          <xdr:row>22</xdr:row>
          <xdr:rowOff>104775</xdr:rowOff>
        </xdr:from>
        <xdr:to>
          <xdr:col>3</xdr:col>
          <xdr:colOff>542925</xdr:colOff>
          <xdr:row>23</xdr:row>
          <xdr:rowOff>228600</xdr:rowOff>
        </xdr:to>
        <xdr:sp macro="" textlink="">
          <xdr:nvSpPr>
            <xdr:cNvPr id="27228" name="cmdTrackChanges" hidden="1">
              <a:extLst>
                <a:ext uri="{63B3BB69-23CF-44E3-9099-C40C66FF867C}">
                  <a14:compatExt spid="_x0000_s27228"/>
                </a:ext>
                <a:ext uri="{FF2B5EF4-FFF2-40B4-BE49-F238E27FC236}">
                  <a16:creationId xmlns:a16="http://schemas.microsoft.com/office/drawing/2014/main" id="{00000000-0008-0000-1200-00005C6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438150</xdr:colOff>
          <xdr:row>0</xdr:row>
          <xdr:rowOff>800100</xdr:rowOff>
        </xdr:from>
        <xdr:to>
          <xdr:col>12</xdr:col>
          <xdr:colOff>85725</xdr:colOff>
          <xdr:row>1</xdr:row>
          <xdr:rowOff>0</xdr:rowOff>
        </xdr:to>
        <xdr:sp macro="" textlink="">
          <xdr:nvSpPr>
            <xdr:cNvPr id="27300" name="Label 676" hidden="1">
              <a:extLst>
                <a:ext uri="{63B3BB69-23CF-44E3-9099-C40C66FF867C}">
                  <a14:compatExt spid="_x0000_s27300"/>
                </a:ext>
                <a:ext uri="{FF2B5EF4-FFF2-40B4-BE49-F238E27FC236}">
                  <a16:creationId xmlns:a16="http://schemas.microsoft.com/office/drawing/2014/main" id="{00000000-0008-0000-1200-0000A46A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161925</xdr:colOff>
          <xdr:row>0</xdr:row>
          <xdr:rowOff>800100</xdr:rowOff>
        </xdr:from>
        <xdr:to>
          <xdr:col>13</xdr:col>
          <xdr:colOff>990600</xdr:colOff>
          <xdr:row>1</xdr:row>
          <xdr:rowOff>0</xdr:rowOff>
        </xdr:to>
        <xdr:sp macro="" textlink="">
          <xdr:nvSpPr>
            <xdr:cNvPr id="27301" name="Label 677" hidden="1">
              <a:extLst>
                <a:ext uri="{63B3BB69-23CF-44E3-9099-C40C66FF867C}">
                  <a14:compatExt spid="_x0000_s27301"/>
                </a:ext>
                <a:ext uri="{FF2B5EF4-FFF2-40B4-BE49-F238E27FC236}">
                  <a16:creationId xmlns:a16="http://schemas.microsoft.com/office/drawing/2014/main" id="{00000000-0008-0000-1200-0000A56A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xdr:twoCellAnchor>
    <xdr:from>
      <xdr:col>0</xdr:col>
      <xdr:colOff>0</xdr:colOff>
      <xdr:row>0</xdr:row>
      <xdr:rowOff>0</xdr:rowOff>
    </xdr:from>
    <xdr:to>
      <xdr:col>14</xdr:col>
      <xdr:colOff>885825</xdr:colOff>
      <xdr:row>1</xdr:row>
      <xdr:rowOff>0</xdr:rowOff>
    </xdr:to>
    <xdr:grpSp>
      <xdr:nvGrpSpPr>
        <xdr:cNvPr id="29494" name="Groep 11">
          <a:extLst>
            <a:ext uri="{FF2B5EF4-FFF2-40B4-BE49-F238E27FC236}">
              <a16:creationId xmlns:a16="http://schemas.microsoft.com/office/drawing/2014/main" id="{00000000-0008-0000-1300-000036730000}"/>
            </a:ext>
          </a:extLst>
        </xdr:cNvPr>
        <xdr:cNvGrpSpPr>
          <a:grpSpLocks/>
        </xdr:cNvGrpSpPr>
      </xdr:nvGrpSpPr>
      <xdr:grpSpPr bwMode="auto">
        <a:xfrm>
          <a:off x="0" y="0"/>
          <a:ext cx="12887325" cy="1295400"/>
          <a:chOff x="0" y="0"/>
          <a:chExt cx="12875419" cy="1297781"/>
        </a:xfrm>
      </xdr:grpSpPr>
      <xdr:pic>
        <xdr:nvPicPr>
          <xdr:cNvPr id="29497" name="Picture 14" descr="Header_Calculator_300dpi_2">
            <a:extLst>
              <a:ext uri="{FF2B5EF4-FFF2-40B4-BE49-F238E27FC236}">
                <a16:creationId xmlns:a16="http://schemas.microsoft.com/office/drawing/2014/main" id="{00000000-0008-0000-1300-00003973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2875419" cy="12977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29498" name="Afbeelding 13">
            <a:extLst>
              <a:ext uri="{FF2B5EF4-FFF2-40B4-BE49-F238E27FC236}">
                <a16:creationId xmlns:a16="http://schemas.microsoft.com/office/drawing/2014/main" id="{00000000-0008-0000-1300-00003A73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7576"/>
          <a:stretch>
            <a:fillRect/>
          </a:stretch>
        </xdr:blipFill>
        <xdr:spPr bwMode="auto">
          <a:xfrm>
            <a:off x="0" y="1"/>
            <a:ext cx="5107781" cy="12891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twoCellAnchor>
    <xdr:from>
      <xdr:col>7</xdr:col>
      <xdr:colOff>1209675</xdr:colOff>
      <xdr:row>0</xdr:row>
      <xdr:rowOff>133350</xdr:rowOff>
    </xdr:from>
    <xdr:to>
      <xdr:col>10</xdr:col>
      <xdr:colOff>118808</xdr:colOff>
      <xdr:row>0</xdr:row>
      <xdr:rowOff>295275</xdr:rowOff>
    </xdr:to>
    <xdr:sp macro="" textlink="">
      <xdr:nvSpPr>
        <xdr:cNvPr id="28700" name="WordArt 28">
          <a:hlinkClick xmlns:r="http://schemas.openxmlformats.org/officeDocument/2006/relationships" r:id="rId3"/>
          <a:extLst>
            <a:ext uri="{FF2B5EF4-FFF2-40B4-BE49-F238E27FC236}">
              <a16:creationId xmlns:a16="http://schemas.microsoft.com/office/drawing/2014/main" id="{00000000-0008-0000-1300-00001C700000}"/>
            </a:ext>
          </a:extLst>
        </xdr:cNvPr>
        <xdr:cNvSpPr>
          <a:spLocks noChangeArrowheads="1" noChangeShapeType="1" noTextEdit="1"/>
        </xdr:cNvSpPr>
      </xdr:nvSpPr>
      <xdr:spPr bwMode="auto">
        <a:xfrm>
          <a:off x="8181975" y="133350"/>
          <a:ext cx="1438275" cy="161925"/>
        </a:xfrm>
        <a:prstGeom prst="rect">
          <a:avLst/>
        </a:prstGeom>
      </xdr:spPr>
      <xdr:txBody>
        <a:bodyPr wrap="none" fromWordArt="1">
          <a:prstTxWarp prst="textPlain">
            <a:avLst>
              <a:gd name="adj" fmla="val 50000"/>
            </a:avLst>
          </a:prstTxWarp>
        </a:bodyPr>
        <a:lstStyle/>
        <a:p>
          <a:pPr algn="ctr" rtl="0"/>
          <a:r>
            <a:rPr lang="fr-FR" sz="800" kern="10" spc="0">
              <a:ln w="9525">
                <a:noFill/>
                <a:round/>
                <a:headEnd/>
                <a:tailEnd/>
              </a:ln>
              <a:noFill/>
              <a:effectLst/>
              <a:latin typeface="Arial Black"/>
            </a:rPr>
            <a:t>www.biograce.net</a:t>
          </a:r>
        </a:p>
      </xdr:txBody>
    </xdr:sp>
    <xdr:clientData/>
  </xdr:twoCellAnchor>
  <xdr:twoCellAnchor>
    <xdr:from>
      <xdr:col>10</xdr:col>
      <xdr:colOff>316707</xdr:colOff>
      <xdr:row>0</xdr:row>
      <xdr:rowOff>0</xdr:rowOff>
    </xdr:from>
    <xdr:to>
      <xdr:col>13</xdr:col>
      <xdr:colOff>986382</xdr:colOff>
      <xdr:row>0</xdr:row>
      <xdr:rowOff>266700</xdr:rowOff>
    </xdr:to>
    <xdr:sp macro="" textlink="">
      <xdr:nvSpPr>
        <xdr:cNvPr id="28701" name="WordArt 29">
          <a:hlinkClick xmlns:r="http://schemas.openxmlformats.org/officeDocument/2006/relationships" r:id="rId4"/>
          <a:extLst>
            <a:ext uri="{FF2B5EF4-FFF2-40B4-BE49-F238E27FC236}">
              <a16:creationId xmlns:a16="http://schemas.microsoft.com/office/drawing/2014/main" id="{00000000-0008-0000-1300-00001D700000}"/>
            </a:ext>
          </a:extLst>
        </xdr:cNvPr>
        <xdr:cNvSpPr>
          <a:spLocks noChangeArrowheads="1" noChangeShapeType="1" noTextEdit="1"/>
        </xdr:cNvSpPr>
      </xdr:nvSpPr>
      <xdr:spPr bwMode="auto">
        <a:xfrm>
          <a:off x="9820275" y="0"/>
          <a:ext cx="2057400" cy="266700"/>
        </a:xfrm>
        <a:prstGeom prst="rect">
          <a:avLst/>
        </a:prstGeom>
      </xdr:spPr>
      <xdr:txBody>
        <a:bodyPr wrap="none" fromWordArt="1">
          <a:prstTxWarp prst="textPlain">
            <a:avLst>
              <a:gd name="adj" fmla="val 50000"/>
            </a:avLst>
          </a:prstTxWarp>
        </a:bodyPr>
        <a:lstStyle/>
        <a:p>
          <a:pPr algn="ctr" rtl="0"/>
          <a:r>
            <a:rPr lang="fr-FR" sz="800" kern="10" spc="0">
              <a:ln w="9525">
                <a:noFill/>
                <a:round/>
                <a:headEnd/>
                <a:tailEnd/>
              </a:ln>
              <a:noFill/>
              <a:effectLst/>
              <a:latin typeface="Arial Black"/>
            </a:rPr>
            <a:t>intelligent energy europe</a:t>
          </a:r>
        </a:p>
      </xdr:txBody>
    </xdr:sp>
    <xdr:clientData/>
  </xdr:twoCellAnchor>
  <mc:AlternateContent xmlns:mc="http://schemas.openxmlformats.org/markup-compatibility/2006">
    <mc:Choice xmlns:a14="http://schemas.microsoft.com/office/drawing/2010/main" Requires="a14">
      <xdr:twoCellAnchor editAs="oneCell">
        <xdr:from>
          <xdr:col>9</xdr:col>
          <xdr:colOff>38100</xdr:colOff>
          <xdr:row>17</xdr:row>
          <xdr:rowOff>47625</xdr:rowOff>
        </xdr:from>
        <xdr:to>
          <xdr:col>13</xdr:col>
          <xdr:colOff>885825</xdr:colOff>
          <xdr:row>19</xdr:row>
          <xdr:rowOff>85725</xdr:rowOff>
        </xdr:to>
        <xdr:sp macro="" textlink="">
          <xdr:nvSpPr>
            <xdr:cNvPr id="28676" name="CheckBox2" hidden="1">
              <a:extLst>
                <a:ext uri="{63B3BB69-23CF-44E3-9099-C40C66FF867C}">
                  <a14:compatExt spid="_x0000_s28676"/>
                </a:ext>
                <a:ext uri="{FF2B5EF4-FFF2-40B4-BE49-F238E27FC236}">
                  <a16:creationId xmlns:a16="http://schemas.microsoft.com/office/drawing/2014/main" id="{00000000-0008-0000-1300-0000047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15</xdr:row>
          <xdr:rowOff>0</xdr:rowOff>
        </xdr:from>
        <xdr:to>
          <xdr:col>13</xdr:col>
          <xdr:colOff>866775</xdr:colOff>
          <xdr:row>17</xdr:row>
          <xdr:rowOff>171450</xdr:rowOff>
        </xdr:to>
        <xdr:sp macro="" textlink="">
          <xdr:nvSpPr>
            <xdr:cNvPr id="28677" name="CheckBox1" hidden="1">
              <a:extLst>
                <a:ext uri="{63B3BB69-23CF-44E3-9099-C40C66FF867C}">
                  <a14:compatExt spid="_x0000_s28677"/>
                </a:ext>
                <a:ext uri="{FF2B5EF4-FFF2-40B4-BE49-F238E27FC236}">
                  <a16:creationId xmlns:a16="http://schemas.microsoft.com/office/drawing/2014/main" id="{00000000-0008-0000-1300-0000057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1714500</xdr:colOff>
          <xdr:row>195</xdr:row>
          <xdr:rowOff>0</xdr:rowOff>
        </xdr:from>
        <xdr:to>
          <xdr:col>3</xdr:col>
          <xdr:colOff>38100</xdr:colOff>
          <xdr:row>196</xdr:row>
          <xdr:rowOff>28575</xdr:rowOff>
        </xdr:to>
        <xdr:sp macro="" textlink="">
          <xdr:nvSpPr>
            <xdr:cNvPr id="28746" name="ComboBox1" hidden="1">
              <a:extLst>
                <a:ext uri="{63B3BB69-23CF-44E3-9099-C40C66FF867C}">
                  <a14:compatExt spid="_x0000_s28746"/>
                </a:ext>
                <a:ext uri="{FF2B5EF4-FFF2-40B4-BE49-F238E27FC236}">
                  <a16:creationId xmlns:a16="http://schemas.microsoft.com/office/drawing/2014/main" id="{00000000-0008-0000-1300-00004A7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212</xdr:row>
          <xdr:rowOff>0</xdr:rowOff>
        </xdr:from>
        <xdr:to>
          <xdr:col>3</xdr:col>
          <xdr:colOff>57150</xdr:colOff>
          <xdr:row>213</xdr:row>
          <xdr:rowOff>9525</xdr:rowOff>
        </xdr:to>
        <xdr:sp macro="" textlink="">
          <xdr:nvSpPr>
            <xdr:cNvPr id="28987" name="ComboBox2" hidden="1">
              <a:extLst>
                <a:ext uri="{63B3BB69-23CF-44E3-9099-C40C66FF867C}">
                  <a14:compatExt spid="_x0000_s28987"/>
                </a:ext>
                <a:ext uri="{FF2B5EF4-FFF2-40B4-BE49-F238E27FC236}">
                  <a16:creationId xmlns:a16="http://schemas.microsoft.com/office/drawing/2014/main" id="{00000000-0008-0000-1300-00003B71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1123950</xdr:colOff>
          <xdr:row>21</xdr:row>
          <xdr:rowOff>85725</xdr:rowOff>
        </xdr:from>
        <xdr:to>
          <xdr:col>3</xdr:col>
          <xdr:colOff>295275</xdr:colOff>
          <xdr:row>22</xdr:row>
          <xdr:rowOff>209550</xdr:rowOff>
        </xdr:to>
        <xdr:sp macro="" textlink="">
          <xdr:nvSpPr>
            <xdr:cNvPr id="29315" name="cmdTrackChanges" hidden="1">
              <a:extLst>
                <a:ext uri="{63B3BB69-23CF-44E3-9099-C40C66FF867C}">
                  <a14:compatExt spid="_x0000_s29315"/>
                </a:ext>
                <a:ext uri="{FF2B5EF4-FFF2-40B4-BE49-F238E27FC236}">
                  <a16:creationId xmlns:a16="http://schemas.microsoft.com/office/drawing/2014/main" id="{00000000-0008-0000-1300-00008372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438150</xdr:colOff>
          <xdr:row>0</xdr:row>
          <xdr:rowOff>800100</xdr:rowOff>
        </xdr:from>
        <xdr:to>
          <xdr:col>12</xdr:col>
          <xdr:colOff>85725</xdr:colOff>
          <xdr:row>1</xdr:row>
          <xdr:rowOff>0</xdr:rowOff>
        </xdr:to>
        <xdr:sp macro="" textlink="">
          <xdr:nvSpPr>
            <xdr:cNvPr id="29385" name="Label 713" hidden="1">
              <a:extLst>
                <a:ext uri="{63B3BB69-23CF-44E3-9099-C40C66FF867C}">
                  <a14:compatExt spid="_x0000_s29385"/>
                </a:ext>
                <a:ext uri="{FF2B5EF4-FFF2-40B4-BE49-F238E27FC236}">
                  <a16:creationId xmlns:a16="http://schemas.microsoft.com/office/drawing/2014/main" id="{00000000-0008-0000-1300-0000C972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152400</xdr:colOff>
          <xdr:row>0</xdr:row>
          <xdr:rowOff>800100</xdr:rowOff>
        </xdr:from>
        <xdr:to>
          <xdr:col>13</xdr:col>
          <xdr:colOff>981075</xdr:colOff>
          <xdr:row>1</xdr:row>
          <xdr:rowOff>0</xdr:rowOff>
        </xdr:to>
        <xdr:sp macro="" textlink="">
          <xdr:nvSpPr>
            <xdr:cNvPr id="29386" name="Label 714" hidden="1">
              <a:extLst>
                <a:ext uri="{63B3BB69-23CF-44E3-9099-C40C66FF867C}">
                  <a14:compatExt spid="_x0000_s29386"/>
                </a:ext>
                <a:ext uri="{FF2B5EF4-FFF2-40B4-BE49-F238E27FC236}">
                  <a16:creationId xmlns:a16="http://schemas.microsoft.com/office/drawing/2014/main" id="{00000000-0008-0000-1300-0000CA72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xdr:twoCellAnchor>
    <xdr:from>
      <xdr:col>0</xdr:col>
      <xdr:colOff>0</xdr:colOff>
      <xdr:row>0</xdr:row>
      <xdr:rowOff>0</xdr:rowOff>
    </xdr:from>
    <xdr:to>
      <xdr:col>14</xdr:col>
      <xdr:colOff>885825</xdr:colOff>
      <xdr:row>1</xdr:row>
      <xdr:rowOff>0</xdr:rowOff>
    </xdr:to>
    <xdr:grpSp>
      <xdr:nvGrpSpPr>
        <xdr:cNvPr id="15325" name="Groep 11">
          <a:extLst>
            <a:ext uri="{FF2B5EF4-FFF2-40B4-BE49-F238E27FC236}">
              <a16:creationId xmlns:a16="http://schemas.microsoft.com/office/drawing/2014/main" id="{00000000-0008-0000-1400-0000DD3B0000}"/>
            </a:ext>
          </a:extLst>
        </xdr:cNvPr>
        <xdr:cNvGrpSpPr>
          <a:grpSpLocks/>
        </xdr:cNvGrpSpPr>
      </xdr:nvGrpSpPr>
      <xdr:grpSpPr bwMode="auto">
        <a:xfrm>
          <a:off x="0" y="0"/>
          <a:ext cx="12887325" cy="1295400"/>
          <a:chOff x="0" y="0"/>
          <a:chExt cx="12875419" cy="1297781"/>
        </a:xfrm>
      </xdr:grpSpPr>
      <xdr:pic>
        <xdr:nvPicPr>
          <xdr:cNvPr id="15328" name="Picture 14" descr="Header_Calculator_300dpi_2">
            <a:extLst>
              <a:ext uri="{FF2B5EF4-FFF2-40B4-BE49-F238E27FC236}">
                <a16:creationId xmlns:a16="http://schemas.microsoft.com/office/drawing/2014/main" id="{00000000-0008-0000-1400-0000E03B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2875419" cy="12977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5329" name="Afbeelding 13">
            <a:extLst>
              <a:ext uri="{FF2B5EF4-FFF2-40B4-BE49-F238E27FC236}">
                <a16:creationId xmlns:a16="http://schemas.microsoft.com/office/drawing/2014/main" id="{00000000-0008-0000-1400-0000E13B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7576"/>
          <a:stretch>
            <a:fillRect/>
          </a:stretch>
        </xdr:blipFill>
        <xdr:spPr bwMode="auto">
          <a:xfrm>
            <a:off x="0" y="1"/>
            <a:ext cx="5107781" cy="12891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twoCellAnchor>
    <xdr:from>
      <xdr:col>7</xdr:col>
      <xdr:colOff>1209675</xdr:colOff>
      <xdr:row>0</xdr:row>
      <xdr:rowOff>133350</xdr:rowOff>
    </xdr:from>
    <xdr:to>
      <xdr:col>10</xdr:col>
      <xdr:colOff>118808</xdr:colOff>
      <xdr:row>0</xdr:row>
      <xdr:rowOff>295275</xdr:rowOff>
    </xdr:to>
    <xdr:sp macro="" textlink="">
      <xdr:nvSpPr>
        <xdr:cNvPr id="14364" name="WordArt 28">
          <a:hlinkClick xmlns:r="http://schemas.openxmlformats.org/officeDocument/2006/relationships" r:id="rId3"/>
          <a:extLst>
            <a:ext uri="{FF2B5EF4-FFF2-40B4-BE49-F238E27FC236}">
              <a16:creationId xmlns:a16="http://schemas.microsoft.com/office/drawing/2014/main" id="{00000000-0008-0000-1400-00001C380000}"/>
            </a:ext>
          </a:extLst>
        </xdr:cNvPr>
        <xdr:cNvSpPr>
          <a:spLocks noChangeArrowheads="1" noChangeShapeType="1" noTextEdit="1"/>
        </xdr:cNvSpPr>
      </xdr:nvSpPr>
      <xdr:spPr bwMode="auto">
        <a:xfrm>
          <a:off x="8181975" y="133350"/>
          <a:ext cx="1438275" cy="161925"/>
        </a:xfrm>
        <a:prstGeom prst="rect">
          <a:avLst/>
        </a:prstGeom>
      </xdr:spPr>
      <xdr:txBody>
        <a:bodyPr wrap="none" fromWordArt="1">
          <a:prstTxWarp prst="textPlain">
            <a:avLst>
              <a:gd name="adj" fmla="val 50000"/>
            </a:avLst>
          </a:prstTxWarp>
        </a:bodyPr>
        <a:lstStyle/>
        <a:p>
          <a:pPr algn="ctr" rtl="0"/>
          <a:r>
            <a:rPr lang="fr-FR" sz="800" kern="10" spc="0">
              <a:ln w="9525">
                <a:noFill/>
                <a:round/>
                <a:headEnd/>
                <a:tailEnd/>
              </a:ln>
              <a:noFill/>
              <a:effectLst/>
              <a:latin typeface="Arial Black"/>
            </a:rPr>
            <a:t>www.biograce.net</a:t>
          </a:r>
        </a:p>
      </xdr:txBody>
    </xdr:sp>
    <xdr:clientData/>
  </xdr:twoCellAnchor>
  <xdr:twoCellAnchor>
    <xdr:from>
      <xdr:col>10</xdr:col>
      <xdr:colOff>316707</xdr:colOff>
      <xdr:row>0</xdr:row>
      <xdr:rowOff>0</xdr:rowOff>
    </xdr:from>
    <xdr:to>
      <xdr:col>13</xdr:col>
      <xdr:colOff>986382</xdr:colOff>
      <xdr:row>0</xdr:row>
      <xdr:rowOff>266700</xdr:rowOff>
    </xdr:to>
    <xdr:sp macro="" textlink="">
      <xdr:nvSpPr>
        <xdr:cNvPr id="14365" name="WordArt 29">
          <a:hlinkClick xmlns:r="http://schemas.openxmlformats.org/officeDocument/2006/relationships" r:id="rId4"/>
          <a:extLst>
            <a:ext uri="{FF2B5EF4-FFF2-40B4-BE49-F238E27FC236}">
              <a16:creationId xmlns:a16="http://schemas.microsoft.com/office/drawing/2014/main" id="{00000000-0008-0000-1400-00001D380000}"/>
            </a:ext>
          </a:extLst>
        </xdr:cNvPr>
        <xdr:cNvSpPr>
          <a:spLocks noChangeArrowheads="1" noChangeShapeType="1" noTextEdit="1"/>
        </xdr:cNvSpPr>
      </xdr:nvSpPr>
      <xdr:spPr bwMode="auto">
        <a:xfrm>
          <a:off x="9820275" y="0"/>
          <a:ext cx="2057400" cy="266700"/>
        </a:xfrm>
        <a:prstGeom prst="rect">
          <a:avLst/>
        </a:prstGeom>
      </xdr:spPr>
      <xdr:txBody>
        <a:bodyPr wrap="none" fromWordArt="1">
          <a:prstTxWarp prst="textPlain">
            <a:avLst>
              <a:gd name="adj" fmla="val 50000"/>
            </a:avLst>
          </a:prstTxWarp>
        </a:bodyPr>
        <a:lstStyle/>
        <a:p>
          <a:pPr algn="ctr" rtl="0"/>
          <a:r>
            <a:rPr lang="fr-FR" sz="800" kern="10" spc="0">
              <a:ln w="9525">
                <a:noFill/>
                <a:round/>
                <a:headEnd/>
                <a:tailEnd/>
              </a:ln>
              <a:noFill/>
              <a:effectLst/>
              <a:latin typeface="Arial Black"/>
            </a:rPr>
            <a:t>intelligent energy europe</a:t>
          </a:r>
        </a:p>
      </xdr:txBody>
    </xdr:sp>
    <xdr:clientData/>
  </xdr:twoCellAnchor>
  <mc:AlternateContent xmlns:mc="http://schemas.openxmlformats.org/markup-compatibility/2006">
    <mc:Choice xmlns:a14="http://schemas.microsoft.com/office/drawing/2010/main" Requires="a14">
      <xdr:twoCellAnchor editAs="oneCell">
        <xdr:from>
          <xdr:col>9</xdr:col>
          <xdr:colOff>38100</xdr:colOff>
          <xdr:row>18</xdr:row>
          <xdr:rowOff>47625</xdr:rowOff>
        </xdr:from>
        <xdr:to>
          <xdr:col>13</xdr:col>
          <xdr:colOff>885825</xdr:colOff>
          <xdr:row>20</xdr:row>
          <xdr:rowOff>85725</xdr:rowOff>
        </xdr:to>
        <xdr:sp macro="" textlink="">
          <xdr:nvSpPr>
            <xdr:cNvPr id="14340" name="CheckBox2" hidden="1">
              <a:extLst>
                <a:ext uri="{63B3BB69-23CF-44E3-9099-C40C66FF867C}">
                  <a14:compatExt spid="_x0000_s14340"/>
                </a:ext>
                <a:ext uri="{FF2B5EF4-FFF2-40B4-BE49-F238E27FC236}">
                  <a16:creationId xmlns:a16="http://schemas.microsoft.com/office/drawing/2014/main" id="{00000000-0008-0000-1400-000004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16</xdr:row>
          <xdr:rowOff>0</xdr:rowOff>
        </xdr:from>
        <xdr:to>
          <xdr:col>13</xdr:col>
          <xdr:colOff>866775</xdr:colOff>
          <xdr:row>18</xdr:row>
          <xdr:rowOff>161925</xdr:rowOff>
        </xdr:to>
        <xdr:sp macro="" textlink="">
          <xdr:nvSpPr>
            <xdr:cNvPr id="14341" name="CheckBox1" hidden="1">
              <a:extLst>
                <a:ext uri="{63B3BB69-23CF-44E3-9099-C40C66FF867C}">
                  <a14:compatExt spid="_x0000_s14341"/>
                </a:ext>
                <a:ext uri="{FF2B5EF4-FFF2-40B4-BE49-F238E27FC236}">
                  <a16:creationId xmlns:a16="http://schemas.microsoft.com/office/drawing/2014/main" id="{00000000-0008-0000-1400-000005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222</xdr:row>
          <xdr:rowOff>0</xdr:rowOff>
        </xdr:from>
        <xdr:to>
          <xdr:col>3</xdr:col>
          <xdr:colOff>38100</xdr:colOff>
          <xdr:row>223</xdr:row>
          <xdr:rowOff>9525</xdr:rowOff>
        </xdr:to>
        <xdr:sp macro="" textlink="">
          <xdr:nvSpPr>
            <xdr:cNvPr id="14539" name="ComboBox1" hidden="1">
              <a:extLst>
                <a:ext uri="{63B3BB69-23CF-44E3-9099-C40C66FF867C}">
                  <a14:compatExt spid="_x0000_s14539"/>
                </a:ext>
                <a:ext uri="{FF2B5EF4-FFF2-40B4-BE49-F238E27FC236}">
                  <a16:creationId xmlns:a16="http://schemas.microsoft.com/office/drawing/2014/main" id="{00000000-0008-0000-1400-0000CB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239</xdr:row>
          <xdr:rowOff>9525</xdr:rowOff>
        </xdr:from>
        <xdr:to>
          <xdr:col>3</xdr:col>
          <xdr:colOff>9525</xdr:colOff>
          <xdr:row>240</xdr:row>
          <xdr:rowOff>19050</xdr:rowOff>
        </xdr:to>
        <xdr:sp macro="" textlink="">
          <xdr:nvSpPr>
            <xdr:cNvPr id="14810" name="ComboBox2" hidden="1">
              <a:extLst>
                <a:ext uri="{63B3BB69-23CF-44E3-9099-C40C66FF867C}">
                  <a14:compatExt spid="_x0000_s14810"/>
                </a:ext>
                <a:ext uri="{FF2B5EF4-FFF2-40B4-BE49-F238E27FC236}">
                  <a16:creationId xmlns:a16="http://schemas.microsoft.com/office/drawing/2014/main" id="{00000000-0008-0000-1400-0000DA3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1276350</xdr:colOff>
          <xdr:row>22</xdr:row>
          <xdr:rowOff>104775</xdr:rowOff>
        </xdr:from>
        <xdr:to>
          <xdr:col>3</xdr:col>
          <xdr:colOff>447675</xdr:colOff>
          <xdr:row>23</xdr:row>
          <xdr:rowOff>228600</xdr:rowOff>
        </xdr:to>
        <xdr:sp macro="" textlink="">
          <xdr:nvSpPr>
            <xdr:cNvPr id="15138" name="cmdTrackChanges" hidden="1">
              <a:extLst>
                <a:ext uri="{63B3BB69-23CF-44E3-9099-C40C66FF867C}">
                  <a14:compatExt spid="_x0000_s15138"/>
                </a:ext>
                <a:ext uri="{FF2B5EF4-FFF2-40B4-BE49-F238E27FC236}">
                  <a16:creationId xmlns:a16="http://schemas.microsoft.com/office/drawing/2014/main" id="{00000000-0008-0000-1400-0000223B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438150</xdr:colOff>
          <xdr:row>0</xdr:row>
          <xdr:rowOff>800100</xdr:rowOff>
        </xdr:from>
        <xdr:to>
          <xdr:col>12</xdr:col>
          <xdr:colOff>85725</xdr:colOff>
          <xdr:row>1</xdr:row>
          <xdr:rowOff>0</xdr:rowOff>
        </xdr:to>
        <xdr:sp macro="" textlink="">
          <xdr:nvSpPr>
            <xdr:cNvPr id="15214" name="Label 878" hidden="1">
              <a:extLst>
                <a:ext uri="{63B3BB69-23CF-44E3-9099-C40C66FF867C}">
                  <a14:compatExt spid="_x0000_s15214"/>
                </a:ext>
                <a:ext uri="{FF2B5EF4-FFF2-40B4-BE49-F238E27FC236}">
                  <a16:creationId xmlns:a16="http://schemas.microsoft.com/office/drawing/2014/main" id="{00000000-0008-0000-1400-00006E3B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161925</xdr:colOff>
          <xdr:row>0</xdr:row>
          <xdr:rowOff>800100</xdr:rowOff>
        </xdr:from>
        <xdr:to>
          <xdr:col>13</xdr:col>
          <xdr:colOff>990600</xdr:colOff>
          <xdr:row>1</xdr:row>
          <xdr:rowOff>0</xdr:rowOff>
        </xdr:to>
        <xdr:sp macro="" textlink="">
          <xdr:nvSpPr>
            <xdr:cNvPr id="15215" name="Label 879" hidden="1">
              <a:extLst>
                <a:ext uri="{63B3BB69-23CF-44E3-9099-C40C66FF867C}">
                  <a14:compatExt spid="_x0000_s15215"/>
                </a:ext>
                <a:ext uri="{FF2B5EF4-FFF2-40B4-BE49-F238E27FC236}">
                  <a16:creationId xmlns:a16="http://schemas.microsoft.com/office/drawing/2014/main" id="{00000000-0008-0000-1400-00006F3B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xdr:twoCellAnchor>
    <xdr:from>
      <xdr:col>0</xdr:col>
      <xdr:colOff>0</xdr:colOff>
      <xdr:row>0</xdr:row>
      <xdr:rowOff>0</xdr:rowOff>
    </xdr:from>
    <xdr:to>
      <xdr:col>14</xdr:col>
      <xdr:colOff>885825</xdr:colOff>
      <xdr:row>1</xdr:row>
      <xdr:rowOff>0</xdr:rowOff>
    </xdr:to>
    <xdr:grpSp>
      <xdr:nvGrpSpPr>
        <xdr:cNvPr id="16152" name="Groep 11">
          <a:extLst>
            <a:ext uri="{FF2B5EF4-FFF2-40B4-BE49-F238E27FC236}">
              <a16:creationId xmlns:a16="http://schemas.microsoft.com/office/drawing/2014/main" id="{00000000-0008-0000-1500-0000183F0000}"/>
            </a:ext>
          </a:extLst>
        </xdr:cNvPr>
        <xdr:cNvGrpSpPr>
          <a:grpSpLocks/>
        </xdr:cNvGrpSpPr>
      </xdr:nvGrpSpPr>
      <xdr:grpSpPr bwMode="auto">
        <a:xfrm>
          <a:off x="0" y="0"/>
          <a:ext cx="12887325" cy="1295400"/>
          <a:chOff x="0" y="0"/>
          <a:chExt cx="12875419" cy="1297781"/>
        </a:xfrm>
      </xdr:grpSpPr>
      <xdr:pic>
        <xdr:nvPicPr>
          <xdr:cNvPr id="16155" name="Picture 14" descr="Header_Calculator_300dpi_2">
            <a:extLst>
              <a:ext uri="{FF2B5EF4-FFF2-40B4-BE49-F238E27FC236}">
                <a16:creationId xmlns:a16="http://schemas.microsoft.com/office/drawing/2014/main" id="{00000000-0008-0000-1500-00001B3F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2875419" cy="12977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6156" name="Afbeelding 13">
            <a:extLst>
              <a:ext uri="{FF2B5EF4-FFF2-40B4-BE49-F238E27FC236}">
                <a16:creationId xmlns:a16="http://schemas.microsoft.com/office/drawing/2014/main" id="{00000000-0008-0000-1500-00001C3F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7576"/>
          <a:stretch>
            <a:fillRect/>
          </a:stretch>
        </xdr:blipFill>
        <xdr:spPr bwMode="auto">
          <a:xfrm>
            <a:off x="0" y="1"/>
            <a:ext cx="5107781" cy="12891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twoCellAnchor>
    <xdr:from>
      <xdr:col>7</xdr:col>
      <xdr:colOff>1209675</xdr:colOff>
      <xdr:row>0</xdr:row>
      <xdr:rowOff>133350</xdr:rowOff>
    </xdr:from>
    <xdr:to>
      <xdr:col>10</xdr:col>
      <xdr:colOff>118808</xdr:colOff>
      <xdr:row>0</xdr:row>
      <xdr:rowOff>295275</xdr:rowOff>
    </xdr:to>
    <xdr:sp macro="" textlink="">
      <xdr:nvSpPr>
        <xdr:cNvPr id="15385" name="WordArt 25">
          <a:hlinkClick xmlns:r="http://schemas.openxmlformats.org/officeDocument/2006/relationships" r:id="rId3"/>
          <a:extLst>
            <a:ext uri="{FF2B5EF4-FFF2-40B4-BE49-F238E27FC236}">
              <a16:creationId xmlns:a16="http://schemas.microsoft.com/office/drawing/2014/main" id="{00000000-0008-0000-1500-0000193C0000}"/>
            </a:ext>
          </a:extLst>
        </xdr:cNvPr>
        <xdr:cNvSpPr>
          <a:spLocks noChangeArrowheads="1" noChangeShapeType="1" noTextEdit="1"/>
        </xdr:cNvSpPr>
      </xdr:nvSpPr>
      <xdr:spPr bwMode="auto">
        <a:xfrm>
          <a:off x="8181975" y="133350"/>
          <a:ext cx="1438275" cy="161925"/>
        </a:xfrm>
        <a:prstGeom prst="rect">
          <a:avLst/>
        </a:prstGeom>
      </xdr:spPr>
      <xdr:txBody>
        <a:bodyPr wrap="none" fromWordArt="1">
          <a:prstTxWarp prst="textPlain">
            <a:avLst>
              <a:gd name="adj" fmla="val 50000"/>
            </a:avLst>
          </a:prstTxWarp>
        </a:bodyPr>
        <a:lstStyle/>
        <a:p>
          <a:pPr algn="ctr" rtl="0"/>
          <a:r>
            <a:rPr lang="fr-FR" sz="800" kern="10" spc="0">
              <a:ln w="9525">
                <a:noFill/>
                <a:round/>
                <a:headEnd/>
                <a:tailEnd/>
              </a:ln>
              <a:noFill/>
              <a:effectLst/>
              <a:latin typeface="Arial Black"/>
            </a:rPr>
            <a:t>www.biograce.net</a:t>
          </a:r>
        </a:p>
      </xdr:txBody>
    </xdr:sp>
    <xdr:clientData/>
  </xdr:twoCellAnchor>
  <xdr:twoCellAnchor>
    <xdr:from>
      <xdr:col>10</xdr:col>
      <xdr:colOff>316707</xdr:colOff>
      <xdr:row>0</xdr:row>
      <xdr:rowOff>0</xdr:rowOff>
    </xdr:from>
    <xdr:to>
      <xdr:col>13</xdr:col>
      <xdr:colOff>986382</xdr:colOff>
      <xdr:row>0</xdr:row>
      <xdr:rowOff>266700</xdr:rowOff>
    </xdr:to>
    <xdr:sp macro="" textlink="">
      <xdr:nvSpPr>
        <xdr:cNvPr id="15386" name="WordArt 26">
          <a:hlinkClick xmlns:r="http://schemas.openxmlformats.org/officeDocument/2006/relationships" r:id="rId4"/>
          <a:extLst>
            <a:ext uri="{FF2B5EF4-FFF2-40B4-BE49-F238E27FC236}">
              <a16:creationId xmlns:a16="http://schemas.microsoft.com/office/drawing/2014/main" id="{00000000-0008-0000-1500-00001A3C0000}"/>
            </a:ext>
          </a:extLst>
        </xdr:cNvPr>
        <xdr:cNvSpPr>
          <a:spLocks noChangeArrowheads="1" noChangeShapeType="1" noTextEdit="1"/>
        </xdr:cNvSpPr>
      </xdr:nvSpPr>
      <xdr:spPr bwMode="auto">
        <a:xfrm>
          <a:off x="9820275" y="0"/>
          <a:ext cx="2057400" cy="266700"/>
        </a:xfrm>
        <a:prstGeom prst="rect">
          <a:avLst/>
        </a:prstGeom>
      </xdr:spPr>
      <xdr:txBody>
        <a:bodyPr wrap="none" fromWordArt="1">
          <a:prstTxWarp prst="textPlain">
            <a:avLst>
              <a:gd name="adj" fmla="val 50000"/>
            </a:avLst>
          </a:prstTxWarp>
        </a:bodyPr>
        <a:lstStyle/>
        <a:p>
          <a:pPr algn="ctr" rtl="0"/>
          <a:r>
            <a:rPr lang="fr-FR" sz="800" kern="10" spc="0">
              <a:ln w="9525">
                <a:noFill/>
                <a:round/>
                <a:headEnd/>
                <a:tailEnd/>
              </a:ln>
              <a:noFill/>
              <a:effectLst/>
              <a:latin typeface="Arial Black"/>
            </a:rPr>
            <a:t>intelligent energy europe</a:t>
          </a:r>
        </a:p>
      </xdr:txBody>
    </xdr:sp>
    <xdr:clientData/>
  </xdr:twoCellAnchor>
  <mc:AlternateContent xmlns:mc="http://schemas.openxmlformats.org/markup-compatibility/2006">
    <mc:Choice xmlns:a14="http://schemas.microsoft.com/office/drawing/2010/main" Requires="a14">
      <xdr:twoCellAnchor editAs="oneCell">
        <xdr:from>
          <xdr:col>9</xdr:col>
          <xdr:colOff>38100</xdr:colOff>
          <xdr:row>18</xdr:row>
          <xdr:rowOff>47625</xdr:rowOff>
        </xdr:from>
        <xdr:to>
          <xdr:col>13</xdr:col>
          <xdr:colOff>885825</xdr:colOff>
          <xdr:row>20</xdr:row>
          <xdr:rowOff>85725</xdr:rowOff>
        </xdr:to>
        <xdr:sp macro="" textlink="">
          <xdr:nvSpPr>
            <xdr:cNvPr id="15364" name="CheckBox2" hidden="1">
              <a:extLst>
                <a:ext uri="{63B3BB69-23CF-44E3-9099-C40C66FF867C}">
                  <a14:compatExt spid="_x0000_s15364"/>
                </a:ext>
                <a:ext uri="{FF2B5EF4-FFF2-40B4-BE49-F238E27FC236}">
                  <a16:creationId xmlns:a16="http://schemas.microsoft.com/office/drawing/2014/main" id="{00000000-0008-0000-15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16</xdr:row>
          <xdr:rowOff>0</xdr:rowOff>
        </xdr:from>
        <xdr:to>
          <xdr:col>13</xdr:col>
          <xdr:colOff>866775</xdr:colOff>
          <xdr:row>18</xdr:row>
          <xdr:rowOff>161925</xdr:rowOff>
        </xdr:to>
        <xdr:sp macro="" textlink="">
          <xdr:nvSpPr>
            <xdr:cNvPr id="15365" name="CheckBox1" hidden="1">
              <a:extLst>
                <a:ext uri="{63B3BB69-23CF-44E3-9099-C40C66FF867C}">
                  <a14:compatExt spid="_x0000_s15365"/>
                </a:ext>
                <a:ext uri="{FF2B5EF4-FFF2-40B4-BE49-F238E27FC236}">
                  <a16:creationId xmlns:a16="http://schemas.microsoft.com/office/drawing/2014/main" id="{00000000-0008-0000-15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1704975</xdr:colOff>
          <xdr:row>220</xdr:row>
          <xdr:rowOff>190500</xdr:rowOff>
        </xdr:from>
        <xdr:to>
          <xdr:col>3</xdr:col>
          <xdr:colOff>19050</xdr:colOff>
          <xdr:row>222</xdr:row>
          <xdr:rowOff>28575</xdr:rowOff>
        </xdr:to>
        <xdr:sp macro="" textlink="">
          <xdr:nvSpPr>
            <xdr:cNvPr id="15395" name="ComboBox1" hidden="1">
              <a:extLst>
                <a:ext uri="{63B3BB69-23CF-44E3-9099-C40C66FF867C}">
                  <a14:compatExt spid="_x0000_s15395"/>
                </a:ext>
                <a:ext uri="{FF2B5EF4-FFF2-40B4-BE49-F238E27FC236}">
                  <a16:creationId xmlns:a16="http://schemas.microsoft.com/office/drawing/2014/main" id="{00000000-0008-0000-1500-00002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238</xdr:row>
          <xdr:rowOff>38100</xdr:rowOff>
        </xdr:from>
        <xdr:to>
          <xdr:col>3</xdr:col>
          <xdr:colOff>9525</xdr:colOff>
          <xdr:row>239</xdr:row>
          <xdr:rowOff>47625</xdr:rowOff>
        </xdr:to>
        <xdr:sp macro="" textlink="">
          <xdr:nvSpPr>
            <xdr:cNvPr id="15633" name="ComboBox2" hidden="1">
              <a:extLst>
                <a:ext uri="{63B3BB69-23CF-44E3-9099-C40C66FF867C}">
                  <a14:compatExt spid="_x0000_s15633"/>
                </a:ext>
                <a:ext uri="{FF2B5EF4-FFF2-40B4-BE49-F238E27FC236}">
                  <a16:creationId xmlns:a16="http://schemas.microsoft.com/office/drawing/2014/main" id="{00000000-0008-0000-1500-0000113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1295400</xdr:colOff>
          <xdr:row>22</xdr:row>
          <xdr:rowOff>85725</xdr:rowOff>
        </xdr:from>
        <xdr:to>
          <xdr:col>3</xdr:col>
          <xdr:colOff>466725</xdr:colOff>
          <xdr:row>23</xdr:row>
          <xdr:rowOff>209550</xdr:rowOff>
        </xdr:to>
        <xdr:sp macro="" textlink="">
          <xdr:nvSpPr>
            <xdr:cNvPr id="15961" name="cmdTrackChanges" hidden="1">
              <a:extLst>
                <a:ext uri="{63B3BB69-23CF-44E3-9099-C40C66FF867C}">
                  <a14:compatExt spid="_x0000_s15961"/>
                </a:ext>
                <a:ext uri="{FF2B5EF4-FFF2-40B4-BE49-F238E27FC236}">
                  <a16:creationId xmlns:a16="http://schemas.microsoft.com/office/drawing/2014/main" id="{00000000-0008-0000-1500-0000593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428625</xdr:colOff>
          <xdr:row>0</xdr:row>
          <xdr:rowOff>800100</xdr:rowOff>
        </xdr:from>
        <xdr:to>
          <xdr:col>12</xdr:col>
          <xdr:colOff>76200</xdr:colOff>
          <xdr:row>1</xdr:row>
          <xdr:rowOff>0</xdr:rowOff>
        </xdr:to>
        <xdr:sp macro="" textlink="">
          <xdr:nvSpPr>
            <xdr:cNvPr id="16044" name="Label 684" hidden="1">
              <a:extLst>
                <a:ext uri="{63B3BB69-23CF-44E3-9099-C40C66FF867C}">
                  <a14:compatExt spid="_x0000_s16044"/>
                </a:ext>
                <a:ext uri="{FF2B5EF4-FFF2-40B4-BE49-F238E27FC236}">
                  <a16:creationId xmlns:a16="http://schemas.microsoft.com/office/drawing/2014/main" id="{00000000-0008-0000-1500-0000AC3E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161925</xdr:colOff>
          <xdr:row>0</xdr:row>
          <xdr:rowOff>800100</xdr:rowOff>
        </xdr:from>
        <xdr:to>
          <xdr:col>13</xdr:col>
          <xdr:colOff>990600</xdr:colOff>
          <xdr:row>1</xdr:row>
          <xdr:rowOff>0</xdr:rowOff>
        </xdr:to>
        <xdr:sp macro="" textlink="">
          <xdr:nvSpPr>
            <xdr:cNvPr id="16045" name="Label 685" hidden="1">
              <a:extLst>
                <a:ext uri="{63B3BB69-23CF-44E3-9099-C40C66FF867C}">
                  <a14:compatExt spid="_x0000_s16045"/>
                </a:ext>
                <a:ext uri="{FF2B5EF4-FFF2-40B4-BE49-F238E27FC236}">
                  <a16:creationId xmlns:a16="http://schemas.microsoft.com/office/drawing/2014/main" id="{00000000-0008-0000-1500-0000AD3E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xdr:twoCellAnchor>
    <xdr:from>
      <xdr:col>0</xdr:col>
      <xdr:colOff>0</xdr:colOff>
      <xdr:row>0</xdr:row>
      <xdr:rowOff>0</xdr:rowOff>
    </xdr:from>
    <xdr:to>
      <xdr:col>14</xdr:col>
      <xdr:colOff>885825</xdr:colOff>
      <xdr:row>1</xdr:row>
      <xdr:rowOff>0</xdr:rowOff>
    </xdr:to>
    <xdr:grpSp>
      <xdr:nvGrpSpPr>
        <xdr:cNvPr id="18163" name="Groep 9">
          <a:extLst>
            <a:ext uri="{FF2B5EF4-FFF2-40B4-BE49-F238E27FC236}">
              <a16:creationId xmlns:a16="http://schemas.microsoft.com/office/drawing/2014/main" id="{00000000-0008-0000-1600-0000F3460000}"/>
            </a:ext>
          </a:extLst>
        </xdr:cNvPr>
        <xdr:cNvGrpSpPr>
          <a:grpSpLocks/>
        </xdr:cNvGrpSpPr>
      </xdr:nvGrpSpPr>
      <xdr:grpSpPr bwMode="auto">
        <a:xfrm>
          <a:off x="0" y="0"/>
          <a:ext cx="12887325" cy="1295400"/>
          <a:chOff x="0" y="0"/>
          <a:chExt cx="12875419" cy="1297781"/>
        </a:xfrm>
      </xdr:grpSpPr>
      <xdr:pic>
        <xdr:nvPicPr>
          <xdr:cNvPr id="18166" name="Picture 14" descr="Header_Calculator_300dpi_2">
            <a:extLst>
              <a:ext uri="{FF2B5EF4-FFF2-40B4-BE49-F238E27FC236}">
                <a16:creationId xmlns:a16="http://schemas.microsoft.com/office/drawing/2014/main" id="{00000000-0008-0000-1600-0000F646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2875419" cy="12977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8167" name="Afbeelding 11">
            <a:extLst>
              <a:ext uri="{FF2B5EF4-FFF2-40B4-BE49-F238E27FC236}">
                <a16:creationId xmlns:a16="http://schemas.microsoft.com/office/drawing/2014/main" id="{00000000-0008-0000-1600-0000F746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7576"/>
          <a:stretch>
            <a:fillRect/>
          </a:stretch>
        </xdr:blipFill>
        <xdr:spPr bwMode="auto">
          <a:xfrm>
            <a:off x="0" y="1"/>
            <a:ext cx="5107781" cy="12891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twoCellAnchor>
    <xdr:from>
      <xdr:col>7</xdr:col>
      <xdr:colOff>1209675</xdr:colOff>
      <xdr:row>0</xdr:row>
      <xdr:rowOff>133350</xdr:rowOff>
    </xdr:from>
    <xdr:to>
      <xdr:col>10</xdr:col>
      <xdr:colOff>118808</xdr:colOff>
      <xdr:row>0</xdr:row>
      <xdr:rowOff>295275</xdr:rowOff>
    </xdr:to>
    <xdr:sp macro="" textlink="">
      <xdr:nvSpPr>
        <xdr:cNvPr id="17436" name="WordArt 28">
          <a:hlinkClick xmlns:r="http://schemas.openxmlformats.org/officeDocument/2006/relationships" r:id="rId3"/>
          <a:extLst>
            <a:ext uri="{FF2B5EF4-FFF2-40B4-BE49-F238E27FC236}">
              <a16:creationId xmlns:a16="http://schemas.microsoft.com/office/drawing/2014/main" id="{00000000-0008-0000-1600-00001C440000}"/>
            </a:ext>
          </a:extLst>
        </xdr:cNvPr>
        <xdr:cNvSpPr>
          <a:spLocks noChangeArrowheads="1" noChangeShapeType="1" noTextEdit="1"/>
        </xdr:cNvSpPr>
      </xdr:nvSpPr>
      <xdr:spPr bwMode="auto">
        <a:xfrm>
          <a:off x="8181975" y="133350"/>
          <a:ext cx="1438275" cy="161925"/>
        </a:xfrm>
        <a:prstGeom prst="rect">
          <a:avLst/>
        </a:prstGeom>
      </xdr:spPr>
      <xdr:txBody>
        <a:bodyPr wrap="none" fromWordArt="1">
          <a:prstTxWarp prst="textPlain">
            <a:avLst>
              <a:gd name="adj" fmla="val 50000"/>
            </a:avLst>
          </a:prstTxWarp>
        </a:bodyPr>
        <a:lstStyle/>
        <a:p>
          <a:pPr algn="ctr" rtl="0"/>
          <a:r>
            <a:rPr lang="fr-FR" sz="800" kern="10" spc="0">
              <a:ln w="9525">
                <a:noFill/>
                <a:round/>
                <a:headEnd/>
                <a:tailEnd/>
              </a:ln>
              <a:noFill/>
              <a:effectLst/>
              <a:latin typeface="Arial Black"/>
            </a:rPr>
            <a:t>www.biograce.net</a:t>
          </a:r>
        </a:p>
      </xdr:txBody>
    </xdr:sp>
    <xdr:clientData/>
  </xdr:twoCellAnchor>
  <xdr:twoCellAnchor>
    <xdr:from>
      <xdr:col>10</xdr:col>
      <xdr:colOff>316707</xdr:colOff>
      <xdr:row>0</xdr:row>
      <xdr:rowOff>0</xdr:rowOff>
    </xdr:from>
    <xdr:to>
      <xdr:col>13</xdr:col>
      <xdr:colOff>986382</xdr:colOff>
      <xdr:row>0</xdr:row>
      <xdr:rowOff>266700</xdr:rowOff>
    </xdr:to>
    <xdr:sp macro="" textlink="">
      <xdr:nvSpPr>
        <xdr:cNvPr id="17437" name="WordArt 29">
          <a:hlinkClick xmlns:r="http://schemas.openxmlformats.org/officeDocument/2006/relationships" r:id="rId4"/>
          <a:extLst>
            <a:ext uri="{FF2B5EF4-FFF2-40B4-BE49-F238E27FC236}">
              <a16:creationId xmlns:a16="http://schemas.microsoft.com/office/drawing/2014/main" id="{00000000-0008-0000-1600-00001D440000}"/>
            </a:ext>
          </a:extLst>
        </xdr:cNvPr>
        <xdr:cNvSpPr>
          <a:spLocks noChangeArrowheads="1" noChangeShapeType="1" noTextEdit="1"/>
        </xdr:cNvSpPr>
      </xdr:nvSpPr>
      <xdr:spPr bwMode="auto">
        <a:xfrm>
          <a:off x="9820275" y="0"/>
          <a:ext cx="2057400" cy="266700"/>
        </a:xfrm>
        <a:prstGeom prst="rect">
          <a:avLst/>
        </a:prstGeom>
      </xdr:spPr>
      <xdr:txBody>
        <a:bodyPr wrap="none" fromWordArt="1">
          <a:prstTxWarp prst="textPlain">
            <a:avLst>
              <a:gd name="adj" fmla="val 50000"/>
            </a:avLst>
          </a:prstTxWarp>
        </a:bodyPr>
        <a:lstStyle/>
        <a:p>
          <a:pPr algn="ctr" rtl="0"/>
          <a:r>
            <a:rPr lang="fr-FR" sz="800" kern="10" spc="0">
              <a:ln w="9525">
                <a:noFill/>
                <a:round/>
                <a:headEnd/>
                <a:tailEnd/>
              </a:ln>
              <a:noFill/>
              <a:effectLst/>
              <a:latin typeface="Arial Black"/>
            </a:rPr>
            <a:t>intelligent energy europe</a:t>
          </a:r>
        </a:p>
      </xdr:txBody>
    </xdr:sp>
    <xdr:clientData/>
  </xdr:twoCellAnchor>
  <mc:AlternateContent xmlns:mc="http://schemas.openxmlformats.org/markup-compatibility/2006">
    <mc:Choice xmlns:a14="http://schemas.microsoft.com/office/drawing/2010/main" Requires="a14">
      <xdr:twoCellAnchor editAs="oneCell">
        <xdr:from>
          <xdr:col>9</xdr:col>
          <xdr:colOff>38100</xdr:colOff>
          <xdr:row>15</xdr:row>
          <xdr:rowOff>47625</xdr:rowOff>
        </xdr:from>
        <xdr:to>
          <xdr:col>13</xdr:col>
          <xdr:colOff>885825</xdr:colOff>
          <xdr:row>17</xdr:row>
          <xdr:rowOff>85725</xdr:rowOff>
        </xdr:to>
        <xdr:sp macro="" textlink="">
          <xdr:nvSpPr>
            <xdr:cNvPr id="17412" name="CheckBox2" hidden="1">
              <a:extLst>
                <a:ext uri="{63B3BB69-23CF-44E3-9099-C40C66FF867C}">
                  <a14:compatExt spid="_x0000_s17412"/>
                </a:ext>
                <a:ext uri="{FF2B5EF4-FFF2-40B4-BE49-F238E27FC236}">
                  <a16:creationId xmlns:a16="http://schemas.microsoft.com/office/drawing/2014/main" id="{00000000-0008-0000-16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13</xdr:row>
          <xdr:rowOff>0</xdr:rowOff>
        </xdr:from>
        <xdr:to>
          <xdr:col>13</xdr:col>
          <xdr:colOff>866775</xdr:colOff>
          <xdr:row>15</xdr:row>
          <xdr:rowOff>171450</xdr:rowOff>
        </xdr:to>
        <xdr:sp macro="" textlink="">
          <xdr:nvSpPr>
            <xdr:cNvPr id="17413" name="CheckBox1" hidden="1">
              <a:extLst>
                <a:ext uri="{63B3BB69-23CF-44E3-9099-C40C66FF867C}">
                  <a14:compatExt spid="_x0000_s17413"/>
                </a:ext>
                <a:ext uri="{FF2B5EF4-FFF2-40B4-BE49-F238E27FC236}">
                  <a16:creationId xmlns:a16="http://schemas.microsoft.com/office/drawing/2014/main" id="{00000000-0008-0000-1600-000005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1247775</xdr:colOff>
          <xdr:row>18</xdr:row>
          <xdr:rowOff>95250</xdr:rowOff>
        </xdr:from>
        <xdr:to>
          <xdr:col>3</xdr:col>
          <xdr:colOff>419100</xdr:colOff>
          <xdr:row>19</xdr:row>
          <xdr:rowOff>219075</xdr:rowOff>
        </xdr:to>
        <xdr:sp macro="" textlink="">
          <xdr:nvSpPr>
            <xdr:cNvPr id="17995" name="cmdTrackChanges" hidden="1">
              <a:extLst>
                <a:ext uri="{63B3BB69-23CF-44E3-9099-C40C66FF867C}">
                  <a14:compatExt spid="_x0000_s17995"/>
                </a:ext>
                <a:ext uri="{FF2B5EF4-FFF2-40B4-BE49-F238E27FC236}">
                  <a16:creationId xmlns:a16="http://schemas.microsoft.com/office/drawing/2014/main" id="{00000000-0008-0000-1600-00004B4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438150</xdr:colOff>
          <xdr:row>0</xdr:row>
          <xdr:rowOff>800100</xdr:rowOff>
        </xdr:from>
        <xdr:to>
          <xdr:col>12</xdr:col>
          <xdr:colOff>85725</xdr:colOff>
          <xdr:row>1</xdr:row>
          <xdr:rowOff>0</xdr:rowOff>
        </xdr:to>
        <xdr:sp macro="" textlink="">
          <xdr:nvSpPr>
            <xdr:cNvPr id="18058" name="Label 650" hidden="1">
              <a:extLst>
                <a:ext uri="{63B3BB69-23CF-44E3-9099-C40C66FF867C}">
                  <a14:compatExt spid="_x0000_s18058"/>
                </a:ext>
                <a:ext uri="{FF2B5EF4-FFF2-40B4-BE49-F238E27FC236}">
                  <a16:creationId xmlns:a16="http://schemas.microsoft.com/office/drawing/2014/main" id="{00000000-0008-0000-1600-00008A46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161925</xdr:colOff>
          <xdr:row>0</xdr:row>
          <xdr:rowOff>800100</xdr:rowOff>
        </xdr:from>
        <xdr:to>
          <xdr:col>13</xdr:col>
          <xdr:colOff>990600</xdr:colOff>
          <xdr:row>1</xdr:row>
          <xdr:rowOff>0</xdr:rowOff>
        </xdr:to>
        <xdr:sp macro="" textlink="">
          <xdr:nvSpPr>
            <xdr:cNvPr id="18059" name="Label 651" hidden="1">
              <a:extLst>
                <a:ext uri="{63B3BB69-23CF-44E3-9099-C40C66FF867C}">
                  <a14:compatExt spid="_x0000_s18059"/>
                </a:ext>
                <a:ext uri="{FF2B5EF4-FFF2-40B4-BE49-F238E27FC236}">
                  <a16:creationId xmlns:a16="http://schemas.microsoft.com/office/drawing/2014/main" id="{00000000-0008-0000-1600-00008B46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xdr:twoCellAnchor>
    <xdr:from>
      <xdr:col>0</xdr:col>
      <xdr:colOff>0</xdr:colOff>
      <xdr:row>0</xdr:row>
      <xdr:rowOff>0</xdr:rowOff>
    </xdr:from>
    <xdr:to>
      <xdr:col>14</xdr:col>
      <xdr:colOff>895350</xdr:colOff>
      <xdr:row>1</xdr:row>
      <xdr:rowOff>0</xdr:rowOff>
    </xdr:to>
    <xdr:grpSp>
      <xdr:nvGrpSpPr>
        <xdr:cNvPr id="14071" name="Groep 11">
          <a:extLst>
            <a:ext uri="{FF2B5EF4-FFF2-40B4-BE49-F238E27FC236}">
              <a16:creationId xmlns:a16="http://schemas.microsoft.com/office/drawing/2014/main" id="{00000000-0008-0000-1700-0000F7360000}"/>
            </a:ext>
          </a:extLst>
        </xdr:cNvPr>
        <xdr:cNvGrpSpPr>
          <a:grpSpLocks/>
        </xdr:cNvGrpSpPr>
      </xdr:nvGrpSpPr>
      <xdr:grpSpPr bwMode="auto">
        <a:xfrm>
          <a:off x="0" y="0"/>
          <a:ext cx="12887325" cy="1295400"/>
          <a:chOff x="0" y="0"/>
          <a:chExt cx="12875419" cy="1297781"/>
        </a:xfrm>
      </xdr:grpSpPr>
      <xdr:pic>
        <xdr:nvPicPr>
          <xdr:cNvPr id="14074" name="Picture 14" descr="Header_Calculator_300dpi_2">
            <a:extLst>
              <a:ext uri="{FF2B5EF4-FFF2-40B4-BE49-F238E27FC236}">
                <a16:creationId xmlns:a16="http://schemas.microsoft.com/office/drawing/2014/main" id="{00000000-0008-0000-1700-0000FA36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2875419" cy="12977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4075" name="Afbeelding 13">
            <a:extLst>
              <a:ext uri="{FF2B5EF4-FFF2-40B4-BE49-F238E27FC236}">
                <a16:creationId xmlns:a16="http://schemas.microsoft.com/office/drawing/2014/main" id="{00000000-0008-0000-1700-0000FB36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7576"/>
          <a:stretch>
            <a:fillRect/>
          </a:stretch>
        </xdr:blipFill>
        <xdr:spPr bwMode="auto">
          <a:xfrm>
            <a:off x="0" y="1"/>
            <a:ext cx="5107781" cy="12891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twoCellAnchor>
    <xdr:from>
      <xdr:col>7</xdr:col>
      <xdr:colOff>1209675</xdr:colOff>
      <xdr:row>0</xdr:row>
      <xdr:rowOff>133350</xdr:rowOff>
    </xdr:from>
    <xdr:to>
      <xdr:col>10</xdr:col>
      <xdr:colOff>130738</xdr:colOff>
      <xdr:row>0</xdr:row>
      <xdr:rowOff>295275</xdr:rowOff>
    </xdr:to>
    <xdr:sp macro="" textlink="">
      <xdr:nvSpPr>
        <xdr:cNvPr id="13333" name="WordArt 21">
          <a:hlinkClick xmlns:r="http://schemas.openxmlformats.org/officeDocument/2006/relationships" r:id="rId3"/>
          <a:extLst>
            <a:ext uri="{FF2B5EF4-FFF2-40B4-BE49-F238E27FC236}">
              <a16:creationId xmlns:a16="http://schemas.microsoft.com/office/drawing/2014/main" id="{00000000-0008-0000-1700-000015340000}"/>
            </a:ext>
          </a:extLst>
        </xdr:cNvPr>
        <xdr:cNvSpPr>
          <a:spLocks noChangeArrowheads="1" noChangeShapeType="1" noTextEdit="1"/>
        </xdr:cNvSpPr>
      </xdr:nvSpPr>
      <xdr:spPr bwMode="auto">
        <a:xfrm>
          <a:off x="8181975" y="133350"/>
          <a:ext cx="1438275" cy="161925"/>
        </a:xfrm>
        <a:prstGeom prst="rect">
          <a:avLst/>
        </a:prstGeom>
      </xdr:spPr>
      <xdr:txBody>
        <a:bodyPr wrap="none" fromWordArt="1">
          <a:prstTxWarp prst="textPlain">
            <a:avLst>
              <a:gd name="adj" fmla="val 50000"/>
            </a:avLst>
          </a:prstTxWarp>
        </a:bodyPr>
        <a:lstStyle/>
        <a:p>
          <a:pPr algn="ctr" rtl="0"/>
          <a:r>
            <a:rPr lang="fr-FR" sz="800" kern="10" spc="0">
              <a:ln w="9525">
                <a:noFill/>
                <a:round/>
                <a:headEnd/>
                <a:tailEnd/>
              </a:ln>
              <a:noFill/>
              <a:effectLst/>
              <a:latin typeface="Arial Black"/>
            </a:rPr>
            <a:t>www.biograce.net</a:t>
          </a:r>
        </a:p>
      </xdr:txBody>
    </xdr:sp>
    <xdr:clientData/>
  </xdr:twoCellAnchor>
  <xdr:twoCellAnchor>
    <xdr:from>
      <xdr:col>10</xdr:col>
      <xdr:colOff>328613</xdr:colOff>
      <xdr:row>0</xdr:row>
      <xdr:rowOff>0</xdr:rowOff>
    </xdr:from>
    <xdr:to>
      <xdr:col>13</xdr:col>
      <xdr:colOff>995363</xdr:colOff>
      <xdr:row>0</xdr:row>
      <xdr:rowOff>266700</xdr:rowOff>
    </xdr:to>
    <xdr:sp macro="" textlink="">
      <xdr:nvSpPr>
        <xdr:cNvPr id="13334" name="WordArt 22">
          <a:hlinkClick xmlns:r="http://schemas.openxmlformats.org/officeDocument/2006/relationships" r:id="rId4"/>
          <a:extLst>
            <a:ext uri="{FF2B5EF4-FFF2-40B4-BE49-F238E27FC236}">
              <a16:creationId xmlns:a16="http://schemas.microsoft.com/office/drawing/2014/main" id="{00000000-0008-0000-1700-000016340000}"/>
            </a:ext>
          </a:extLst>
        </xdr:cNvPr>
        <xdr:cNvSpPr>
          <a:spLocks noChangeArrowheads="1" noChangeShapeType="1" noTextEdit="1"/>
        </xdr:cNvSpPr>
      </xdr:nvSpPr>
      <xdr:spPr bwMode="auto">
        <a:xfrm>
          <a:off x="9820275" y="0"/>
          <a:ext cx="2057400" cy="266700"/>
        </a:xfrm>
        <a:prstGeom prst="rect">
          <a:avLst/>
        </a:prstGeom>
      </xdr:spPr>
      <xdr:txBody>
        <a:bodyPr wrap="none" fromWordArt="1">
          <a:prstTxWarp prst="textPlain">
            <a:avLst>
              <a:gd name="adj" fmla="val 50000"/>
            </a:avLst>
          </a:prstTxWarp>
        </a:bodyPr>
        <a:lstStyle/>
        <a:p>
          <a:pPr algn="ctr" rtl="0"/>
          <a:r>
            <a:rPr lang="fr-FR" sz="800" kern="10" spc="0">
              <a:ln w="9525">
                <a:noFill/>
                <a:round/>
                <a:headEnd/>
                <a:tailEnd/>
              </a:ln>
              <a:noFill/>
              <a:effectLst/>
              <a:latin typeface="Arial Black"/>
            </a:rPr>
            <a:t>intelligent energy europe</a:t>
          </a:r>
        </a:p>
      </xdr:txBody>
    </xdr:sp>
    <xdr:clientData/>
  </xdr:twoCellAnchor>
  <mc:AlternateContent xmlns:mc="http://schemas.openxmlformats.org/markup-compatibility/2006">
    <mc:Choice xmlns:a14="http://schemas.microsoft.com/office/drawing/2010/main" Requires="a14">
      <xdr:twoCellAnchor editAs="oneCell">
        <xdr:from>
          <xdr:col>9</xdr:col>
          <xdr:colOff>57150</xdr:colOff>
          <xdr:row>15</xdr:row>
          <xdr:rowOff>57150</xdr:rowOff>
        </xdr:from>
        <xdr:to>
          <xdr:col>13</xdr:col>
          <xdr:colOff>904875</xdr:colOff>
          <xdr:row>17</xdr:row>
          <xdr:rowOff>152400</xdr:rowOff>
        </xdr:to>
        <xdr:sp macro="" textlink="">
          <xdr:nvSpPr>
            <xdr:cNvPr id="13316" name="CheckBox2" hidden="1">
              <a:extLst>
                <a:ext uri="{63B3BB69-23CF-44E3-9099-C40C66FF867C}">
                  <a14:compatExt spid="_x0000_s13316"/>
                </a:ext>
                <a:ext uri="{FF2B5EF4-FFF2-40B4-BE49-F238E27FC236}">
                  <a16:creationId xmlns:a16="http://schemas.microsoft.com/office/drawing/2014/main" id="{00000000-0008-0000-1700-000004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13</xdr:row>
          <xdr:rowOff>0</xdr:rowOff>
        </xdr:from>
        <xdr:to>
          <xdr:col>13</xdr:col>
          <xdr:colOff>895350</xdr:colOff>
          <xdr:row>16</xdr:row>
          <xdr:rowOff>9525</xdr:rowOff>
        </xdr:to>
        <xdr:sp macro="" textlink="">
          <xdr:nvSpPr>
            <xdr:cNvPr id="13317" name="CheckBox1" hidden="1">
              <a:extLst>
                <a:ext uri="{63B3BB69-23CF-44E3-9099-C40C66FF867C}">
                  <a14:compatExt spid="_x0000_s13317"/>
                </a:ext>
                <a:ext uri="{FF2B5EF4-FFF2-40B4-BE49-F238E27FC236}">
                  <a16:creationId xmlns:a16="http://schemas.microsoft.com/office/drawing/2014/main" id="{00000000-0008-0000-1700-00000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158</xdr:row>
          <xdr:rowOff>0</xdr:rowOff>
        </xdr:from>
        <xdr:to>
          <xdr:col>3</xdr:col>
          <xdr:colOff>38100</xdr:colOff>
          <xdr:row>159</xdr:row>
          <xdr:rowOff>28575</xdr:rowOff>
        </xdr:to>
        <xdr:sp macro="" textlink="">
          <xdr:nvSpPr>
            <xdr:cNvPr id="13339" name="ComboBox1" hidden="1">
              <a:extLst>
                <a:ext uri="{63B3BB69-23CF-44E3-9099-C40C66FF867C}">
                  <a14:compatExt spid="_x0000_s13339"/>
                </a:ext>
                <a:ext uri="{FF2B5EF4-FFF2-40B4-BE49-F238E27FC236}">
                  <a16:creationId xmlns:a16="http://schemas.microsoft.com/office/drawing/2014/main" id="{00000000-0008-0000-1700-00001B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1704975</xdr:colOff>
          <xdr:row>175</xdr:row>
          <xdr:rowOff>28575</xdr:rowOff>
        </xdr:from>
        <xdr:to>
          <xdr:col>2</xdr:col>
          <xdr:colOff>638175</xdr:colOff>
          <xdr:row>176</xdr:row>
          <xdr:rowOff>38100</xdr:rowOff>
        </xdr:to>
        <xdr:sp macro="" textlink="">
          <xdr:nvSpPr>
            <xdr:cNvPr id="13566" name="ComboBox2" hidden="1">
              <a:extLst>
                <a:ext uri="{63B3BB69-23CF-44E3-9099-C40C66FF867C}">
                  <a14:compatExt spid="_x0000_s13566"/>
                </a:ext>
                <a:ext uri="{FF2B5EF4-FFF2-40B4-BE49-F238E27FC236}">
                  <a16:creationId xmlns:a16="http://schemas.microsoft.com/office/drawing/2014/main" id="{00000000-0008-0000-1700-0000FE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1228725</xdr:colOff>
          <xdr:row>20</xdr:row>
          <xdr:rowOff>85725</xdr:rowOff>
        </xdr:from>
        <xdr:to>
          <xdr:col>3</xdr:col>
          <xdr:colOff>400050</xdr:colOff>
          <xdr:row>21</xdr:row>
          <xdr:rowOff>209550</xdr:rowOff>
        </xdr:to>
        <xdr:sp macro="" textlink="">
          <xdr:nvSpPr>
            <xdr:cNvPr id="13894" name="cmdTrackChanges" hidden="1">
              <a:extLst>
                <a:ext uri="{63B3BB69-23CF-44E3-9099-C40C66FF867C}">
                  <a14:compatExt spid="_x0000_s13894"/>
                </a:ext>
                <a:ext uri="{FF2B5EF4-FFF2-40B4-BE49-F238E27FC236}">
                  <a16:creationId xmlns:a16="http://schemas.microsoft.com/office/drawing/2014/main" id="{00000000-0008-0000-1700-000046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438150</xdr:colOff>
          <xdr:row>0</xdr:row>
          <xdr:rowOff>800100</xdr:rowOff>
        </xdr:from>
        <xdr:to>
          <xdr:col>12</xdr:col>
          <xdr:colOff>85725</xdr:colOff>
          <xdr:row>1</xdr:row>
          <xdr:rowOff>0</xdr:rowOff>
        </xdr:to>
        <xdr:sp macro="" textlink="">
          <xdr:nvSpPr>
            <xdr:cNvPr id="13963" name="Label 651" hidden="1">
              <a:extLst>
                <a:ext uri="{63B3BB69-23CF-44E3-9099-C40C66FF867C}">
                  <a14:compatExt spid="_x0000_s13963"/>
                </a:ext>
                <a:ext uri="{FF2B5EF4-FFF2-40B4-BE49-F238E27FC236}">
                  <a16:creationId xmlns:a16="http://schemas.microsoft.com/office/drawing/2014/main" id="{00000000-0008-0000-1700-00008B36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152400</xdr:colOff>
          <xdr:row>0</xdr:row>
          <xdr:rowOff>800100</xdr:rowOff>
        </xdr:from>
        <xdr:to>
          <xdr:col>13</xdr:col>
          <xdr:colOff>981075</xdr:colOff>
          <xdr:row>1</xdr:row>
          <xdr:rowOff>0</xdr:rowOff>
        </xdr:to>
        <xdr:sp macro="" textlink="">
          <xdr:nvSpPr>
            <xdr:cNvPr id="13964" name="Label 652" hidden="1">
              <a:extLst>
                <a:ext uri="{63B3BB69-23CF-44E3-9099-C40C66FF867C}">
                  <a14:compatExt spid="_x0000_s13964"/>
                </a:ext>
                <a:ext uri="{FF2B5EF4-FFF2-40B4-BE49-F238E27FC236}">
                  <a16:creationId xmlns:a16="http://schemas.microsoft.com/office/drawing/2014/main" id="{00000000-0008-0000-1700-00008C36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xdr:twoCellAnchor>
    <xdr:from>
      <xdr:col>0</xdr:col>
      <xdr:colOff>0</xdr:colOff>
      <xdr:row>0</xdr:row>
      <xdr:rowOff>0</xdr:rowOff>
    </xdr:from>
    <xdr:to>
      <xdr:col>14</xdr:col>
      <xdr:colOff>885825</xdr:colOff>
      <xdr:row>1</xdr:row>
      <xdr:rowOff>0</xdr:rowOff>
    </xdr:to>
    <xdr:grpSp>
      <xdr:nvGrpSpPr>
        <xdr:cNvPr id="37743" name="Groep 11">
          <a:extLst>
            <a:ext uri="{FF2B5EF4-FFF2-40B4-BE49-F238E27FC236}">
              <a16:creationId xmlns:a16="http://schemas.microsoft.com/office/drawing/2014/main" id="{00000000-0008-0000-1800-00006F930000}"/>
            </a:ext>
          </a:extLst>
        </xdr:cNvPr>
        <xdr:cNvGrpSpPr>
          <a:grpSpLocks/>
        </xdr:cNvGrpSpPr>
      </xdr:nvGrpSpPr>
      <xdr:grpSpPr bwMode="auto">
        <a:xfrm>
          <a:off x="0" y="0"/>
          <a:ext cx="12887325" cy="1295400"/>
          <a:chOff x="0" y="0"/>
          <a:chExt cx="12875419" cy="1297781"/>
        </a:xfrm>
      </xdr:grpSpPr>
      <xdr:pic>
        <xdr:nvPicPr>
          <xdr:cNvPr id="37746" name="Picture 14" descr="Header_Calculator_300dpi_2">
            <a:extLst>
              <a:ext uri="{FF2B5EF4-FFF2-40B4-BE49-F238E27FC236}">
                <a16:creationId xmlns:a16="http://schemas.microsoft.com/office/drawing/2014/main" id="{00000000-0008-0000-1800-00007293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2875419" cy="12977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37747" name="Afbeelding 13">
            <a:extLst>
              <a:ext uri="{FF2B5EF4-FFF2-40B4-BE49-F238E27FC236}">
                <a16:creationId xmlns:a16="http://schemas.microsoft.com/office/drawing/2014/main" id="{00000000-0008-0000-1800-00007393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7576"/>
          <a:stretch>
            <a:fillRect/>
          </a:stretch>
        </xdr:blipFill>
        <xdr:spPr bwMode="auto">
          <a:xfrm>
            <a:off x="0" y="1"/>
            <a:ext cx="5107781" cy="12891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twoCellAnchor>
    <xdr:from>
      <xdr:col>7</xdr:col>
      <xdr:colOff>1209675</xdr:colOff>
      <xdr:row>0</xdr:row>
      <xdr:rowOff>133350</xdr:rowOff>
    </xdr:from>
    <xdr:to>
      <xdr:col>10</xdr:col>
      <xdr:colOff>118808</xdr:colOff>
      <xdr:row>0</xdr:row>
      <xdr:rowOff>295275</xdr:rowOff>
    </xdr:to>
    <xdr:sp macro="" textlink="">
      <xdr:nvSpPr>
        <xdr:cNvPr id="36881" name="WordArt 17">
          <a:hlinkClick xmlns:r="http://schemas.openxmlformats.org/officeDocument/2006/relationships" r:id="rId3"/>
          <a:extLst>
            <a:ext uri="{FF2B5EF4-FFF2-40B4-BE49-F238E27FC236}">
              <a16:creationId xmlns:a16="http://schemas.microsoft.com/office/drawing/2014/main" id="{00000000-0008-0000-1800-000011900000}"/>
            </a:ext>
          </a:extLst>
        </xdr:cNvPr>
        <xdr:cNvSpPr>
          <a:spLocks noChangeArrowheads="1" noChangeShapeType="1" noTextEdit="1"/>
        </xdr:cNvSpPr>
      </xdr:nvSpPr>
      <xdr:spPr bwMode="auto">
        <a:xfrm>
          <a:off x="8181975" y="133350"/>
          <a:ext cx="1438275" cy="161925"/>
        </a:xfrm>
        <a:prstGeom prst="rect">
          <a:avLst/>
        </a:prstGeom>
      </xdr:spPr>
      <xdr:txBody>
        <a:bodyPr wrap="none" fromWordArt="1">
          <a:prstTxWarp prst="textPlain">
            <a:avLst>
              <a:gd name="adj" fmla="val 50000"/>
            </a:avLst>
          </a:prstTxWarp>
        </a:bodyPr>
        <a:lstStyle/>
        <a:p>
          <a:pPr algn="ctr" rtl="0"/>
          <a:r>
            <a:rPr lang="fr-FR" sz="800" kern="10" spc="0">
              <a:ln w="9525">
                <a:noFill/>
                <a:round/>
                <a:headEnd/>
                <a:tailEnd/>
              </a:ln>
              <a:noFill/>
              <a:effectLst/>
              <a:latin typeface="Arial Black"/>
            </a:rPr>
            <a:t>www.biograce.net</a:t>
          </a:r>
        </a:p>
      </xdr:txBody>
    </xdr:sp>
    <xdr:clientData/>
  </xdr:twoCellAnchor>
  <xdr:twoCellAnchor>
    <xdr:from>
      <xdr:col>10</xdr:col>
      <xdr:colOff>316707</xdr:colOff>
      <xdr:row>0</xdr:row>
      <xdr:rowOff>0</xdr:rowOff>
    </xdr:from>
    <xdr:to>
      <xdr:col>13</xdr:col>
      <xdr:colOff>986382</xdr:colOff>
      <xdr:row>0</xdr:row>
      <xdr:rowOff>266700</xdr:rowOff>
    </xdr:to>
    <xdr:sp macro="" textlink="">
      <xdr:nvSpPr>
        <xdr:cNvPr id="36882" name="WordArt 18">
          <a:hlinkClick xmlns:r="http://schemas.openxmlformats.org/officeDocument/2006/relationships" r:id="rId4"/>
          <a:extLst>
            <a:ext uri="{FF2B5EF4-FFF2-40B4-BE49-F238E27FC236}">
              <a16:creationId xmlns:a16="http://schemas.microsoft.com/office/drawing/2014/main" id="{00000000-0008-0000-1800-000012900000}"/>
            </a:ext>
          </a:extLst>
        </xdr:cNvPr>
        <xdr:cNvSpPr>
          <a:spLocks noChangeArrowheads="1" noChangeShapeType="1" noTextEdit="1"/>
        </xdr:cNvSpPr>
      </xdr:nvSpPr>
      <xdr:spPr bwMode="auto">
        <a:xfrm>
          <a:off x="9820275" y="0"/>
          <a:ext cx="2057400" cy="266700"/>
        </a:xfrm>
        <a:prstGeom prst="rect">
          <a:avLst/>
        </a:prstGeom>
      </xdr:spPr>
      <xdr:txBody>
        <a:bodyPr wrap="none" fromWordArt="1">
          <a:prstTxWarp prst="textPlain">
            <a:avLst>
              <a:gd name="adj" fmla="val 50000"/>
            </a:avLst>
          </a:prstTxWarp>
        </a:bodyPr>
        <a:lstStyle/>
        <a:p>
          <a:pPr algn="ctr" rtl="0"/>
          <a:r>
            <a:rPr lang="fr-FR" sz="800" kern="10" spc="0">
              <a:ln w="9525">
                <a:noFill/>
                <a:round/>
                <a:headEnd/>
                <a:tailEnd/>
              </a:ln>
              <a:noFill/>
              <a:effectLst/>
              <a:latin typeface="Arial Black"/>
            </a:rPr>
            <a:t>intelligent energy europe</a:t>
          </a:r>
        </a:p>
      </xdr:txBody>
    </xdr:sp>
    <xdr:clientData/>
  </xdr:twoCellAnchor>
  <mc:AlternateContent xmlns:mc="http://schemas.openxmlformats.org/markup-compatibility/2006">
    <mc:Choice xmlns:a14="http://schemas.microsoft.com/office/drawing/2010/main" Requires="a14">
      <xdr:twoCellAnchor editAs="oneCell">
        <xdr:from>
          <xdr:col>9</xdr:col>
          <xdr:colOff>38100</xdr:colOff>
          <xdr:row>16</xdr:row>
          <xdr:rowOff>47625</xdr:rowOff>
        </xdr:from>
        <xdr:to>
          <xdr:col>13</xdr:col>
          <xdr:colOff>885825</xdr:colOff>
          <xdr:row>18</xdr:row>
          <xdr:rowOff>85725</xdr:rowOff>
        </xdr:to>
        <xdr:sp macro="" textlink="">
          <xdr:nvSpPr>
            <xdr:cNvPr id="36867" name="CheckBox2" hidden="1">
              <a:extLst>
                <a:ext uri="{63B3BB69-23CF-44E3-9099-C40C66FF867C}">
                  <a14:compatExt spid="_x0000_s36867"/>
                </a:ext>
                <a:ext uri="{FF2B5EF4-FFF2-40B4-BE49-F238E27FC236}">
                  <a16:creationId xmlns:a16="http://schemas.microsoft.com/office/drawing/2014/main" id="{00000000-0008-0000-18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14</xdr:row>
          <xdr:rowOff>0</xdr:rowOff>
        </xdr:from>
        <xdr:to>
          <xdr:col>13</xdr:col>
          <xdr:colOff>866775</xdr:colOff>
          <xdr:row>16</xdr:row>
          <xdr:rowOff>171450</xdr:rowOff>
        </xdr:to>
        <xdr:sp macro="" textlink="">
          <xdr:nvSpPr>
            <xdr:cNvPr id="36868" name="CheckBox1" hidden="1">
              <a:extLst>
                <a:ext uri="{63B3BB69-23CF-44E3-9099-C40C66FF867C}">
                  <a14:compatExt spid="_x0000_s36868"/>
                </a:ext>
                <a:ext uri="{FF2B5EF4-FFF2-40B4-BE49-F238E27FC236}">
                  <a16:creationId xmlns:a16="http://schemas.microsoft.com/office/drawing/2014/main" id="{00000000-0008-0000-18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158</xdr:row>
          <xdr:rowOff>0</xdr:rowOff>
        </xdr:from>
        <xdr:to>
          <xdr:col>3</xdr:col>
          <xdr:colOff>38100</xdr:colOff>
          <xdr:row>159</xdr:row>
          <xdr:rowOff>28575</xdr:rowOff>
        </xdr:to>
        <xdr:sp macro="" textlink="">
          <xdr:nvSpPr>
            <xdr:cNvPr id="36887" name="ComboBox1" hidden="1">
              <a:extLst>
                <a:ext uri="{63B3BB69-23CF-44E3-9099-C40C66FF867C}">
                  <a14:compatExt spid="_x0000_s36887"/>
                </a:ext>
                <a:ext uri="{FF2B5EF4-FFF2-40B4-BE49-F238E27FC236}">
                  <a16:creationId xmlns:a16="http://schemas.microsoft.com/office/drawing/2014/main" id="{00000000-0008-0000-1800-00001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1695450</xdr:colOff>
          <xdr:row>175</xdr:row>
          <xdr:rowOff>9525</xdr:rowOff>
        </xdr:from>
        <xdr:to>
          <xdr:col>2</xdr:col>
          <xdr:colOff>628650</xdr:colOff>
          <xdr:row>176</xdr:row>
          <xdr:rowOff>19050</xdr:rowOff>
        </xdr:to>
        <xdr:sp macro="" textlink="">
          <xdr:nvSpPr>
            <xdr:cNvPr id="37239" name="ComboBox2" hidden="1">
              <a:extLst>
                <a:ext uri="{63B3BB69-23CF-44E3-9099-C40C66FF867C}">
                  <a14:compatExt spid="_x0000_s37239"/>
                </a:ext>
                <a:ext uri="{FF2B5EF4-FFF2-40B4-BE49-F238E27FC236}">
                  <a16:creationId xmlns:a16="http://schemas.microsoft.com/office/drawing/2014/main" id="{00000000-0008-0000-1800-00007791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1133475</xdr:colOff>
          <xdr:row>20</xdr:row>
          <xdr:rowOff>104775</xdr:rowOff>
        </xdr:from>
        <xdr:to>
          <xdr:col>3</xdr:col>
          <xdr:colOff>304800</xdr:colOff>
          <xdr:row>21</xdr:row>
          <xdr:rowOff>228600</xdr:rowOff>
        </xdr:to>
        <xdr:sp macro="" textlink="">
          <xdr:nvSpPr>
            <xdr:cNvPr id="37567" name="cmdTrackChanges" hidden="1">
              <a:extLst>
                <a:ext uri="{63B3BB69-23CF-44E3-9099-C40C66FF867C}">
                  <a14:compatExt spid="_x0000_s37567"/>
                </a:ext>
                <a:ext uri="{FF2B5EF4-FFF2-40B4-BE49-F238E27FC236}">
                  <a16:creationId xmlns:a16="http://schemas.microsoft.com/office/drawing/2014/main" id="{00000000-0008-0000-1800-0000BF92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438150</xdr:colOff>
          <xdr:row>0</xdr:row>
          <xdr:rowOff>800100</xdr:rowOff>
        </xdr:from>
        <xdr:to>
          <xdr:col>12</xdr:col>
          <xdr:colOff>85725</xdr:colOff>
          <xdr:row>1</xdr:row>
          <xdr:rowOff>0</xdr:rowOff>
        </xdr:to>
        <xdr:sp macro="" textlink="">
          <xdr:nvSpPr>
            <xdr:cNvPr id="37636" name="Label 772" hidden="1">
              <a:extLst>
                <a:ext uri="{63B3BB69-23CF-44E3-9099-C40C66FF867C}">
                  <a14:compatExt spid="_x0000_s37636"/>
                </a:ext>
                <a:ext uri="{FF2B5EF4-FFF2-40B4-BE49-F238E27FC236}">
                  <a16:creationId xmlns:a16="http://schemas.microsoft.com/office/drawing/2014/main" id="{00000000-0008-0000-1800-00000493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152400</xdr:colOff>
          <xdr:row>0</xdr:row>
          <xdr:rowOff>800100</xdr:rowOff>
        </xdr:from>
        <xdr:to>
          <xdr:col>13</xdr:col>
          <xdr:colOff>981075</xdr:colOff>
          <xdr:row>1</xdr:row>
          <xdr:rowOff>0</xdr:rowOff>
        </xdr:to>
        <xdr:sp macro="" textlink="">
          <xdr:nvSpPr>
            <xdr:cNvPr id="37637" name="Label 773" hidden="1">
              <a:extLst>
                <a:ext uri="{63B3BB69-23CF-44E3-9099-C40C66FF867C}">
                  <a14:compatExt spid="_x0000_s37637"/>
                </a:ext>
                <a:ext uri="{FF2B5EF4-FFF2-40B4-BE49-F238E27FC236}">
                  <a16:creationId xmlns:a16="http://schemas.microsoft.com/office/drawing/2014/main" id="{00000000-0008-0000-1800-00000593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xdr:twoCellAnchor>
    <xdr:from>
      <xdr:col>0</xdr:col>
      <xdr:colOff>0</xdr:colOff>
      <xdr:row>0</xdr:row>
      <xdr:rowOff>0</xdr:rowOff>
    </xdr:from>
    <xdr:to>
      <xdr:col>14</xdr:col>
      <xdr:colOff>885825</xdr:colOff>
      <xdr:row>1</xdr:row>
      <xdr:rowOff>0</xdr:rowOff>
    </xdr:to>
    <xdr:grpSp>
      <xdr:nvGrpSpPr>
        <xdr:cNvPr id="32644" name="Groep 11">
          <a:extLst>
            <a:ext uri="{FF2B5EF4-FFF2-40B4-BE49-F238E27FC236}">
              <a16:creationId xmlns:a16="http://schemas.microsoft.com/office/drawing/2014/main" id="{00000000-0008-0000-1900-0000847F0000}"/>
            </a:ext>
          </a:extLst>
        </xdr:cNvPr>
        <xdr:cNvGrpSpPr>
          <a:grpSpLocks/>
        </xdr:cNvGrpSpPr>
      </xdr:nvGrpSpPr>
      <xdr:grpSpPr bwMode="auto">
        <a:xfrm>
          <a:off x="0" y="0"/>
          <a:ext cx="12887325" cy="1295400"/>
          <a:chOff x="0" y="0"/>
          <a:chExt cx="12875419" cy="1297781"/>
        </a:xfrm>
      </xdr:grpSpPr>
      <xdr:pic>
        <xdr:nvPicPr>
          <xdr:cNvPr id="32647" name="Picture 14" descr="Header_Calculator_300dpi_2">
            <a:extLst>
              <a:ext uri="{FF2B5EF4-FFF2-40B4-BE49-F238E27FC236}">
                <a16:creationId xmlns:a16="http://schemas.microsoft.com/office/drawing/2014/main" id="{00000000-0008-0000-1900-0000877F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2875419" cy="12977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32648" name="Afbeelding 13">
            <a:extLst>
              <a:ext uri="{FF2B5EF4-FFF2-40B4-BE49-F238E27FC236}">
                <a16:creationId xmlns:a16="http://schemas.microsoft.com/office/drawing/2014/main" id="{00000000-0008-0000-1900-0000887F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7576"/>
          <a:stretch>
            <a:fillRect/>
          </a:stretch>
        </xdr:blipFill>
        <xdr:spPr bwMode="auto">
          <a:xfrm>
            <a:off x="0" y="1"/>
            <a:ext cx="5107781" cy="12891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twoCellAnchor>
    <xdr:from>
      <xdr:col>7</xdr:col>
      <xdr:colOff>1209675</xdr:colOff>
      <xdr:row>0</xdr:row>
      <xdr:rowOff>133350</xdr:rowOff>
    </xdr:from>
    <xdr:to>
      <xdr:col>10</xdr:col>
      <xdr:colOff>118808</xdr:colOff>
      <xdr:row>0</xdr:row>
      <xdr:rowOff>295275</xdr:rowOff>
    </xdr:to>
    <xdr:sp macro="" textlink="">
      <xdr:nvSpPr>
        <xdr:cNvPr id="31758" name="WordArt 14">
          <a:hlinkClick xmlns:r="http://schemas.openxmlformats.org/officeDocument/2006/relationships" r:id="rId3"/>
          <a:extLst>
            <a:ext uri="{FF2B5EF4-FFF2-40B4-BE49-F238E27FC236}">
              <a16:creationId xmlns:a16="http://schemas.microsoft.com/office/drawing/2014/main" id="{00000000-0008-0000-1900-00000E7C0000}"/>
            </a:ext>
          </a:extLst>
        </xdr:cNvPr>
        <xdr:cNvSpPr>
          <a:spLocks noChangeArrowheads="1" noChangeShapeType="1" noTextEdit="1"/>
        </xdr:cNvSpPr>
      </xdr:nvSpPr>
      <xdr:spPr bwMode="auto">
        <a:xfrm>
          <a:off x="8181975" y="133350"/>
          <a:ext cx="1438275" cy="161925"/>
        </a:xfrm>
        <a:prstGeom prst="rect">
          <a:avLst/>
        </a:prstGeom>
      </xdr:spPr>
      <xdr:txBody>
        <a:bodyPr wrap="none" fromWordArt="1">
          <a:prstTxWarp prst="textPlain">
            <a:avLst>
              <a:gd name="adj" fmla="val 50000"/>
            </a:avLst>
          </a:prstTxWarp>
        </a:bodyPr>
        <a:lstStyle/>
        <a:p>
          <a:pPr algn="ctr" rtl="0"/>
          <a:r>
            <a:rPr lang="fr-FR" sz="800" kern="10" spc="0">
              <a:ln w="9525">
                <a:noFill/>
                <a:round/>
                <a:headEnd/>
                <a:tailEnd/>
              </a:ln>
              <a:noFill/>
              <a:effectLst/>
              <a:latin typeface="Arial Black"/>
            </a:rPr>
            <a:t>www.biograce.net</a:t>
          </a:r>
        </a:p>
      </xdr:txBody>
    </xdr:sp>
    <xdr:clientData/>
  </xdr:twoCellAnchor>
  <xdr:twoCellAnchor>
    <xdr:from>
      <xdr:col>10</xdr:col>
      <xdr:colOff>316707</xdr:colOff>
      <xdr:row>0</xdr:row>
      <xdr:rowOff>0</xdr:rowOff>
    </xdr:from>
    <xdr:to>
      <xdr:col>13</xdr:col>
      <xdr:colOff>986382</xdr:colOff>
      <xdr:row>0</xdr:row>
      <xdr:rowOff>266700</xdr:rowOff>
    </xdr:to>
    <xdr:sp macro="" textlink="">
      <xdr:nvSpPr>
        <xdr:cNvPr id="31759" name="WordArt 15">
          <a:hlinkClick xmlns:r="http://schemas.openxmlformats.org/officeDocument/2006/relationships" r:id="rId4"/>
          <a:extLst>
            <a:ext uri="{FF2B5EF4-FFF2-40B4-BE49-F238E27FC236}">
              <a16:creationId xmlns:a16="http://schemas.microsoft.com/office/drawing/2014/main" id="{00000000-0008-0000-1900-00000F7C0000}"/>
            </a:ext>
          </a:extLst>
        </xdr:cNvPr>
        <xdr:cNvSpPr>
          <a:spLocks noChangeArrowheads="1" noChangeShapeType="1" noTextEdit="1"/>
        </xdr:cNvSpPr>
      </xdr:nvSpPr>
      <xdr:spPr bwMode="auto">
        <a:xfrm>
          <a:off x="9820275" y="0"/>
          <a:ext cx="2057400" cy="266700"/>
        </a:xfrm>
        <a:prstGeom prst="rect">
          <a:avLst/>
        </a:prstGeom>
      </xdr:spPr>
      <xdr:txBody>
        <a:bodyPr wrap="none" fromWordArt="1">
          <a:prstTxWarp prst="textPlain">
            <a:avLst>
              <a:gd name="adj" fmla="val 50000"/>
            </a:avLst>
          </a:prstTxWarp>
        </a:bodyPr>
        <a:lstStyle/>
        <a:p>
          <a:pPr algn="ctr" rtl="0"/>
          <a:r>
            <a:rPr lang="fr-FR" sz="800" kern="10" spc="0">
              <a:ln w="9525">
                <a:noFill/>
                <a:round/>
                <a:headEnd/>
                <a:tailEnd/>
              </a:ln>
              <a:noFill/>
              <a:effectLst/>
              <a:latin typeface="Arial Black"/>
            </a:rPr>
            <a:t>intelligent energy europe</a:t>
          </a:r>
        </a:p>
      </xdr:txBody>
    </xdr:sp>
    <xdr:clientData/>
  </xdr:twoCellAnchor>
  <mc:AlternateContent xmlns:mc="http://schemas.openxmlformats.org/markup-compatibility/2006">
    <mc:Choice xmlns:a14="http://schemas.microsoft.com/office/drawing/2010/main" Requires="a14">
      <xdr:twoCellAnchor editAs="oneCell">
        <xdr:from>
          <xdr:col>9</xdr:col>
          <xdr:colOff>38100</xdr:colOff>
          <xdr:row>16</xdr:row>
          <xdr:rowOff>47625</xdr:rowOff>
        </xdr:from>
        <xdr:to>
          <xdr:col>13</xdr:col>
          <xdr:colOff>885825</xdr:colOff>
          <xdr:row>18</xdr:row>
          <xdr:rowOff>85725</xdr:rowOff>
        </xdr:to>
        <xdr:sp macro="" textlink="">
          <xdr:nvSpPr>
            <xdr:cNvPr id="31747" name="CheckBox2" hidden="1">
              <a:extLst>
                <a:ext uri="{63B3BB69-23CF-44E3-9099-C40C66FF867C}">
                  <a14:compatExt spid="_x0000_s31747"/>
                </a:ext>
                <a:ext uri="{FF2B5EF4-FFF2-40B4-BE49-F238E27FC236}">
                  <a16:creationId xmlns:a16="http://schemas.microsoft.com/office/drawing/2014/main" id="{00000000-0008-0000-1900-00000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14</xdr:row>
          <xdr:rowOff>0</xdr:rowOff>
        </xdr:from>
        <xdr:to>
          <xdr:col>13</xdr:col>
          <xdr:colOff>866775</xdr:colOff>
          <xdr:row>16</xdr:row>
          <xdr:rowOff>171450</xdr:rowOff>
        </xdr:to>
        <xdr:sp macro="" textlink="">
          <xdr:nvSpPr>
            <xdr:cNvPr id="31748" name="CheckBox1" hidden="1">
              <a:extLst>
                <a:ext uri="{63B3BB69-23CF-44E3-9099-C40C66FF867C}">
                  <a14:compatExt spid="_x0000_s31748"/>
                </a:ext>
                <a:ext uri="{FF2B5EF4-FFF2-40B4-BE49-F238E27FC236}">
                  <a16:creationId xmlns:a16="http://schemas.microsoft.com/office/drawing/2014/main" id="{00000000-0008-0000-1900-000004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176</xdr:row>
          <xdr:rowOff>0</xdr:rowOff>
        </xdr:from>
        <xdr:to>
          <xdr:col>3</xdr:col>
          <xdr:colOff>38100</xdr:colOff>
          <xdr:row>177</xdr:row>
          <xdr:rowOff>28575</xdr:rowOff>
        </xdr:to>
        <xdr:sp macro="" textlink="">
          <xdr:nvSpPr>
            <xdr:cNvPr id="31767" name="ComboBox1" hidden="1">
              <a:extLst>
                <a:ext uri="{63B3BB69-23CF-44E3-9099-C40C66FF867C}">
                  <a14:compatExt spid="_x0000_s31767"/>
                </a:ext>
                <a:ext uri="{FF2B5EF4-FFF2-40B4-BE49-F238E27FC236}">
                  <a16:creationId xmlns:a16="http://schemas.microsoft.com/office/drawing/2014/main" id="{00000000-0008-0000-1900-00001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192</xdr:row>
          <xdr:rowOff>190500</xdr:rowOff>
        </xdr:from>
        <xdr:to>
          <xdr:col>3</xdr:col>
          <xdr:colOff>38100</xdr:colOff>
          <xdr:row>194</xdr:row>
          <xdr:rowOff>0</xdr:rowOff>
        </xdr:to>
        <xdr:sp macro="" textlink="">
          <xdr:nvSpPr>
            <xdr:cNvPr id="32132" name="ComboBox2" hidden="1">
              <a:extLst>
                <a:ext uri="{63B3BB69-23CF-44E3-9099-C40C66FF867C}">
                  <a14:compatExt spid="_x0000_s32132"/>
                </a:ext>
                <a:ext uri="{FF2B5EF4-FFF2-40B4-BE49-F238E27FC236}">
                  <a16:creationId xmlns:a16="http://schemas.microsoft.com/office/drawing/2014/main" id="{00000000-0008-0000-1900-0000847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1247775</xdr:colOff>
          <xdr:row>20</xdr:row>
          <xdr:rowOff>85725</xdr:rowOff>
        </xdr:from>
        <xdr:to>
          <xdr:col>3</xdr:col>
          <xdr:colOff>419100</xdr:colOff>
          <xdr:row>21</xdr:row>
          <xdr:rowOff>209550</xdr:rowOff>
        </xdr:to>
        <xdr:sp macro="" textlink="">
          <xdr:nvSpPr>
            <xdr:cNvPr id="32460" name="cmdTrackChanges" hidden="1">
              <a:extLst>
                <a:ext uri="{63B3BB69-23CF-44E3-9099-C40C66FF867C}">
                  <a14:compatExt spid="_x0000_s32460"/>
                </a:ext>
                <a:ext uri="{FF2B5EF4-FFF2-40B4-BE49-F238E27FC236}">
                  <a16:creationId xmlns:a16="http://schemas.microsoft.com/office/drawing/2014/main" id="{00000000-0008-0000-1900-0000CC7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438150</xdr:colOff>
          <xdr:row>0</xdr:row>
          <xdr:rowOff>800100</xdr:rowOff>
        </xdr:from>
        <xdr:to>
          <xdr:col>12</xdr:col>
          <xdr:colOff>85725</xdr:colOff>
          <xdr:row>1</xdr:row>
          <xdr:rowOff>0</xdr:rowOff>
        </xdr:to>
        <xdr:sp macro="" textlink="">
          <xdr:nvSpPr>
            <xdr:cNvPr id="32537" name="Label 793" hidden="1">
              <a:extLst>
                <a:ext uri="{63B3BB69-23CF-44E3-9099-C40C66FF867C}">
                  <a14:compatExt spid="_x0000_s32537"/>
                </a:ext>
                <a:ext uri="{FF2B5EF4-FFF2-40B4-BE49-F238E27FC236}">
                  <a16:creationId xmlns:a16="http://schemas.microsoft.com/office/drawing/2014/main" id="{00000000-0008-0000-1900-0000197F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152400</xdr:colOff>
          <xdr:row>0</xdr:row>
          <xdr:rowOff>800100</xdr:rowOff>
        </xdr:from>
        <xdr:to>
          <xdr:col>13</xdr:col>
          <xdr:colOff>981075</xdr:colOff>
          <xdr:row>1</xdr:row>
          <xdr:rowOff>0</xdr:rowOff>
        </xdr:to>
        <xdr:sp macro="" textlink="">
          <xdr:nvSpPr>
            <xdr:cNvPr id="32538" name="Label 794" hidden="1">
              <a:extLst>
                <a:ext uri="{63B3BB69-23CF-44E3-9099-C40C66FF867C}">
                  <a14:compatExt spid="_x0000_s32538"/>
                </a:ext>
                <a:ext uri="{FF2B5EF4-FFF2-40B4-BE49-F238E27FC236}">
                  <a16:creationId xmlns:a16="http://schemas.microsoft.com/office/drawing/2014/main" id="{00000000-0008-0000-1900-00001A7F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xdr:twoCellAnchor>
    <xdr:from>
      <xdr:col>0</xdr:col>
      <xdr:colOff>0</xdr:colOff>
      <xdr:row>0</xdr:row>
      <xdr:rowOff>0</xdr:rowOff>
    </xdr:from>
    <xdr:to>
      <xdr:col>14</xdr:col>
      <xdr:colOff>885825</xdr:colOff>
      <xdr:row>1</xdr:row>
      <xdr:rowOff>0</xdr:rowOff>
    </xdr:to>
    <xdr:grpSp>
      <xdr:nvGrpSpPr>
        <xdr:cNvPr id="35579" name="Groep 11">
          <a:extLst>
            <a:ext uri="{FF2B5EF4-FFF2-40B4-BE49-F238E27FC236}">
              <a16:creationId xmlns:a16="http://schemas.microsoft.com/office/drawing/2014/main" id="{00000000-0008-0000-1A00-0000FB8A0000}"/>
            </a:ext>
          </a:extLst>
        </xdr:cNvPr>
        <xdr:cNvGrpSpPr>
          <a:grpSpLocks/>
        </xdr:cNvGrpSpPr>
      </xdr:nvGrpSpPr>
      <xdr:grpSpPr bwMode="auto">
        <a:xfrm>
          <a:off x="0" y="0"/>
          <a:ext cx="12887325" cy="1295400"/>
          <a:chOff x="0" y="0"/>
          <a:chExt cx="12875419" cy="1297781"/>
        </a:xfrm>
      </xdr:grpSpPr>
      <xdr:pic>
        <xdr:nvPicPr>
          <xdr:cNvPr id="35582" name="Picture 14" descr="Header_Calculator_300dpi_2">
            <a:extLst>
              <a:ext uri="{FF2B5EF4-FFF2-40B4-BE49-F238E27FC236}">
                <a16:creationId xmlns:a16="http://schemas.microsoft.com/office/drawing/2014/main" id="{00000000-0008-0000-1A00-0000FE8A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2875419" cy="12977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35583" name="Afbeelding 13">
            <a:extLst>
              <a:ext uri="{FF2B5EF4-FFF2-40B4-BE49-F238E27FC236}">
                <a16:creationId xmlns:a16="http://schemas.microsoft.com/office/drawing/2014/main" id="{00000000-0008-0000-1A00-0000FF8A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7576"/>
          <a:stretch>
            <a:fillRect/>
          </a:stretch>
        </xdr:blipFill>
        <xdr:spPr bwMode="auto">
          <a:xfrm>
            <a:off x="0" y="1"/>
            <a:ext cx="5107781" cy="12891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twoCellAnchor>
    <xdr:from>
      <xdr:col>7</xdr:col>
      <xdr:colOff>1209675</xdr:colOff>
      <xdr:row>0</xdr:row>
      <xdr:rowOff>133350</xdr:rowOff>
    </xdr:from>
    <xdr:to>
      <xdr:col>10</xdr:col>
      <xdr:colOff>118808</xdr:colOff>
      <xdr:row>0</xdr:row>
      <xdr:rowOff>295275</xdr:rowOff>
    </xdr:to>
    <xdr:sp macro="" textlink="">
      <xdr:nvSpPr>
        <xdr:cNvPr id="34829" name="WordArt 13">
          <a:hlinkClick xmlns:r="http://schemas.openxmlformats.org/officeDocument/2006/relationships" r:id="rId3"/>
          <a:extLst>
            <a:ext uri="{FF2B5EF4-FFF2-40B4-BE49-F238E27FC236}">
              <a16:creationId xmlns:a16="http://schemas.microsoft.com/office/drawing/2014/main" id="{00000000-0008-0000-1A00-00000D880000}"/>
            </a:ext>
          </a:extLst>
        </xdr:cNvPr>
        <xdr:cNvSpPr>
          <a:spLocks noChangeArrowheads="1" noChangeShapeType="1" noTextEdit="1"/>
        </xdr:cNvSpPr>
      </xdr:nvSpPr>
      <xdr:spPr bwMode="auto">
        <a:xfrm>
          <a:off x="8181975" y="133350"/>
          <a:ext cx="1438275" cy="161925"/>
        </a:xfrm>
        <a:prstGeom prst="rect">
          <a:avLst/>
        </a:prstGeom>
      </xdr:spPr>
      <xdr:txBody>
        <a:bodyPr wrap="none" fromWordArt="1">
          <a:prstTxWarp prst="textPlain">
            <a:avLst>
              <a:gd name="adj" fmla="val 50000"/>
            </a:avLst>
          </a:prstTxWarp>
        </a:bodyPr>
        <a:lstStyle/>
        <a:p>
          <a:pPr algn="ctr" rtl="0"/>
          <a:r>
            <a:rPr lang="fr-FR" sz="800" kern="10" spc="0">
              <a:ln w="9525">
                <a:noFill/>
                <a:round/>
                <a:headEnd/>
                <a:tailEnd/>
              </a:ln>
              <a:noFill/>
              <a:effectLst/>
              <a:latin typeface="Arial Black"/>
            </a:rPr>
            <a:t>www.biograce.net</a:t>
          </a:r>
        </a:p>
      </xdr:txBody>
    </xdr:sp>
    <xdr:clientData/>
  </xdr:twoCellAnchor>
  <xdr:twoCellAnchor>
    <xdr:from>
      <xdr:col>10</xdr:col>
      <xdr:colOff>316707</xdr:colOff>
      <xdr:row>0</xdr:row>
      <xdr:rowOff>0</xdr:rowOff>
    </xdr:from>
    <xdr:to>
      <xdr:col>13</xdr:col>
      <xdr:colOff>986382</xdr:colOff>
      <xdr:row>0</xdr:row>
      <xdr:rowOff>266700</xdr:rowOff>
    </xdr:to>
    <xdr:sp macro="" textlink="">
      <xdr:nvSpPr>
        <xdr:cNvPr id="34830" name="WordArt 14">
          <a:hlinkClick xmlns:r="http://schemas.openxmlformats.org/officeDocument/2006/relationships" r:id="rId4"/>
          <a:extLst>
            <a:ext uri="{FF2B5EF4-FFF2-40B4-BE49-F238E27FC236}">
              <a16:creationId xmlns:a16="http://schemas.microsoft.com/office/drawing/2014/main" id="{00000000-0008-0000-1A00-00000E880000}"/>
            </a:ext>
          </a:extLst>
        </xdr:cNvPr>
        <xdr:cNvSpPr>
          <a:spLocks noChangeArrowheads="1" noChangeShapeType="1" noTextEdit="1"/>
        </xdr:cNvSpPr>
      </xdr:nvSpPr>
      <xdr:spPr bwMode="auto">
        <a:xfrm>
          <a:off x="9820275" y="0"/>
          <a:ext cx="2057400" cy="266700"/>
        </a:xfrm>
        <a:prstGeom prst="rect">
          <a:avLst/>
        </a:prstGeom>
      </xdr:spPr>
      <xdr:txBody>
        <a:bodyPr wrap="none" fromWordArt="1">
          <a:prstTxWarp prst="textPlain">
            <a:avLst>
              <a:gd name="adj" fmla="val 50000"/>
            </a:avLst>
          </a:prstTxWarp>
        </a:bodyPr>
        <a:lstStyle/>
        <a:p>
          <a:pPr algn="ctr" rtl="0"/>
          <a:r>
            <a:rPr lang="fr-FR" sz="800" kern="10" spc="0">
              <a:ln w="9525">
                <a:noFill/>
                <a:round/>
                <a:headEnd/>
                <a:tailEnd/>
              </a:ln>
              <a:noFill/>
              <a:effectLst/>
              <a:latin typeface="Arial Black"/>
            </a:rPr>
            <a:t>intelligent energy europe</a:t>
          </a:r>
        </a:p>
      </xdr:txBody>
    </xdr:sp>
    <xdr:clientData/>
  </xdr:twoCellAnchor>
  <mc:AlternateContent xmlns:mc="http://schemas.openxmlformats.org/markup-compatibility/2006">
    <mc:Choice xmlns:a14="http://schemas.microsoft.com/office/drawing/2010/main" Requires="a14">
      <xdr:twoCellAnchor editAs="oneCell">
        <xdr:from>
          <xdr:col>9</xdr:col>
          <xdr:colOff>38100</xdr:colOff>
          <xdr:row>16</xdr:row>
          <xdr:rowOff>47625</xdr:rowOff>
        </xdr:from>
        <xdr:to>
          <xdr:col>13</xdr:col>
          <xdr:colOff>885825</xdr:colOff>
          <xdr:row>18</xdr:row>
          <xdr:rowOff>85725</xdr:rowOff>
        </xdr:to>
        <xdr:sp macro="" textlink="">
          <xdr:nvSpPr>
            <xdr:cNvPr id="34819" name="CheckBox2" hidden="1">
              <a:extLst>
                <a:ext uri="{63B3BB69-23CF-44E3-9099-C40C66FF867C}">
                  <a14:compatExt spid="_x0000_s34819"/>
                </a:ext>
                <a:ext uri="{FF2B5EF4-FFF2-40B4-BE49-F238E27FC236}">
                  <a16:creationId xmlns:a16="http://schemas.microsoft.com/office/drawing/2014/main" id="{00000000-0008-0000-1A00-000003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14</xdr:row>
          <xdr:rowOff>0</xdr:rowOff>
        </xdr:from>
        <xdr:to>
          <xdr:col>13</xdr:col>
          <xdr:colOff>866775</xdr:colOff>
          <xdr:row>16</xdr:row>
          <xdr:rowOff>171450</xdr:rowOff>
        </xdr:to>
        <xdr:sp macro="" textlink="">
          <xdr:nvSpPr>
            <xdr:cNvPr id="34820" name="CheckBox1" hidden="1">
              <a:extLst>
                <a:ext uri="{63B3BB69-23CF-44E3-9099-C40C66FF867C}">
                  <a14:compatExt spid="_x0000_s34820"/>
                </a:ext>
                <a:ext uri="{FF2B5EF4-FFF2-40B4-BE49-F238E27FC236}">
                  <a16:creationId xmlns:a16="http://schemas.microsoft.com/office/drawing/2014/main" id="{00000000-0008-0000-1A00-000004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174</xdr:row>
          <xdr:rowOff>0</xdr:rowOff>
        </xdr:from>
        <xdr:to>
          <xdr:col>3</xdr:col>
          <xdr:colOff>38100</xdr:colOff>
          <xdr:row>175</xdr:row>
          <xdr:rowOff>28575</xdr:rowOff>
        </xdr:to>
        <xdr:sp macro="" textlink="">
          <xdr:nvSpPr>
            <xdr:cNvPr id="34838" name="ComboBox1" hidden="1">
              <a:extLst>
                <a:ext uri="{63B3BB69-23CF-44E3-9099-C40C66FF867C}">
                  <a14:compatExt spid="_x0000_s34838"/>
                </a:ext>
                <a:ext uri="{FF2B5EF4-FFF2-40B4-BE49-F238E27FC236}">
                  <a16:creationId xmlns:a16="http://schemas.microsoft.com/office/drawing/2014/main" id="{00000000-0008-0000-1A00-000016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191</xdr:row>
          <xdr:rowOff>28575</xdr:rowOff>
        </xdr:from>
        <xdr:to>
          <xdr:col>3</xdr:col>
          <xdr:colOff>19050</xdr:colOff>
          <xdr:row>192</xdr:row>
          <xdr:rowOff>38100</xdr:rowOff>
        </xdr:to>
        <xdr:sp macro="" textlink="">
          <xdr:nvSpPr>
            <xdr:cNvPr id="35068" name="ComboBox2" hidden="1">
              <a:extLst>
                <a:ext uri="{63B3BB69-23CF-44E3-9099-C40C66FF867C}">
                  <a14:compatExt spid="_x0000_s35068"/>
                </a:ext>
                <a:ext uri="{FF2B5EF4-FFF2-40B4-BE49-F238E27FC236}">
                  <a16:creationId xmlns:a16="http://schemas.microsoft.com/office/drawing/2014/main" id="{00000000-0008-0000-1A00-0000FC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1123950</xdr:colOff>
          <xdr:row>20</xdr:row>
          <xdr:rowOff>104775</xdr:rowOff>
        </xdr:from>
        <xdr:to>
          <xdr:col>3</xdr:col>
          <xdr:colOff>295275</xdr:colOff>
          <xdr:row>21</xdr:row>
          <xdr:rowOff>228600</xdr:rowOff>
        </xdr:to>
        <xdr:sp macro="" textlink="">
          <xdr:nvSpPr>
            <xdr:cNvPr id="35396" name="cmdTrackChanges" hidden="1">
              <a:extLst>
                <a:ext uri="{63B3BB69-23CF-44E3-9099-C40C66FF867C}">
                  <a14:compatExt spid="_x0000_s35396"/>
                </a:ext>
                <a:ext uri="{FF2B5EF4-FFF2-40B4-BE49-F238E27FC236}">
                  <a16:creationId xmlns:a16="http://schemas.microsoft.com/office/drawing/2014/main" id="{00000000-0008-0000-1A00-0000448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428625</xdr:colOff>
          <xdr:row>0</xdr:row>
          <xdr:rowOff>800100</xdr:rowOff>
        </xdr:from>
        <xdr:to>
          <xdr:col>12</xdr:col>
          <xdr:colOff>76200</xdr:colOff>
          <xdr:row>1</xdr:row>
          <xdr:rowOff>0</xdr:rowOff>
        </xdr:to>
        <xdr:sp macro="" textlink="">
          <xdr:nvSpPr>
            <xdr:cNvPr id="35474" name="Label 658" hidden="1">
              <a:extLst>
                <a:ext uri="{63B3BB69-23CF-44E3-9099-C40C66FF867C}">
                  <a14:compatExt spid="_x0000_s35474"/>
                </a:ext>
                <a:ext uri="{FF2B5EF4-FFF2-40B4-BE49-F238E27FC236}">
                  <a16:creationId xmlns:a16="http://schemas.microsoft.com/office/drawing/2014/main" id="{00000000-0008-0000-1A00-0000928A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152400</xdr:colOff>
          <xdr:row>0</xdr:row>
          <xdr:rowOff>800100</xdr:rowOff>
        </xdr:from>
        <xdr:to>
          <xdr:col>13</xdr:col>
          <xdr:colOff>981075</xdr:colOff>
          <xdr:row>1</xdr:row>
          <xdr:rowOff>0</xdr:rowOff>
        </xdr:to>
        <xdr:sp macro="" textlink="">
          <xdr:nvSpPr>
            <xdr:cNvPr id="35475" name="Label 659" hidden="1">
              <a:extLst>
                <a:ext uri="{63B3BB69-23CF-44E3-9099-C40C66FF867C}">
                  <a14:compatExt spid="_x0000_s35475"/>
                </a:ext>
                <a:ext uri="{FF2B5EF4-FFF2-40B4-BE49-F238E27FC236}">
                  <a16:creationId xmlns:a16="http://schemas.microsoft.com/office/drawing/2014/main" id="{00000000-0008-0000-1A00-0000938A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xdr:twoCellAnchor>
    <xdr:from>
      <xdr:col>0</xdr:col>
      <xdr:colOff>0</xdr:colOff>
      <xdr:row>0</xdr:row>
      <xdr:rowOff>0</xdr:rowOff>
    </xdr:from>
    <xdr:to>
      <xdr:col>14</xdr:col>
      <xdr:colOff>885825</xdr:colOff>
      <xdr:row>1</xdr:row>
      <xdr:rowOff>0</xdr:rowOff>
    </xdr:to>
    <xdr:grpSp>
      <xdr:nvGrpSpPr>
        <xdr:cNvPr id="28592" name="Groep 11">
          <a:extLst>
            <a:ext uri="{FF2B5EF4-FFF2-40B4-BE49-F238E27FC236}">
              <a16:creationId xmlns:a16="http://schemas.microsoft.com/office/drawing/2014/main" id="{00000000-0008-0000-1B00-0000B06F0000}"/>
            </a:ext>
          </a:extLst>
        </xdr:cNvPr>
        <xdr:cNvGrpSpPr>
          <a:grpSpLocks/>
        </xdr:cNvGrpSpPr>
      </xdr:nvGrpSpPr>
      <xdr:grpSpPr bwMode="auto">
        <a:xfrm>
          <a:off x="0" y="0"/>
          <a:ext cx="12887325" cy="1295400"/>
          <a:chOff x="0" y="0"/>
          <a:chExt cx="12875419" cy="1297781"/>
        </a:xfrm>
      </xdr:grpSpPr>
      <xdr:pic>
        <xdr:nvPicPr>
          <xdr:cNvPr id="28595" name="Picture 14" descr="Header_Calculator_300dpi_2">
            <a:extLst>
              <a:ext uri="{FF2B5EF4-FFF2-40B4-BE49-F238E27FC236}">
                <a16:creationId xmlns:a16="http://schemas.microsoft.com/office/drawing/2014/main" id="{00000000-0008-0000-1B00-0000B36F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2875419" cy="12977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28596" name="Afbeelding 13">
            <a:extLst>
              <a:ext uri="{FF2B5EF4-FFF2-40B4-BE49-F238E27FC236}">
                <a16:creationId xmlns:a16="http://schemas.microsoft.com/office/drawing/2014/main" id="{00000000-0008-0000-1B00-0000B46F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7576"/>
          <a:stretch>
            <a:fillRect/>
          </a:stretch>
        </xdr:blipFill>
        <xdr:spPr bwMode="auto">
          <a:xfrm>
            <a:off x="0" y="1"/>
            <a:ext cx="5107781" cy="12891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twoCellAnchor>
    <xdr:from>
      <xdr:col>7</xdr:col>
      <xdr:colOff>1209675</xdr:colOff>
      <xdr:row>0</xdr:row>
      <xdr:rowOff>133350</xdr:rowOff>
    </xdr:from>
    <xdr:to>
      <xdr:col>10</xdr:col>
      <xdr:colOff>118808</xdr:colOff>
      <xdr:row>0</xdr:row>
      <xdr:rowOff>295275</xdr:rowOff>
    </xdr:to>
    <xdr:sp macro="" textlink="">
      <xdr:nvSpPr>
        <xdr:cNvPr id="27676" name="WordArt 28">
          <a:hlinkClick xmlns:r="http://schemas.openxmlformats.org/officeDocument/2006/relationships" r:id="rId3"/>
          <a:extLst>
            <a:ext uri="{FF2B5EF4-FFF2-40B4-BE49-F238E27FC236}">
              <a16:creationId xmlns:a16="http://schemas.microsoft.com/office/drawing/2014/main" id="{00000000-0008-0000-1B00-00001C6C0000}"/>
            </a:ext>
          </a:extLst>
        </xdr:cNvPr>
        <xdr:cNvSpPr>
          <a:spLocks noChangeArrowheads="1" noChangeShapeType="1" noTextEdit="1"/>
        </xdr:cNvSpPr>
      </xdr:nvSpPr>
      <xdr:spPr bwMode="auto">
        <a:xfrm>
          <a:off x="8181975" y="133350"/>
          <a:ext cx="1438275" cy="161925"/>
        </a:xfrm>
        <a:prstGeom prst="rect">
          <a:avLst/>
        </a:prstGeom>
      </xdr:spPr>
      <xdr:txBody>
        <a:bodyPr wrap="none" fromWordArt="1">
          <a:prstTxWarp prst="textPlain">
            <a:avLst>
              <a:gd name="adj" fmla="val 50000"/>
            </a:avLst>
          </a:prstTxWarp>
        </a:bodyPr>
        <a:lstStyle/>
        <a:p>
          <a:pPr algn="ctr" rtl="0"/>
          <a:r>
            <a:rPr lang="fr-FR" sz="800" kern="10" spc="0">
              <a:ln w="9525">
                <a:noFill/>
                <a:round/>
                <a:headEnd/>
                <a:tailEnd/>
              </a:ln>
              <a:noFill/>
              <a:effectLst/>
              <a:latin typeface="Arial Black"/>
            </a:rPr>
            <a:t>www.biograce.net</a:t>
          </a:r>
        </a:p>
      </xdr:txBody>
    </xdr:sp>
    <xdr:clientData/>
  </xdr:twoCellAnchor>
  <xdr:twoCellAnchor>
    <xdr:from>
      <xdr:col>10</xdr:col>
      <xdr:colOff>316707</xdr:colOff>
      <xdr:row>0</xdr:row>
      <xdr:rowOff>0</xdr:rowOff>
    </xdr:from>
    <xdr:to>
      <xdr:col>13</xdr:col>
      <xdr:colOff>986382</xdr:colOff>
      <xdr:row>0</xdr:row>
      <xdr:rowOff>266700</xdr:rowOff>
    </xdr:to>
    <xdr:sp macro="" textlink="">
      <xdr:nvSpPr>
        <xdr:cNvPr id="27677" name="WordArt 29">
          <a:hlinkClick xmlns:r="http://schemas.openxmlformats.org/officeDocument/2006/relationships" r:id="rId4"/>
          <a:extLst>
            <a:ext uri="{FF2B5EF4-FFF2-40B4-BE49-F238E27FC236}">
              <a16:creationId xmlns:a16="http://schemas.microsoft.com/office/drawing/2014/main" id="{00000000-0008-0000-1B00-00001D6C0000}"/>
            </a:ext>
          </a:extLst>
        </xdr:cNvPr>
        <xdr:cNvSpPr>
          <a:spLocks noChangeArrowheads="1" noChangeShapeType="1" noTextEdit="1"/>
        </xdr:cNvSpPr>
      </xdr:nvSpPr>
      <xdr:spPr bwMode="auto">
        <a:xfrm>
          <a:off x="9820275" y="0"/>
          <a:ext cx="2057400" cy="266700"/>
        </a:xfrm>
        <a:prstGeom prst="rect">
          <a:avLst/>
        </a:prstGeom>
      </xdr:spPr>
      <xdr:txBody>
        <a:bodyPr wrap="none" fromWordArt="1">
          <a:prstTxWarp prst="textPlain">
            <a:avLst>
              <a:gd name="adj" fmla="val 50000"/>
            </a:avLst>
          </a:prstTxWarp>
        </a:bodyPr>
        <a:lstStyle/>
        <a:p>
          <a:pPr algn="ctr" rtl="0"/>
          <a:r>
            <a:rPr lang="fr-FR" sz="800" kern="10" spc="0">
              <a:ln w="9525">
                <a:noFill/>
                <a:round/>
                <a:headEnd/>
                <a:tailEnd/>
              </a:ln>
              <a:noFill/>
              <a:effectLst/>
              <a:latin typeface="Arial Black"/>
            </a:rPr>
            <a:t>intelligent energy europe</a:t>
          </a:r>
        </a:p>
      </xdr:txBody>
    </xdr:sp>
    <xdr:clientData/>
  </xdr:twoCellAnchor>
  <mc:AlternateContent xmlns:mc="http://schemas.openxmlformats.org/markup-compatibility/2006">
    <mc:Choice xmlns:a14="http://schemas.microsoft.com/office/drawing/2010/main" Requires="a14">
      <xdr:twoCellAnchor editAs="oneCell">
        <xdr:from>
          <xdr:col>9</xdr:col>
          <xdr:colOff>38100</xdr:colOff>
          <xdr:row>15</xdr:row>
          <xdr:rowOff>47625</xdr:rowOff>
        </xdr:from>
        <xdr:to>
          <xdr:col>13</xdr:col>
          <xdr:colOff>885825</xdr:colOff>
          <xdr:row>17</xdr:row>
          <xdr:rowOff>85725</xdr:rowOff>
        </xdr:to>
        <xdr:sp macro="" textlink="">
          <xdr:nvSpPr>
            <xdr:cNvPr id="27652" name="CheckBox2" hidden="1">
              <a:extLst>
                <a:ext uri="{63B3BB69-23CF-44E3-9099-C40C66FF867C}">
                  <a14:compatExt spid="_x0000_s27652"/>
                </a:ext>
                <a:ext uri="{FF2B5EF4-FFF2-40B4-BE49-F238E27FC236}">
                  <a16:creationId xmlns:a16="http://schemas.microsoft.com/office/drawing/2014/main" id="{00000000-0008-0000-1B00-000004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47625</xdr:colOff>
          <xdr:row>13</xdr:row>
          <xdr:rowOff>0</xdr:rowOff>
        </xdr:from>
        <xdr:to>
          <xdr:col>13</xdr:col>
          <xdr:colOff>876300</xdr:colOff>
          <xdr:row>15</xdr:row>
          <xdr:rowOff>171450</xdr:rowOff>
        </xdr:to>
        <xdr:sp macro="" textlink="">
          <xdr:nvSpPr>
            <xdr:cNvPr id="27653" name="CheckBox1" hidden="1">
              <a:extLst>
                <a:ext uri="{63B3BB69-23CF-44E3-9099-C40C66FF867C}">
                  <a14:compatExt spid="_x0000_s27653"/>
                </a:ext>
                <a:ext uri="{FF2B5EF4-FFF2-40B4-BE49-F238E27FC236}">
                  <a16:creationId xmlns:a16="http://schemas.microsoft.com/office/drawing/2014/main" id="{00000000-0008-0000-1B00-000005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1714500</xdr:colOff>
          <xdr:row>153</xdr:row>
          <xdr:rowOff>0</xdr:rowOff>
        </xdr:from>
        <xdr:to>
          <xdr:col>3</xdr:col>
          <xdr:colOff>38100</xdr:colOff>
          <xdr:row>154</xdr:row>
          <xdr:rowOff>28575</xdr:rowOff>
        </xdr:to>
        <xdr:sp macro="" textlink="">
          <xdr:nvSpPr>
            <xdr:cNvPr id="27847" name="ComboBox1" hidden="1">
              <a:extLst>
                <a:ext uri="{63B3BB69-23CF-44E3-9099-C40C66FF867C}">
                  <a14:compatExt spid="_x0000_s27847"/>
                </a:ext>
                <a:ext uri="{FF2B5EF4-FFF2-40B4-BE49-F238E27FC236}">
                  <a16:creationId xmlns:a16="http://schemas.microsoft.com/office/drawing/2014/main" id="{00000000-0008-0000-1B00-0000C7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1676400</xdr:colOff>
          <xdr:row>170</xdr:row>
          <xdr:rowOff>9525</xdr:rowOff>
        </xdr:from>
        <xdr:to>
          <xdr:col>2</xdr:col>
          <xdr:colOff>609600</xdr:colOff>
          <xdr:row>171</xdr:row>
          <xdr:rowOff>19050</xdr:rowOff>
        </xdr:to>
        <xdr:sp macro="" textlink="">
          <xdr:nvSpPr>
            <xdr:cNvPr id="28080" name="ComboBox2" hidden="1">
              <a:extLst>
                <a:ext uri="{63B3BB69-23CF-44E3-9099-C40C66FF867C}">
                  <a14:compatExt spid="_x0000_s28080"/>
                </a:ext>
                <a:ext uri="{FF2B5EF4-FFF2-40B4-BE49-F238E27FC236}">
                  <a16:creationId xmlns:a16="http://schemas.microsoft.com/office/drawing/2014/main" id="{00000000-0008-0000-1B00-0000B06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1076325</xdr:colOff>
          <xdr:row>19</xdr:row>
          <xdr:rowOff>95250</xdr:rowOff>
        </xdr:from>
        <xdr:to>
          <xdr:col>3</xdr:col>
          <xdr:colOff>247650</xdr:colOff>
          <xdr:row>20</xdr:row>
          <xdr:rowOff>219075</xdr:rowOff>
        </xdr:to>
        <xdr:sp macro="" textlink="">
          <xdr:nvSpPr>
            <xdr:cNvPr id="28412" name="cmdTrackChanges" hidden="1">
              <a:extLst>
                <a:ext uri="{63B3BB69-23CF-44E3-9099-C40C66FF867C}">
                  <a14:compatExt spid="_x0000_s28412"/>
                </a:ext>
                <a:ext uri="{FF2B5EF4-FFF2-40B4-BE49-F238E27FC236}">
                  <a16:creationId xmlns:a16="http://schemas.microsoft.com/office/drawing/2014/main" id="{00000000-0008-0000-1B00-0000FC6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438150</xdr:colOff>
          <xdr:row>0</xdr:row>
          <xdr:rowOff>800100</xdr:rowOff>
        </xdr:from>
        <xdr:to>
          <xdr:col>12</xdr:col>
          <xdr:colOff>85725</xdr:colOff>
          <xdr:row>1</xdr:row>
          <xdr:rowOff>0</xdr:rowOff>
        </xdr:to>
        <xdr:sp macro="" textlink="">
          <xdr:nvSpPr>
            <xdr:cNvPr id="28486" name="Label 838" hidden="1">
              <a:extLst>
                <a:ext uri="{63B3BB69-23CF-44E3-9099-C40C66FF867C}">
                  <a14:compatExt spid="_x0000_s28486"/>
                </a:ext>
                <a:ext uri="{FF2B5EF4-FFF2-40B4-BE49-F238E27FC236}">
                  <a16:creationId xmlns:a16="http://schemas.microsoft.com/office/drawing/2014/main" id="{00000000-0008-0000-1B00-0000466F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161925</xdr:colOff>
          <xdr:row>0</xdr:row>
          <xdr:rowOff>800100</xdr:rowOff>
        </xdr:from>
        <xdr:to>
          <xdr:col>13</xdr:col>
          <xdr:colOff>990600</xdr:colOff>
          <xdr:row>1</xdr:row>
          <xdr:rowOff>0</xdr:rowOff>
        </xdr:to>
        <xdr:sp macro="" textlink="">
          <xdr:nvSpPr>
            <xdr:cNvPr id="28487" name="Label 839" hidden="1">
              <a:extLst>
                <a:ext uri="{63B3BB69-23CF-44E3-9099-C40C66FF867C}">
                  <a14:compatExt spid="_x0000_s28487"/>
                </a:ext>
                <a:ext uri="{FF2B5EF4-FFF2-40B4-BE49-F238E27FC236}">
                  <a16:creationId xmlns:a16="http://schemas.microsoft.com/office/drawing/2014/main" id="{00000000-0008-0000-1B00-0000476F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xdr:twoCellAnchor>
    <xdr:from>
      <xdr:col>0</xdr:col>
      <xdr:colOff>0</xdr:colOff>
      <xdr:row>0</xdr:row>
      <xdr:rowOff>0</xdr:rowOff>
    </xdr:from>
    <xdr:to>
      <xdr:col>14</xdr:col>
      <xdr:colOff>885825</xdr:colOff>
      <xdr:row>1</xdr:row>
      <xdr:rowOff>0</xdr:rowOff>
    </xdr:to>
    <xdr:grpSp>
      <xdr:nvGrpSpPr>
        <xdr:cNvPr id="34561" name="Groep 9">
          <a:extLst>
            <a:ext uri="{FF2B5EF4-FFF2-40B4-BE49-F238E27FC236}">
              <a16:creationId xmlns:a16="http://schemas.microsoft.com/office/drawing/2014/main" id="{00000000-0008-0000-1C00-000001870000}"/>
            </a:ext>
          </a:extLst>
        </xdr:cNvPr>
        <xdr:cNvGrpSpPr>
          <a:grpSpLocks/>
        </xdr:cNvGrpSpPr>
      </xdr:nvGrpSpPr>
      <xdr:grpSpPr bwMode="auto">
        <a:xfrm>
          <a:off x="0" y="0"/>
          <a:ext cx="12887325" cy="1295400"/>
          <a:chOff x="0" y="0"/>
          <a:chExt cx="12875419" cy="1297781"/>
        </a:xfrm>
      </xdr:grpSpPr>
      <xdr:pic>
        <xdr:nvPicPr>
          <xdr:cNvPr id="34564" name="Picture 14" descr="Header_Calculator_300dpi_2">
            <a:extLst>
              <a:ext uri="{FF2B5EF4-FFF2-40B4-BE49-F238E27FC236}">
                <a16:creationId xmlns:a16="http://schemas.microsoft.com/office/drawing/2014/main" id="{00000000-0008-0000-1C00-00000487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2875419" cy="12977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34565" name="Afbeelding 11">
            <a:extLst>
              <a:ext uri="{FF2B5EF4-FFF2-40B4-BE49-F238E27FC236}">
                <a16:creationId xmlns:a16="http://schemas.microsoft.com/office/drawing/2014/main" id="{00000000-0008-0000-1C00-00000587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7576"/>
          <a:stretch>
            <a:fillRect/>
          </a:stretch>
        </xdr:blipFill>
        <xdr:spPr bwMode="auto">
          <a:xfrm>
            <a:off x="0" y="1"/>
            <a:ext cx="5107781" cy="12891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twoCellAnchor>
    <xdr:from>
      <xdr:col>7</xdr:col>
      <xdr:colOff>1209675</xdr:colOff>
      <xdr:row>0</xdr:row>
      <xdr:rowOff>133350</xdr:rowOff>
    </xdr:from>
    <xdr:to>
      <xdr:col>10</xdr:col>
      <xdr:colOff>118808</xdr:colOff>
      <xdr:row>0</xdr:row>
      <xdr:rowOff>295275</xdr:rowOff>
    </xdr:to>
    <xdr:sp macro="" textlink="">
      <xdr:nvSpPr>
        <xdr:cNvPr id="33805" name="WordArt 13">
          <a:hlinkClick xmlns:r="http://schemas.openxmlformats.org/officeDocument/2006/relationships" r:id="rId3"/>
          <a:extLst>
            <a:ext uri="{FF2B5EF4-FFF2-40B4-BE49-F238E27FC236}">
              <a16:creationId xmlns:a16="http://schemas.microsoft.com/office/drawing/2014/main" id="{00000000-0008-0000-1C00-00000D840000}"/>
            </a:ext>
          </a:extLst>
        </xdr:cNvPr>
        <xdr:cNvSpPr>
          <a:spLocks noChangeArrowheads="1" noChangeShapeType="1" noTextEdit="1"/>
        </xdr:cNvSpPr>
      </xdr:nvSpPr>
      <xdr:spPr bwMode="auto">
        <a:xfrm>
          <a:off x="8181975" y="133350"/>
          <a:ext cx="1438275" cy="161925"/>
        </a:xfrm>
        <a:prstGeom prst="rect">
          <a:avLst/>
        </a:prstGeom>
      </xdr:spPr>
      <xdr:txBody>
        <a:bodyPr wrap="none" fromWordArt="1">
          <a:prstTxWarp prst="textPlain">
            <a:avLst>
              <a:gd name="adj" fmla="val 50000"/>
            </a:avLst>
          </a:prstTxWarp>
        </a:bodyPr>
        <a:lstStyle/>
        <a:p>
          <a:pPr algn="ctr" rtl="0"/>
          <a:r>
            <a:rPr lang="fr-FR" sz="800" kern="10" spc="0">
              <a:ln w="9525">
                <a:noFill/>
                <a:round/>
                <a:headEnd/>
                <a:tailEnd/>
              </a:ln>
              <a:noFill/>
              <a:effectLst/>
              <a:latin typeface="Arial Black"/>
            </a:rPr>
            <a:t>www.biograce.net</a:t>
          </a:r>
        </a:p>
      </xdr:txBody>
    </xdr:sp>
    <xdr:clientData/>
  </xdr:twoCellAnchor>
  <xdr:twoCellAnchor>
    <xdr:from>
      <xdr:col>10</xdr:col>
      <xdr:colOff>316707</xdr:colOff>
      <xdr:row>0</xdr:row>
      <xdr:rowOff>0</xdr:rowOff>
    </xdr:from>
    <xdr:to>
      <xdr:col>13</xdr:col>
      <xdr:colOff>986382</xdr:colOff>
      <xdr:row>0</xdr:row>
      <xdr:rowOff>266700</xdr:rowOff>
    </xdr:to>
    <xdr:sp macro="" textlink="">
      <xdr:nvSpPr>
        <xdr:cNvPr id="33806" name="WordArt 14">
          <a:hlinkClick xmlns:r="http://schemas.openxmlformats.org/officeDocument/2006/relationships" r:id="rId4"/>
          <a:extLst>
            <a:ext uri="{FF2B5EF4-FFF2-40B4-BE49-F238E27FC236}">
              <a16:creationId xmlns:a16="http://schemas.microsoft.com/office/drawing/2014/main" id="{00000000-0008-0000-1C00-00000E840000}"/>
            </a:ext>
          </a:extLst>
        </xdr:cNvPr>
        <xdr:cNvSpPr>
          <a:spLocks noChangeArrowheads="1" noChangeShapeType="1" noTextEdit="1"/>
        </xdr:cNvSpPr>
      </xdr:nvSpPr>
      <xdr:spPr bwMode="auto">
        <a:xfrm>
          <a:off x="9820275" y="0"/>
          <a:ext cx="2057400" cy="266700"/>
        </a:xfrm>
        <a:prstGeom prst="rect">
          <a:avLst/>
        </a:prstGeom>
      </xdr:spPr>
      <xdr:txBody>
        <a:bodyPr wrap="none" fromWordArt="1">
          <a:prstTxWarp prst="textPlain">
            <a:avLst>
              <a:gd name="adj" fmla="val 50000"/>
            </a:avLst>
          </a:prstTxWarp>
        </a:bodyPr>
        <a:lstStyle/>
        <a:p>
          <a:pPr algn="ctr" rtl="0"/>
          <a:r>
            <a:rPr lang="fr-FR" sz="800" kern="10" spc="0">
              <a:ln w="9525">
                <a:noFill/>
                <a:round/>
                <a:headEnd/>
                <a:tailEnd/>
              </a:ln>
              <a:noFill/>
              <a:effectLst/>
              <a:latin typeface="Arial Black"/>
            </a:rPr>
            <a:t>intelligent energy europe</a:t>
          </a:r>
        </a:p>
      </xdr:txBody>
    </xdr:sp>
    <xdr:clientData/>
  </xdr:twoCellAnchor>
  <mc:AlternateContent xmlns:mc="http://schemas.openxmlformats.org/markup-compatibility/2006">
    <mc:Choice xmlns:a14="http://schemas.microsoft.com/office/drawing/2010/main" Requires="a14">
      <xdr:twoCellAnchor editAs="oneCell">
        <xdr:from>
          <xdr:col>9</xdr:col>
          <xdr:colOff>38100</xdr:colOff>
          <xdr:row>13</xdr:row>
          <xdr:rowOff>47625</xdr:rowOff>
        </xdr:from>
        <xdr:to>
          <xdr:col>13</xdr:col>
          <xdr:colOff>885825</xdr:colOff>
          <xdr:row>15</xdr:row>
          <xdr:rowOff>85725</xdr:rowOff>
        </xdr:to>
        <xdr:sp macro="" textlink="">
          <xdr:nvSpPr>
            <xdr:cNvPr id="33796" name="CheckBox2" hidden="1">
              <a:extLst>
                <a:ext uri="{63B3BB69-23CF-44E3-9099-C40C66FF867C}">
                  <a14:compatExt spid="_x0000_s33796"/>
                </a:ext>
                <a:ext uri="{FF2B5EF4-FFF2-40B4-BE49-F238E27FC236}">
                  <a16:creationId xmlns:a16="http://schemas.microsoft.com/office/drawing/2014/main" id="{00000000-0008-0000-1C00-000004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11</xdr:row>
          <xdr:rowOff>0</xdr:rowOff>
        </xdr:from>
        <xdr:to>
          <xdr:col>13</xdr:col>
          <xdr:colOff>866775</xdr:colOff>
          <xdr:row>13</xdr:row>
          <xdr:rowOff>123825</xdr:rowOff>
        </xdr:to>
        <xdr:sp macro="" textlink="">
          <xdr:nvSpPr>
            <xdr:cNvPr id="33797" name="CheckBox1" hidden="1">
              <a:extLst>
                <a:ext uri="{63B3BB69-23CF-44E3-9099-C40C66FF867C}">
                  <a14:compatExt spid="_x0000_s33797"/>
                </a:ext>
                <a:ext uri="{FF2B5EF4-FFF2-40B4-BE49-F238E27FC236}">
                  <a16:creationId xmlns:a16="http://schemas.microsoft.com/office/drawing/2014/main" id="{00000000-0008-0000-1C00-000005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1266825</xdr:colOff>
          <xdr:row>16</xdr:row>
          <xdr:rowOff>85725</xdr:rowOff>
        </xdr:from>
        <xdr:to>
          <xdr:col>3</xdr:col>
          <xdr:colOff>438150</xdr:colOff>
          <xdr:row>17</xdr:row>
          <xdr:rowOff>209550</xdr:rowOff>
        </xdr:to>
        <xdr:sp macro="" textlink="">
          <xdr:nvSpPr>
            <xdr:cNvPr id="34392" name="cmdTrackChanges" hidden="1">
              <a:extLst>
                <a:ext uri="{63B3BB69-23CF-44E3-9099-C40C66FF867C}">
                  <a14:compatExt spid="_x0000_s34392"/>
                </a:ext>
                <a:ext uri="{FF2B5EF4-FFF2-40B4-BE49-F238E27FC236}">
                  <a16:creationId xmlns:a16="http://schemas.microsoft.com/office/drawing/2014/main" id="{00000000-0008-0000-1C00-0000588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438150</xdr:colOff>
          <xdr:row>0</xdr:row>
          <xdr:rowOff>800100</xdr:rowOff>
        </xdr:from>
        <xdr:to>
          <xdr:col>12</xdr:col>
          <xdr:colOff>85725</xdr:colOff>
          <xdr:row>1</xdr:row>
          <xdr:rowOff>0</xdr:rowOff>
        </xdr:to>
        <xdr:sp macro="" textlink="">
          <xdr:nvSpPr>
            <xdr:cNvPr id="34457" name="Label 665" hidden="1">
              <a:extLst>
                <a:ext uri="{63B3BB69-23CF-44E3-9099-C40C66FF867C}">
                  <a14:compatExt spid="_x0000_s34457"/>
                </a:ext>
                <a:ext uri="{FF2B5EF4-FFF2-40B4-BE49-F238E27FC236}">
                  <a16:creationId xmlns:a16="http://schemas.microsoft.com/office/drawing/2014/main" id="{00000000-0008-0000-1C00-00009986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161925</xdr:colOff>
          <xdr:row>0</xdr:row>
          <xdr:rowOff>800100</xdr:rowOff>
        </xdr:from>
        <xdr:to>
          <xdr:col>13</xdr:col>
          <xdr:colOff>990600</xdr:colOff>
          <xdr:row>1</xdr:row>
          <xdr:rowOff>0</xdr:rowOff>
        </xdr:to>
        <xdr:sp macro="" textlink="">
          <xdr:nvSpPr>
            <xdr:cNvPr id="34458" name="Label 666" hidden="1">
              <a:extLst>
                <a:ext uri="{63B3BB69-23CF-44E3-9099-C40C66FF867C}">
                  <a14:compatExt spid="_x0000_s34458"/>
                </a:ext>
                <a:ext uri="{FF2B5EF4-FFF2-40B4-BE49-F238E27FC236}">
                  <a16:creationId xmlns:a16="http://schemas.microsoft.com/office/drawing/2014/main" id="{00000000-0008-0000-1C00-00009A86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xdr:twoCellAnchor>
    <xdr:from>
      <xdr:col>0</xdr:col>
      <xdr:colOff>0</xdr:colOff>
      <xdr:row>0</xdr:row>
      <xdr:rowOff>0</xdr:rowOff>
    </xdr:from>
    <xdr:to>
      <xdr:col>14</xdr:col>
      <xdr:colOff>885825</xdr:colOff>
      <xdr:row>1</xdr:row>
      <xdr:rowOff>0</xdr:rowOff>
    </xdr:to>
    <xdr:grpSp>
      <xdr:nvGrpSpPr>
        <xdr:cNvPr id="31670" name="Groep 9">
          <a:extLst>
            <a:ext uri="{FF2B5EF4-FFF2-40B4-BE49-F238E27FC236}">
              <a16:creationId xmlns:a16="http://schemas.microsoft.com/office/drawing/2014/main" id="{00000000-0008-0000-1D00-0000B67B0000}"/>
            </a:ext>
          </a:extLst>
        </xdr:cNvPr>
        <xdr:cNvGrpSpPr>
          <a:grpSpLocks/>
        </xdr:cNvGrpSpPr>
      </xdr:nvGrpSpPr>
      <xdr:grpSpPr bwMode="auto">
        <a:xfrm>
          <a:off x="0" y="0"/>
          <a:ext cx="12887325" cy="1295400"/>
          <a:chOff x="0" y="0"/>
          <a:chExt cx="12875419" cy="1297781"/>
        </a:xfrm>
      </xdr:grpSpPr>
      <xdr:pic>
        <xdr:nvPicPr>
          <xdr:cNvPr id="31673" name="Picture 14" descr="Header_Calculator_300dpi_2">
            <a:extLst>
              <a:ext uri="{FF2B5EF4-FFF2-40B4-BE49-F238E27FC236}">
                <a16:creationId xmlns:a16="http://schemas.microsoft.com/office/drawing/2014/main" id="{00000000-0008-0000-1D00-0000B97B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2875419" cy="12977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31674" name="Afbeelding 11">
            <a:extLst>
              <a:ext uri="{FF2B5EF4-FFF2-40B4-BE49-F238E27FC236}">
                <a16:creationId xmlns:a16="http://schemas.microsoft.com/office/drawing/2014/main" id="{00000000-0008-0000-1D00-0000BA7B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7576"/>
          <a:stretch>
            <a:fillRect/>
          </a:stretch>
        </xdr:blipFill>
        <xdr:spPr bwMode="auto">
          <a:xfrm>
            <a:off x="0" y="1"/>
            <a:ext cx="5107781" cy="12891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twoCellAnchor>
    <xdr:from>
      <xdr:col>7</xdr:col>
      <xdr:colOff>1209675</xdr:colOff>
      <xdr:row>0</xdr:row>
      <xdr:rowOff>133350</xdr:rowOff>
    </xdr:from>
    <xdr:to>
      <xdr:col>10</xdr:col>
      <xdr:colOff>118808</xdr:colOff>
      <xdr:row>0</xdr:row>
      <xdr:rowOff>295275</xdr:rowOff>
    </xdr:to>
    <xdr:sp macro="" textlink="">
      <xdr:nvSpPr>
        <xdr:cNvPr id="30734" name="WordArt 14">
          <a:hlinkClick xmlns:r="http://schemas.openxmlformats.org/officeDocument/2006/relationships" r:id="rId3"/>
          <a:extLst>
            <a:ext uri="{FF2B5EF4-FFF2-40B4-BE49-F238E27FC236}">
              <a16:creationId xmlns:a16="http://schemas.microsoft.com/office/drawing/2014/main" id="{00000000-0008-0000-1D00-00000E780000}"/>
            </a:ext>
          </a:extLst>
        </xdr:cNvPr>
        <xdr:cNvSpPr>
          <a:spLocks noChangeArrowheads="1" noChangeShapeType="1" noTextEdit="1"/>
        </xdr:cNvSpPr>
      </xdr:nvSpPr>
      <xdr:spPr bwMode="auto">
        <a:xfrm>
          <a:off x="8181975" y="133350"/>
          <a:ext cx="1438275" cy="161925"/>
        </a:xfrm>
        <a:prstGeom prst="rect">
          <a:avLst/>
        </a:prstGeom>
      </xdr:spPr>
      <xdr:txBody>
        <a:bodyPr wrap="none" fromWordArt="1">
          <a:prstTxWarp prst="textPlain">
            <a:avLst>
              <a:gd name="adj" fmla="val 50000"/>
            </a:avLst>
          </a:prstTxWarp>
        </a:bodyPr>
        <a:lstStyle/>
        <a:p>
          <a:pPr algn="ctr" rtl="0"/>
          <a:r>
            <a:rPr lang="fr-FR" sz="800" kern="10" spc="0">
              <a:ln w="9525">
                <a:noFill/>
                <a:round/>
                <a:headEnd/>
                <a:tailEnd/>
              </a:ln>
              <a:noFill/>
              <a:effectLst/>
              <a:latin typeface="Arial Black"/>
            </a:rPr>
            <a:t>www.biograce.net</a:t>
          </a:r>
        </a:p>
      </xdr:txBody>
    </xdr:sp>
    <xdr:clientData/>
  </xdr:twoCellAnchor>
  <xdr:twoCellAnchor>
    <xdr:from>
      <xdr:col>10</xdr:col>
      <xdr:colOff>316707</xdr:colOff>
      <xdr:row>0</xdr:row>
      <xdr:rowOff>0</xdr:rowOff>
    </xdr:from>
    <xdr:to>
      <xdr:col>13</xdr:col>
      <xdr:colOff>986382</xdr:colOff>
      <xdr:row>0</xdr:row>
      <xdr:rowOff>266700</xdr:rowOff>
    </xdr:to>
    <xdr:sp macro="" textlink="">
      <xdr:nvSpPr>
        <xdr:cNvPr id="30735" name="WordArt 15">
          <a:hlinkClick xmlns:r="http://schemas.openxmlformats.org/officeDocument/2006/relationships" r:id="rId4"/>
          <a:extLst>
            <a:ext uri="{FF2B5EF4-FFF2-40B4-BE49-F238E27FC236}">
              <a16:creationId xmlns:a16="http://schemas.microsoft.com/office/drawing/2014/main" id="{00000000-0008-0000-1D00-00000F780000}"/>
            </a:ext>
          </a:extLst>
        </xdr:cNvPr>
        <xdr:cNvSpPr>
          <a:spLocks noChangeArrowheads="1" noChangeShapeType="1" noTextEdit="1"/>
        </xdr:cNvSpPr>
      </xdr:nvSpPr>
      <xdr:spPr bwMode="auto">
        <a:xfrm>
          <a:off x="9820275" y="0"/>
          <a:ext cx="2057400" cy="266700"/>
        </a:xfrm>
        <a:prstGeom prst="rect">
          <a:avLst/>
        </a:prstGeom>
      </xdr:spPr>
      <xdr:txBody>
        <a:bodyPr wrap="none" fromWordArt="1">
          <a:prstTxWarp prst="textPlain">
            <a:avLst>
              <a:gd name="adj" fmla="val 50000"/>
            </a:avLst>
          </a:prstTxWarp>
        </a:bodyPr>
        <a:lstStyle/>
        <a:p>
          <a:pPr algn="ctr" rtl="0"/>
          <a:r>
            <a:rPr lang="fr-FR" sz="800" kern="10" spc="0">
              <a:ln w="9525">
                <a:noFill/>
                <a:round/>
                <a:headEnd/>
                <a:tailEnd/>
              </a:ln>
              <a:noFill/>
              <a:effectLst/>
              <a:latin typeface="Arial Black"/>
            </a:rPr>
            <a:t>intelligent energy europe</a:t>
          </a:r>
        </a:p>
      </xdr:txBody>
    </xdr:sp>
    <xdr:clientData/>
  </xdr:twoCellAnchor>
  <mc:AlternateContent xmlns:mc="http://schemas.openxmlformats.org/markup-compatibility/2006">
    <mc:Choice xmlns:a14="http://schemas.microsoft.com/office/drawing/2010/main" Requires="a14">
      <xdr:twoCellAnchor editAs="oneCell">
        <xdr:from>
          <xdr:col>9</xdr:col>
          <xdr:colOff>38100</xdr:colOff>
          <xdr:row>12</xdr:row>
          <xdr:rowOff>142875</xdr:rowOff>
        </xdr:from>
        <xdr:to>
          <xdr:col>13</xdr:col>
          <xdr:colOff>885825</xdr:colOff>
          <xdr:row>15</xdr:row>
          <xdr:rowOff>85725</xdr:rowOff>
        </xdr:to>
        <xdr:sp macro="" textlink="">
          <xdr:nvSpPr>
            <xdr:cNvPr id="30724" name="CheckBox2" hidden="1">
              <a:extLst>
                <a:ext uri="{63B3BB69-23CF-44E3-9099-C40C66FF867C}">
                  <a14:compatExt spid="_x0000_s30724"/>
                </a:ext>
                <a:ext uri="{FF2B5EF4-FFF2-40B4-BE49-F238E27FC236}">
                  <a16:creationId xmlns:a16="http://schemas.microsoft.com/office/drawing/2014/main" id="{00000000-0008-0000-1D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10</xdr:row>
          <xdr:rowOff>152400</xdr:rowOff>
        </xdr:from>
        <xdr:to>
          <xdr:col>13</xdr:col>
          <xdr:colOff>866775</xdr:colOff>
          <xdr:row>14</xdr:row>
          <xdr:rowOff>0</xdr:rowOff>
        </xdr:to>
        <xdr:sp macro="" textlink="">
          <xdr:nvSpPr>
            <xdr:cNvPr id="30725" name="CheckBox1" hidden="1">
              <a:extLst>
                <a:ext uri="{63B3BB69-23CF-44E3-9099-C40C66FF867C}">
                  <a14:compatExt spid="_x0000_s30725"/>
                </a:ext>
                <a:ext uri="{FF2B5EF4-FFF2-40B4-BE49-F238E27FC236}">
                  <a16:creationId xmlns:a16="http://schemas.microsoft.com/office/drawing/2014/main" id="{00000000-0008-0000-1D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1123950</xdr:colOff>
          <xdr:row>16</xdr:row>
          <xdr:rowOff>85725</xdr:rowOff>
        </xdr:from>
        <xdr:to>
          <xdr:col>3</xdr:col>
          <xdr:colOff>295275</xdr:colOff>
          <xdr:row>17</xdr:row>
          <xdr:rowOff>209550</xdr:rowOff>
        </xdr:to>
        <xdr:sp macro="" textlink="">
          <xdr:nvSpPr>
            <xdr:cNvPr id="31504" name="cmdTrackChanges" hidden="1">
              <a:extLst>
                <a:ext uri="{63B3BB69-23CF-44E3-9099-C40C66FF867C}">
                  <a14:compatExt spid="_x0000_s31504"/>
                </a:ext>
                <a:ext uri="{FF2B5EF4-FFF2-40B4-BE49-F238E27FC236}">
                  <a16:creationId xmlns:a16="http://schemas.microsoft.com/office/drawing/2014/main" id="{00000000-0008-0000-1D00-0000107B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438150</xdr:colOff>
          <xdr:row>0</xdr:row>
          <xdr:rowOff>800100</xdr:rowOff>
        </xdr:from>
        <xdr:to>
          <xdr:col>12</xdr:col>
          <xdr:colOff>85725</xdr:colOff>
          <xdr:row>1</xdr:row>
          <xdr:rowOff>0</xdr:rowOff>
        </xdr:to>
        <xdr:sp macro="" textlink="">
          <xdr:nvSpPr>
            <xdr:cNvPr id="31565" name="Label 845" hidden="1">
              <a:extLst>
                <a:ext uri="{63B3BB69-23CF-44E3-9099-C40C66FF867C}">
                  <a14:compatExt spid="_x0000_s31565"/>
                </a:ext>
                <a:ext uri="{FF2B5EF4-FFF2-40B4-BE49-F238E27FC236}">
                  <a16:creationId xmlns:a16="http://schemas.microsoft.com/office/drawing/2014/main" id="{00000000-0008-0000-1D00-00004D7B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0</xdr:colOff>
          <xdr:row>0</xdr:row>
          <xdr:rowOff>800100</xdr:rowOff>
        </xdr:from>
        <xdr:to>
          <xdr:col>13</xdr:col>
          <xdr:colOff>1000125</xdr:colOff>
          <xdr:row>1</xdr:row>
          <xdr:rowOff>0</xdr:rowOff>
        </xdr:to>
        <xdr:sp macro="" textlink="">
          <xdr:nvSpPr>
            <xdr:cNvPr id="31566" name="Label 846" hidden="1">
              <a:extLst>
                <a:ext uri="{63B3BB69-23CF-44E3-9099-C40C66FF867C}">
                  <a14:compatExt spid="_x0000_s31566"/>
                </a:ext>
                <a:ext uri="{FF2B5EF4-FFF2-40B4-BE49-F238E27FC236}">
                  <a16:creationId xmlns:a16="http://schemas.microsoft.com/office/drawing/2014/main" id="{00000000-0008-0000-1D00-00004E7B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xdr:from>
      <xdr:col>0</xdr:col>
      <xdr:colOff>0</xdr:colOff>
      <xdr:row>0</xdr:row>
      <xdr:rowOff>0</xdr:rowOff>
    </xdr:from>
    <xdr:to>
      <xdr:col>14</xdr:col>
      <xdr:colOff>885825</xdr:colOff>
      <xdr:row>1</xdr:row>
      <xdr:rowOff>0</xdr:rowOff>
    </xdr:to>
    <xdr:grpSp>
      <xdr:nvGrpSpPr>
        <xdr:cNvPr id="33523" name="Groep 9">
          <a:extLst>
            <a:ext uri="{FF2B5EF4-FFF2-40B4-BE49-F238E27FC236}">
              <a16:creationId xmlns:a16="http://schemas.microsoft.com/office/drawing/2014/main" id="{00000000-0008-0000-1E00-0000F3820000}"/>
            </a:ext>
          </a:extLst>
        </xdr:cNvPr>
        <xdr:cNvGrpSpPr>
          <a:grpSpLocks/>
        </xdr:cNvGrpSpPr>
      </xdr:nvGrpSpPr>
      <xdr:grpSpPr bwMode="auto">
        <a:xfrm>
          <a:off x="0" y="0"/>
          <a:ext cx="12887325" cy="1295400"/>
          <a:chOff x="0" y="0"/>
          <a:chExt cx="12875419" cy="1297781"/>
        </a:xfrm>
      </xdr:grpSpPr>
      <xdr:pic>
        <xdr:nvPicPr>
          <xdr:cNvPr id="33526" name="Picture 14" descr="Header_Calculator_300dpi_2">
            <a:extLst>
              <a:ext uri="{FF2B5EF4-FFF2-40B4-BE49-F238E27FC236}">
                <a16:creationId xmlns:a16="http://schemas.microsoft.com/office/drawing/2014/main" id="{00000000-0008-0000-1E00-0000F682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2875419" cy="12977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33527" name="Afbeelding 11">
            <a:extLst>
              <a:ext uri="{FF2B5EF4-FFF2-40B4-BE49-F238E27FC236}">
                <a16:creationId xmlns:a16="http://schemas.microsoft.com/office/drawing/2014/main" id="{00000000-0008-0000-1E00-0000F782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7576"/>
          <a:stretch>
            <a:fillRect/>
          </a:stretch>
        </xdr:blipFill>
        <xdr:spPr bwMode="auto">
          <a:xfrm>
            <a:off x="0" y="1"/>
            <a:ext cx="5107781" cy="12891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twoCellAnchor>
    <xdr:from>
      <xdr:col>7</xdr:col>
      <xdr:colOff>1209675</xdr:colOff>
      <xdr:row>0</xdr:row>
      <xdr:rowOff>133350</xdr:rowOff>
    </xdr:from>
    <xdr:to>
      <xdr:col>10</xdr:col>
      <xdr:colOff>118808</xdr:colOff>
      <xdr:row>0</xdr:row>
      <xdr:rowOff>295275</xdr:rowOff>
    </xdr:to>
    <xdr:sp macro="" textlink="">
      <xdr:nvSpPr>
        <xdr:cNvPr id="32781" name="WordArt 13">
          <a:hlinkClick xmlns:r="http://schemas.openxmlformats.org/officeDocument/2006/relationships" r:id="rId3"/>
          <a:extLst>
            <a:ext uri="{FF2B5EF4-FFF2-40B4-BE49-F238E27FC236}">
              <a16:creationId xmlns:a16="http://schemas.microsoft.com/office/drawing/2014/main" id="{00000000-0008-0000-1E00-00000D800000}"/>
            </a:ext>
          </a:extLst>
        </xdr:cNvPr>
        <xdr:cNvSpPr>
          <a:spLocks noChangeArrowheads="1" noChangeShapeType="1" noTextEdit="1"/>
        </xdr:cNvSpPr>
      </xdr:nvSpPr>
      <xdr:spPr bwMode="auto">
        <a:xfrm>
          <a:off x="8181975" y="133350"/>
          <a:ext cx="1438275" cy="161925"/>
        </a:xfrm>
        <a:prstGeom prst="rect">
          <a:avLst/>
        </a:prstGeom>
      </xdr:spPr>
      <xdr:txBody>
        <a:bodyPr wrap="none" fromWordArt="1">
          <a:prstTxWarp prst="textPlain">
            <a:avLst>
              <a:gd name="adj" fmla="val 50000"/>
            </a:avLst>
          </a:prstTxWarp>
        </a:bodyPr>
        <a:lstStyle/>
        <a:p>
          <a:pPr algn="ctr" rtl="0"/>
          <a:r>
            <a:rPr lang="fr-FR" sz="800" kern="10" spc="0">
              <a:ln w="9525">
                <a:noFill/>
                <a:round/>
                <a:headEnd/>
                <a:tailEnd/>
              </a:ln>
              <a:noFill/>
              <a:effectLst/>
              <a:latin typeface="Arial Black"/>
            </a:rPr>
            <a:t>www.biograce.net</a:t>
          </a:r>
        </a:p>
      </xdr:txBody>
    </xdr:sp>
    <xdr:clientData/>
  </xdr:twoCellAnchor>
  <xdr:twoCellAnchor>
    <xdr:from>
      <xdr:col>10</xdr:col>
      <xdr:colOff>316707</xdr:colOff>
      <xdr:row>0</xdr:row>
      <xdr:rowOff>0</xdr:rowOff>
    </xdr:from>
    <xdr:to>
      <xdr:col>13</xdr:col>
      <xdr:colOff>986382</xdr:colOff>
      <xdr:row>0</xdr:row>
      <xdr:rowOff>266700</xdr:rowOff>
    </xdr:to>
    <xdr:sp macro="" textlink="">
      <xdr:nvSpPr>
        <xdr:cNvPr id="32782" name="WordArt 14">
          <a:hlinkClick xmlns:r="http://schemas.openxmlformats.org/officeDocument/2006/relationships" r:id="rId4"/>
          <a:extLst>
            <a:ext uri="{FF2B5EF4-FFF2-40B4-BE49-F238E27FC236}">
              <a16:creationId xmlns:a16="http://schemas.microsoft.com/office/drawing/2014/main" id="{00000000-0008-0000-1E00-00000E800000}"/>
            </a:ext>
          </a:extLst>
        </xdr:cNvPr>
        <xdr:cNvSpPr>
          <a:spLocks noChangeArrowheads="1" noChangeShapeType="1" noTextEdit="1"/>
        </xdr:cNvSpPr>
      </xdr:nvSpPr>
      <xdr:spPr bwMode="auto">
        <a:xfrm>
          <a:off x="9820275" y="0"/>
          <a:ext cx="2057400" cy="266700"/>
        </a:xfrm>
        <a:prstGeom prst="rect">
          <a:avLst/>
        </a:prstGeom>
      </xdr:spPr>
      <xdr:txBody>
        <a:bodyPr wrap="none" fromWordArt="1">
          <a:prstTxWarp prst="textPlain">
            <a:avLst>
              <a:gd name="adj" fmla="val 50000"/>
            </a:avLst>
          </a:prstTxWarp>
        </a:bodyPr>
        <a:lstStyle/>
        <a:p>
          <a:pPr algn="ctr" rtl="0"/>
          <a:r>
            <a:rPr lang="fr-FR" sz="800" kern="10" spc="0">
              <a:ln w="9525">
                <a:noFill/>
                <a:round/>
                <a:headEnd/>
                <a:tailEnd/>
              </a:ln>
              <a:noFill/>
              <a:effectLst/>
              <a:latin typeface="Arial Black"/>
            </a:rPr>
            <a:t>intelligent energy europe</a:t>
          </a:r>
        </a:p>
      </xdr:txBody>
    </xdr:sp>
    <xdr:clientData/>
  </xdr:twoCellAnchor>
  <mc:AlternateContent xmlns:mc="http://schemas.openxmlformats.org/markup-compatibility/2006">
    <mc:Choice xmlns:a14="http://schemas.microsoft.com/office/drawing/2010/main" Requires="a14">
      <xdr:twoCellAnchor editAs="oneCell">
        <xdr:from>
          <xdr:col>9</xdr:col>
          <xdr:colOff>38100</xdr:colOff>
          <xdr:row>12</xdr:row>
          <xdr:rowOff>142875</xdr:rowOff>
        </xdr:from>
        <xdr:to>
          <xdr:col>13</xdr:col>
          <xdr:colOff>885825</xdr:colOff>
          <xdr:row>15</xdr:row>
          <xdr:rowOff>85725</xdr:rowOff>
        </xdr:to>
        <xdr:sp macro="" textlink="">
          <xdr:nvSpPr>
            <xdr:cNvPr id="32772" name="CheckBox2" hidden="1">
              <a:extLst>
                <a:ext uri="{63B3BB69-23CF-44E3-9099-C40C66FF867C}">
                  <a14:compatExt spid="_x0000_s32772"/>
                </a:ext>
                <a:ext uri="{FF2B5EF4-FFF2-40B4-BE49-F238E27FC236}">
                  <a16:creationId xmlns:a16="http://schemas.microsoft.com/office/drawing/2014/main" id="{00000000-0008-0000-1E00-000004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10</xdr:row>
          <xdr:rowOff>152400</xdr:rowOff>
        </xdr:from>
        <xdr:to>
          <xdr:col>13</xdr:col>
          <xdr:colOff>866775</xdr:colOff>
          <xdr:row>14</xdr:row>
          <xdr:rowOff>0</xdr:rowOff>
        </xdr:to>
        <xdr:sp macro="" textlink="">
          <xdr:nvSpPr>
            <xdr:cNvPr id="32773" name="CheckBox1" hidden="1">
              <a:extLst>
                <a:ext uri="{63B3BB69-23CF-44E3-9099-C40C66FF867C}">
                  <a14:compatExt spid="_x0000_s32773"/>
                </a:ext>
                <a:ext uri="{FF2B5EF4-FFF2-40B4-BE49-F238E27FC236}">
                  <a16:creationId xmlns:a16="http://schemas.microsoft.com/office/drawing/2014/main" id="{00000000-0008-0000-1E00-000005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1219200</xdr:colOff>
          <xdr:row>16</xdr:row>
          <xdr:rowOff>95250</xdr:rowOff>
        </xdr:from>
        <xdr:to>
          <xdr:col>3</xdr:col>
          <xdr:colOff>390525</xdr:colOff>
          <xdr:row>17</xdr:row>
          <xdr:rowOff>219075</xdr:rowOff>
        </xdr:to>
        <xdr:sp macro="" textlink="">
          <xdr:nvSpPr>
            <xdr:cNvPr id="33356" name="cmdTrackChanges" hidden="1">
              <a:extLst>
                <a:ext uri="{63B3BB69-23CF-44E3-9099-C40C66FF867C}">
                  <a14:compatExt spid="_x0000_s33356"/>
                </a:ext>
                <a:ext uri="{FF2B5EF4-FFF2-40B4-BE49-F238E27FC236}">
                  <a16:creationId xmlns:a16="http://schemas.microsoft.com/office/drawing/2014/main" id="{00000000-0008-0000-1E00-00004C82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438150</xdr:colOff>
          <xdr:row>0</xdr:row>
          <xdr:rowOff>800100</xdr:rowOff>
        </xdr:from>
        <xdr:to>
          <xdr:col>12</xdr:col>
          <xdr:colOff>85725</xdr:colOff>
          <xdr:row>1</xdr:row>
          <xdr:rowOff>0</xdr:rowOff>
        </xdr:to>
        <xdr:sp macro="" textlink="">
          <xdr:nvSpPr>
            <xdr:cNvPr id="33417" name="Label 649" hidden="1">
              <a:extLst>
                <a:ext uri="{63B3BB69-23CF-44E3-9099-C40C66FF867C}">
                  <a14:compatExt spid="_x0000_s33417"/>
                </a:ext>
                <a:ext uri="{FF2B5EF4-FFF2-40B4-BE49-F238E27FC236}">
                  <a16:creationId xmlns:a16="http://schemas.microsoft.com/office/drawing/2014/main" id="{00000000-0008-0000-1E00-00008982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161925</xdr:colOff>
          <xdr:row>0</xdr:row>
          <xdr:rowOff>800100</xdr:rowOff>
        </xdr:from>
        <xdr:to>
          <xdr:col>13</xdr:col>
          <xdr:colOff>990600</xdr:colOff>
          <xdr:row>1</xdr:row>
          <xdr:rowOff>0</xdr:rowOff>
        </xdr:to>
        <xdr:sp macro="" textlink="">
          <xdr:nvSpPr>
            <xdr:cNvPr id="33418" name="Label 650" hidden="1">
              <a:extLst>
                <a:ext uri="{63B3BB69-23CF-44E3-9099-C40C66FF867C}">
                  <a14:compatExt spid="_x0000_s33418"/>
                </a:ext>
                <a:ext uri="{FF2B5EF4-FFF2-40B4-BE49-F238E27FC236}">
                  <a16:creationId xmlns:a16="http://schemas.microsoft.com/office/drawing/2014/main" id="{00000000-0008-0000-1E00-00008A82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xdr:twoCellAnchor>
    <xdr:from>
      <xdr:col>0</xdr:col>
      <xdr:colOff>0</xdr:colOff>
      <xdr:row>0</xdr:row>
      <xdr:rowOff>0</xdr:rowOff>
    </xdr:from>
    <xdr:to>
      <xdr:col>14</xdr:col>
      <xdr:colOff>352425</xdr:colOff>
      <xdr:row>1</xdr:row>
      <xdr:rowOff>0</xdr:rowOff>
    </xdr:to>
    <xdr:grpSp>
      <xdr:nvGrpSpPr>
        <xdr:cNvPr id="48293" name="Groep 8">
          <a:extLst>
            <a:ext uri="{FF2B5EF4-FFF2-40B4-BE49-F238E27FC236}">
              <a16:creationId xmlns:a16="http://schemas.microsoft.com/office/drawing/2014/main" id="{00000000-0008-0000-1F00-0000A5BC0000}"/>
            </a:ext>
          </a:extLst>
        </xdr:cNvPr>
        <xdr:cNvGrpSpPr>
          <a:grpSpLocks/>
        </xdr:cNvGrpSpPr>
      </xdr:nvGrpSpPr>
      <xdr:grpSpPr bwMode="auto">
        <a:xfrm>
          <a:off x="0" y="0"/>
          <a:ext cx="12877800" cy="1295400"/>
          <a:chOff x="0" y="0"/>
          <a:chExt cx="12875419" cy="1297781"/>
        </a:xfrm>
      </xdr:grpSpPr>
      <xdr:pic>
        <xdr:nvPicPr>
          <xdr:cNvPr id="48298" name="Picture 14" descr="Header_Calculator_300dpi_2">
            <a:extLst>
              <a:ext uri="{FF2B5EF4-FFF2-40B4-BE49-F238E27FC236}">
                <a16:creationId xmlns:a16="http://schemas.microsoft.com/office/drawing/2014/main" id="{00000000-0008-0000-1F00-0000AABC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2875419" cy="12977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48299" name="Afbeelding 10">
            <a:extLst>
              <a:ext uri="{FF2B5EF4-FFF2-40B4-BE49-F238E27FC236}">
                <a16:creationId xmlns:a16="http://schemas.microsoft.com/office/drawing/2014/main" id="{00000000-0008-0000-1F00-0000ABBC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7576"/>
          <a:stretch>
            <a:fillRect/>
          </a:stretch>
        </xdr:blipFill>
        <xdr:spPr bwMode="auto">
          <a:xfrm>
            <a:off x="0" y="1"/>
            <a:ext cx="5107781" cy="12891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twoCellAnchor editAs="oneCell">
    <xdr:from>
      <xdr:col>14</xdr:col>
      <xdr:colOff>1162050</xdr:colOff>
      <xdr:row>0</xdr:row>
      <xdr:rowOff>0</xdr:rowOff>
    </xdr:from>
    <xdr:to>
      <xdr:col>24</xdr:col>
      <xdr:colOff>171450</xdr:colOff>
      <xdr:row>1</xdr:row>
      <xdr:rowOff>0</xdr:rowOff>
    </xdr:to>
    <xdr:pic>
      <xdr:nvPicPr>
        <xdr:cNvPr id="48294" name="Picture 17" descr="Header_Ziffern_300dpi_rgb">
          <a:extLst>
            <a:ext uri="{FF2B5EF4-FFF2-40B4-BE49-F238E27FC236}">
              <a16:creationId xmlns:a16="http://schemas.microsoft.com/office/drawing/2014/main" id="{00000000-0008-0000-1F00-0000A6BC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3325475" y="0"/>
          <a:ext cx="12887325" cy="1295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285750</xdr:colOff>
      <xdr:row>0</xdr:row>
      <xdr:rowOff>133350</xdr:rowOff>
    </xdr:from>
    <xdr:to>
      <xdr:col>10</xdr:col>
      <xdr:colOff>295275</xdr:colOff>
      <xdr:row>0</xdr:row>
      <xdr:rowOff>295275</xdr:rowOff>
    </xdr:to>
    <xdr:sp macro="" textlink="">
      <xdr:nvSpPr>
        <xdr:cNvPr id="3090" name="WordArt 18">
          <a:hlinkClick xmlns:r="http://schemas.openxmlformats.org/officeDocument/2006/relationships" r:id="rId4"/>
          <a:extLst>
            <a:ext uri="{FF2B5EF4-FFF2-40B4-BE49-F238E27FC236}">
              <a16:creationId xmlns:a16="http://schemas.microsoft.com/office/drawing/2014/main" id="{00000000-0008-0000-1F00-0000120C0000}"/>
            </a:ext>
          </a:extLst>
        </xdr:cNvPr>
        <xdr:cNvSpPr>
          <a:spLocks noChangeArrowheads="1" noChangeShapeType="1" noTextEdit="1"/>
        </xdr:cNvSpPr>
      </xdr:nvSpPr>
      <xdr:spPr bwMode="auto">
        <a:xfrm>
          <a:off x="8181975" y="133350"/>
          <a:ext cx="1438275" cy="161925"/>
        </a:xfrm>
        <a:prstGeom prst="rect">
          <a:avLst/>
        </a:prstGeom>
      </xdr:spPr>
      <xdr:txBody>
        <a:bodyPr wrap="none" fromWordArt="1">
          <a:prstTxWarp prst="textPlain">
            <a:avLst>
              <a:gd name="adj" fmla="val 50000"/>
            </a:avLst>
          </a:prstTxWarp>
        </a:bodyPr>
        <a:lstStyle/>
        <a:p>
          <a:pPr algn="ctr" rtl="0"/>
          <a:r>
            <a:rPr lang="fr-FR" sz="800" kern="10" spc="0">
              <a:ln w="9525">
                <a:noFill/>
                <a:round/>
                <a:headEnd/>
                <a:tailEnd/>
              </a:ln>
              <a:noFill/>
              <a:effectLst/>
              <a:latin typeface="Arial Black"/>
            </a:rPr>
            <a:t>www.biograce.net</a:t>
          </a:r>
        </a:p>
      </xdr:txBody>
    </xdr:sp>
    <xdr:clientData/>
  </xdr:twoCellAnchor>
  <xdr:twoCellAnchor>
    <xdr:from>
      <xdr:col>10</xdr:col>
      <xdr:colOff>514350</xdr:colOff>
      <xdr:row>0</xdr:row>
      <xdr:rowOff>0</xdr:rowOff>
    </xdr:from>
    <xdr:to>
      <xdr:col>13</xdr:col>
      <xdr:colOff>133350</xdr:colOff>
      <xdr:row>0</xdr:row>
      <xdr:rowOff>266700</xdr:rowOff>
    </xdr:to>
    <xdr:sp macro="" textlink="">
      <xdr:nvSpPr>
        <xdr:cNvPr id="48135" name="WordArt 19">
          <a:hlinkClick xmlns:r="http://schemas.openxmlformats.org/officeDocument/2006/relationships" r:id="rId5"/>
          <a:extLst>
            <a:ext uri="{FF2B5EF4-FFF2-40B4-BE49-F238E27FC236}">
              <a16:creationId xmlns:a16="http://schemas.microsoft.com/office/drawing/2014/main" id="{00000000-0008-0000-1F00-000007BC0000}"/>
            </a:ext>
          </a:extLst>
        </xdr:cNvPr>
        <xdr:cNvSpPr>
          <a:spLocks noChangeArrowheads="1" noChangeShapeType="1" noTextEdit="1"/>
        </xdr:cNvSpPr>
      </xdr:nvSpPr>
      <xdr:spPr bwMode="auto">
        <a:xfrm>
          <a:off x="9820275" y="0"/>
          <a:ext cx="2047875" cy="266700"/>
        </a:xfrm>
        <a:prstGeom prst="rect">
          <a:avLst/>
        </a:prstGeom>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txBody>
        <a:bodyPr vertOverflow="clip" wrap="none" lIns="91440" tIns="45720" rIns="91440" bIns="45720" fromWordArt="1" anchor="t">
          <a:prstTxWarp prst="textPlain">
            <a:avLst>
              <a:gd name="adj" fmla="val 50000"/>
            </a:avLst>
          </a:prstTxWarp>
        </a:bodyPr>
        <a:lstStyle/>
        <a:p>
          <a:pPr algn="ctr" rtl="0">
            <a:buNone/>
          </a:pPr>
          <a:r>
            <a:rPr lang="nl-NL" sz="800" kern="10" cap="small" spc="0">
              <a:ln>
                <a:noFill/>
              </a:ln>
              <a:noFill/>
              <a:latin typeface="Arial Black"/>
            </a:rPr>
            <a:t>intelligent energy europe</a:t>
          </a:r>
        </a:p>
      </xdr:txBody>
    </xdr:sp>
    <xdr:clientData/>
  </xdr:twoCellAnchor>
  <xdr:twoCellAnchor>
    <xdr:from>
      <xdr:col>13</xdr:col>
      <xdr:colOff>219075</xdr:colOff>
      <xdr:row>0</xdr:row>
      <xdr:rowOff>914400</xdr:rowOff>
    </xdr:from>
    <xdr:to>
      <xdr:col>14</xdr:col>
      <xdr:colOff>228600</xdr:colOff>
      <xdr:row>0</xdr:row>
      <xdr:rowOff>1285875</xdr:rowOff>
    </xdr:to>
    <xdr:sp macro="" textlink="">
      <xdr:nvSpPr>
        <xdr:cNvPr id="3093" name="WordArt 21">
          <a:hlinkClick xmlns:r="http://schemas.openxmlformats.org/officeDocument/2006/relationships" r:id="rId6"/>
          <a:extLst>
            <a:ext uri="{FF2B5EF4-FFF2-40B4-BE49-F238E27FC236}">
              <a16:creationId xmlns:a16="http://schemas.microsoft.com/office/drawing/2014/main" id="{00000000-0008-0000-1F00-0000150C0000}"/>
            </a:ext>
          </a:extLst>
        </xdr:cNvPr>
        <xdr:cNvSpPr>
          <a:spLocks noChangeArrowheads="1" noChangeShapeType="1" noTextEdit="1"/>
        </xdr:cNvSpPr>
      </xdr:nvSpPr>
      <xdr:spPr bwMode="auto">
        <a:xfrm>
          <a:off x="10868025" y="914400"/>
          <a:ext cx="800100" cy="371475"/>
        </a:xfrm>
        <a:prstGeom prst="rect">
          <a:avLst/>
        </a:prstGeom>
      </xdr:spPr>
      <xdr:txBody>
        <a:bodyPr wrap="none" fromWordArt="1">
          <a:prstTxWarp prst="textPlain">
            <a:avLst>
              <a:gd name="adj" fmla="val 50000"/>
            </a:avLst>
          </a:prstTxWarp>
        </a:bodyPr>
        <a:lstStyle/>
        <a:p>
          <a:pPr algn="ctr" rtl="0"/>
          <a:r>
            <a:rPr lang="fr-FR" sz="1000" kern="10" spc="0">
              <a:ln w="9525">
                <a:noFill/>
                <a:round/>
                <a:headEnd/>
                <a:tailEnd/>
              </a:ln>
              <a:noFill/>
              <a:effectLst/>
              <a:latin typeface="Arial Black"/>
            </a:rPr>
            <a:t>Directory</a:t>
          </a:r>
        </a:p>
      </xdr:txBody>
    </xdr:sp>
    <xdr:clientData/>
  </xdr:twoCellAnchor>
  <mc:AlternateContent xmlns:mc="http://schemas.openxmlformats.org/markup-compatibility/2006">
    <mc:Choice xmlns:a14="http://schemas.microsoft.com/office/drawing/2010/main" Requires="a14">
      <xdr:twoCellAnchor>
        <xdr:from>
          <xdr:col>10</xdr:col>
          <xdr:colOff>619125</xdr:colOff>
          <xdr:row>0</xdr:row>
          <xdr:rowOff>800100</xdr:rowOff>
        </xdr:from>
        <xdr:to>
          <xdr:col>11</xdr:col>
          <xdr:colOff>771525</xdr:colOff>
          <xdr:row>1</xdr:row>
          <xdr:rowOff>0</xdr:rowOff>
        </xdr:to>
        <xdr:sp macro="" textlink="">
          <xdr:nvSpPr>
            <xdr:cNvPr id="48139" name="Label 11" hidden="1">
              <a:extLst>
                <a:ext uri="{63B3BB69-23CF-44E3-9099-C40C66FF867C}">
                  <a14:compatExt spid="_x0000_s48139"/>
                </a:ext>
                <a:ext uri="{FF2B5EF4-FFF2-40B4-BE49-F238E27FC236}">
                  <a16:creationId xmlns:a16="http://schemas.microsoft.com/office/drawing/2014/main" id="{00000000-0008-0000-1F00-00000BB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847725</xdr:colOff>
          <xdr:row>0</xdr:row>
          <xdr:rowOff>800100</xdr:rowOff>
        </xdr:from>
        <xdr:to>
          <xdr:col>13</xdr:col>
          <xdr:colOff>133350</xdr:colOff>
          <xdr:row>1</xdr:row>
          <xdr:rowOff>0</xdr:rowOff>
        </xdr:to>
        <xdr:sp macro="" textlink="">
          <xdr:nvSpPr>
            <xdr:cNvPr id="48140" name="Label 12" hidden="1">
              <a:extLst>
                <a:ext uri="{63B3BB69-23CF-44E3-9099-C40C66FF867C}">
                  <a14:compatExt spid="_x0000_s48140"/>
                </a:ext>
                <a:ext uri="{FF2B5EF4-FFF2-40B4-BE49-F238E27FC236}">
                  <a16:creationId xmlns:a16="http://schemas.microsoft.com/office/drawing/2014/main" id="{00000000-0008-0000-1F00-00000CB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xdr:twoCellAnchor>
    <xdr:from>
      <xdr:col>0</xdr:col>
      <xdr:colOff>0</xdr:colOff>
      <xdr:row>0</xdr:row>
      <xdr:rowOff>0</xdr:rowOff>
    </xdr:from>
    <xdr:to>
      <xdr:col>14</xdr:col>
      <xdr:colOff>352425</xdr:colOff>
      <xdr:row>1</xdr:row>
      <xdr:rowOff>0</xdr:rowOff>
    </xdr:to>
    <xdr:grpSp>
      <xdr:nvGrpSpPr>
        <xdr:cNvPr id="3982" name="Groep 8">
          <a:extLst>
            <a:ext uri="{FF2B5EF4-FFF2-40B4-BE49-F238E27FC236}">
              <a16:creationId xmlns:a16="http://schemas.microsoft.com/office/drawing/2014/main" id="{00000000-0008-0000-2000-00008E0F0000}"/>
            </a:ext>
          </a:extLst>
        </xdr:cNvPr>
        <xdr:cNvGrpSpPr>
          <a:grpSpLocks/>
        </xdr:cNvGrpSpPr>
      </xdr:nvGrpSpPr>
      <xdr:grpSpPr bwMode="auto">
        <a:xfrm>
          <a:off x="0" y="0"/>
          <a:ext cx="12877800" cy="1295400"/>
          <a:chOff x="0" y="0"/>
          <a:chExt cx="12875419" cy="1297781"/>
        </a:xfrm>
      </xdr:grpSpPr>
      <xdr:pic>
        <xdr:nvPicPr>
          <xdr:cNvPr id="3987" name="Picture 14" descr="Header_Calculator_300dpi_2">
            <a:extLst>
              <a:ext uri="{FF2B5EF4-FFF2-40B4-BE49-F238E27FC236}">
                <a16:creationId xmlns:a16="http://schemas.microsoft.com/office/drawing/2014/main" id="{00000000-0008-0000-2000-0000930F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2875419" cy="12977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3988" name="Afbeelding 10">
            <a:extLst>
              <a:ext uri="{FF2B5EF4-FFF2-40B4-BE49-F238E27FC236}">
                <a16:creationId xmlns:a16="http://schemas.microsoft.com/office/drawing/2014/main" id="{00000000-0008-0000-2000-0000940F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7576"/>
          <a:stretch>
            <a:fillRect/>
          </a:stretch>
        </xdr:blipFill>
        <xdr:spPr bwMode="auto">
          <a:xfrm>
            <a:off x="0" y="1"/>
            <a:ext cx="5107781" cy="12891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twoCellAnchor editAs="oneCell">
    <xdr:from>
      <xdr:col>14</xdr:col>
      <xdr:colOff>1162050</xdr:colOff>
      <xdr:row>0</xdr:row>
      <xdr:rowOff>0</xdr:rowOff>
    </xdr:from>
    <xdr:to>
      <xdr:col>24</xdr:col>
      <xdr:colOff>171450</xdr:colOff>
      <xdr:row>1</xdr:row>
      <xdr:rowOff>0</xdr:rowOff>
    </xdr:to>
    <xdr:pic>
      <xdr:nvPicPr>
        <xdr:cNvPr id="3983" name="Picture 17" descr="Header_Ziffern_300dpi_rgb">
          <a:extLst>
            <a:ext uri="{FF2B5EF4-FFF2-40B4-BE49-F238E27FC236}">
              <a16:creationId xmlns:a16="http://schemas.microsoft.com/office/drawing/2014/main" id="{00000000-0008-0000-2000-00008F0F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3325475" y="0"/>
          <a:ext cx="12887325" cy="1295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295275</xdr:colOff>
      <xdr:row>0</xdr:row>
      <xdr:rowOff>133350</xdr:rowOff>
    </xdr:from>
    <xdr:to>
      <xdr:col>10</xdr:col>
      <xdr:colOff>304800</xdr:colOff>
      <xdr:row>0</xdr:row>
      <xdr:rowOff>295275</xdr:rowOff>
    </xdr:to>
    <xdr:sp macro="" textlink="">
      <xdr:nvSpPr>
        <xdr:cNvPr id="3090" name="WordArt 18">
          <a:hlinkClick xmlns:r="http://schemas.openxmlformats.org/officeDocument/2006/relationships" r:id="rId4"/>
          <a:extLst>
            <a:ext uri="{FF2B5EF4-FFF2-40B4-BE49-F238E27FC236}">
              <a16:creationId xmlns:a16="http://schemas.microsoft.com/office/drawing/2014/main" id="{00000000-0008-0000-2000-0000120C0000}"/>
            </a:ext>
          </a:extLst>
        </xdr:cNvPr>
        <xdr:cNvSpPr>
          <a:spLocks noChangeArrowheads="1" noChangeShapeType="1" noTextEdit="1"/>
        </xdr:cNvSpPr>
      </xdr:nvSpPr>
      <xdr:spPr bwMode="auto">
        <a:xfrm>
          <a:off x="8181975" y="133350"/>
          <a:ext cx="1438275" cy="161925"/>
        </a:xfrm>
        <a:prstGeom prst="rect">
          <a:avLst/>
        </a:prstGeom>
      </xdr:spPr>
      <xdr:txBody>
        <a:bodyPr wrap="none" fromWordArt="1">
          <a:prstTxWarp prst="textPlain">
            <a:avLst>
              <a:gd name="adj" fmla="val 50000"/>
            </a:avLst>
          </a:prstTxWarp>
        </a:bodyPr>
        <a:lstStyle/>
        <a:p>
          <a:pPr algn="ctr" rtl="0"/>
          <a:r>
            <a:rPr lang="fr-FR" sz="800" kern="10" spc="0">
              <a:ln w="9525">
                <a:noFill/>
                <a:round/>
                <a:headEnd/>
                <a:tailEnd/>
              </a:ln>
              <a:noFill/>
              <a:effectLst/>
              <a:latin typeface="Arial Black"/>
            </a:rPr>
            <a:t>www.biograce.net</a:t>
          </a:r>
        </a:p>
      </xdr:txBody>
    </xdr:sp>
    <xdr:clientData/>
  </xdr:twoCellAnchor>
  <xdr:twoCellAnchor>
    <xdr:from>
      <xdr:col>10</xdr:col>
      <xdr:colOff>514350</xdr:colOff>
      <xdr:row>0</xdr:row>
      <xdr:rowOff>0</xdr:rowOff>
    </xdr:from>
    <xdr:to>
      <xdr:col>13</xdr:col>
      <xdr:colOff>152400</xdr:colOff>
      <xdr:row>0</xdr:row>
      <xdr:rowOff>266700</xdr:rowOff>
    </xdr:to>
    <xdr:sp macro="" textlink="">
      <xdr:nvSpPr>
        <xdr:cNvPr id="3822" name="WordArt 19">
          <a:hlinkClick xmlns:r="http://schemas.openxmlformats.org/officeDocument/2006/relationships" r:id="rId5"/>
          <a:extLst>
            <a:ext uri="{FF2B5EF4-FFF2-40B4-BE49-F238E27FC236}">
              <a16:creationId xmlns:a16="http://schemas.microsoft.com/office/drawing/2014/main" id="{00000000-0008-0000-2000-0000EE0E0000}"/>
            </a:ext>
          </a:extLst>
        </xdr:cNvPr>
        <xdr:cNvSpPr>
          <a:spLocks noChangeArrowheads="1" noChangeShapeType="1" noTextEdit="1"/>
        </xdr:cNvSpPr>
      </xdr:nvSpPr>
      <xdr:spPr bwMode="auto">
        <a:xfrm>
          <a:off x="9820275" y="0"/>
          <a:ext cx="2066925" cy="266700"/>
        </a:xfrm>
        <a:prstGeom prst="rect">
          <a:avLst/>
        </a:prstGeom>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txBody>
        <a:bodyPr vertOverflow="clip" wrap="none" lIns="91440" tIns="45720" rIns="91440" bIns="45720" fromWordArt="1" anchor="t">
          <a:prstTxWarp prst="textPlain">
            <a:avLst>
              <a:gd name="adj" fmla="val 50000"/>
            </a:avLst>
          </a:prstTxWarp>
        </a:bodyPr>
        <a:lstStyle/>
        <a:p>
          <a:pPr algn="ctr" rtl="0">
            <a:buNone/>
          </a:pPr>
          <a:r>
            <a:rPr lang="nl-NL" sz="800" kern="10" cap="small" spc="0">
              <a:ln>
                <a:noFill/>
              </a:ln>
              <a:noFill/>
              <a:latin typeface="Arial Black"/>
            </a:rPr>
            <a:t>intelligent energy europe</a:t>
          </a:r>
        </a:p>
      </xdr:txBody>
    </xdr:sp>
    <xdr:clientData/>
  </xdr:twoCellAnchor>
  <xdr:twoCellAnchor>
    <xdr:from>
      <xdr:col>13</xdr:col>
      <xdr:colOff>219075</xdr:colOff>
      <xdr:row>0</xdr:row>
      <xdr:rowOff>914400</xdr:rowOff>
    </xdr:from>
    <xdr:to>
      <xdr:col>14</xdr:col>
      <xdr:colOff>228600</xdr:colOff>
      <xdr:row>0</xdr:row>
      <xdr:rowOff>1285875</xdr:rowOff>
    </xdr:to>
    <xdr:sp macro="" textlink="">
      <xdr:nvSpPr>
        <xdr:cNvPr id="3093" name="WordArt 21">
          <a:hlinkClick xmlns:r="http://schemas.openxmlformats.org/officeDocument/2006/relationships" r:id="rId6"/>
          <a:extLst>
            <a:ext uri="{FF2B5EF4-FFF2-40B4-BE49-F238E27FC236}">
              <a16:creationId xmlns:a16="http://schemas.microsoft.com/office/drawing/2014/main" id="{00000000-0008-0000-2000-0000150C0000}"/>
            </a:ext>
          </a:extLst>
        </xdr:cNvPr>
        <xdr:cNvSpPr>
          <a:spLocks noChangeArrowheads="1" noChangeShapeType="1" noTextEdit="1"/>
        </xdr:cNvSpPr>
      </xdr:nvSpPr>
      <xdr:spPr bwMode="auto">
        <a:xfrm>
          <a:off x="10868025" y="914400"/>
          <a:ext cx="800100" cy="371475"/>
        </a:xfrm>
        <a:prstGeom prst="rect">
          <a:avLst/>
        </a:prstGeom>
      </xdr:spPr>
      <xdr:txBody>
        <a:bodyPr wrap="none" fromWordArt="1">
          <a:prstTxWarp prst="textPlain">
            <a:avLst>
              <a:gd name="adj" fmla="val 50000"/>
            </a:avLst>
          </a:prstTxWarp>
        </a:bodyPr>
        <a:lstStyle/>
        <a:p>
          <a:pPr algn="ctr" rtl="0"/>
          <a:r>
            <a:rPr lang="fr-FR" sz="1000" kern="10" spc="0">
              <a:ln w="9525">
                <a:noFill/>
                <a:round/>
                <a:headEnd/>
                <a:tailEnd/>
              </a:ln>
              <a:noFill/>
              <a:effectLst/>
              <a:latin typeface="Arial Black"/>
            </a:rPr>
            <a:t>Directory</a:t>
          </a:r>
        </a:p>
      </xdr:txBody>
    </xdr:sp>
    <xdr:clientData/>
  </xdr:twoCellAnchor>
  <mc:AlternateContent xmlns:mc="http://schemas.openxmlformats.org/markup-compatibility/2006">
    <mc:Choice xmlns:a14="http://schemas.microsoft.com/office/drawing/2010/main" Requires="a14">
      <xdr:twoCellAnchor>
        <xdr:from>
          <xdr:col>10</xdr:col>
          <xdr:colOff>619125</xdr:colOff>
          <xdr:row>0</xdr:row>
          <xdr:rowOff>800100</xdr:rowOff>
        </xdr:from>
        <xdr:to>
          <xdr:col>11</xdr:col>
          <xdr:colOff>771525</xdr:colOff>
          <xdr:row>1</xdr:row>
          <xdr:rowOff>0</xdr:rowOff>
        </xdr:to>
        <xdr:sp macro="" textlink="">
          <xdr:nvSpPr>
            <xdr:cNvPr id="3828" name="Label 756" hidden="1">
              <a:extLst>
                <a:ext uri="{63B3BB69-23CF-44E3-9099-C40C66FF867C}">
                  <a14:compatExt spid="_x0000_s3828"/>
                </a:ext>
                <a:ext uri="{FF2B5EF4-FFF2-40B4-BE49-F238E27FC236}">
                  <a16:creationId xmlns:a16="http://schemas.microsoft.com/office/drawing/2014/main" id="{00000000-0008-0000-2000-0000F40E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847725</xdr:colOff>
          <xdr:row>0</xdr:row>
          <xdr:rowOff>800100</xdr:rowOff>
        </xdr:from>
        <xdr:to>
          <xdr:col>13</xdr:col>
          <xdr:colOff>133350</xdr:colOff>
          <xdr:row>1</xdr:row>
          <xdr:rowOff>0</xdr:rowOff>
        </xdr:to>
        <xdr:sp macro="" textlink="">
          <xdr:nvSpPr>
            <xdr:cNvPr id="3829" name="Label 757" hidden="1">
              <a:extLst>
                <a:ext uri="{63B3BB69-23CF-44E3-9099-C40C66FF867C}">
                  <a14:compatExt spid="_x0000_s3829"/>
                </a:ext>
                <a:ext uri="{FF2B5EF4-FFF2-40B4-BE49-F238E27FC236}">
                  <a16:creationId xmlns:a16="http://schemas.microsoft.com/office/drawing/2014/main" id="{00000000-0008-0000-2000-0000F50E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xdr:twoCellAnchor>
    <xdr:from>
      <xdr:col>0</xdr:col>
      <xdr:colOff>0</xdr:colOff>
      <xdr:row>0</xdr:row>
      <xdr:rowOff>0</xdr:rowOff>
    </xdr:from>
    <xdr:to>
      <xdr:col>14</xdr:col>
      <xdr:colOff>342900</xdr:colOff>
      <xdr:row>1</xdr:row>
      <xdr:rowOff>0</xdr:rowOff>
    </xdr:to>
    <xdr:grpSp>
      <xdr:nvGrpSpPr>
        <xdr:cNvPr id="2971" name="Groep 7">
          <a:extLst>
            <a:ext uri="{FF2B5EF4-FFF2-40B4-BE49-F238E27FC236}">
              <a16:creationId xmlns:a16="http://schemas.microsoft.com/office/drawing/2014/main" id="{00000000-0008-0000-2100-00009B0B0000}"/>
            </a:ext>
          </a:extLst>
        </xdr:cNvPr>
        <xdr:cNvGrpSpPr>
          <a:grpSpLocks/>
        </xdr:cNvGrpSpPr>
      </xdr:nvGrpSpPr>
      <xdr:grpSpPr bwMode="auto">
        <a:xfrm>
          <a:off x="0" y="0"/>
          <a:ext cx="12880181" cy="1297781"/>
          <a:chOff x="0" y="0"/>
          <a:chExt cx="12875419" cy="1297781"/>
        </a:xfrm>
      </xdr:grpSpPr>
      <xdr:pic>
        <xdr:nvPicPr>
          <xdr:cNvPr id="2975" name="Picture 14" descr="Header_Calculator_300dpi_2">
            <a:extLst>
              <a:ext uri="{FF2B5EF4-FFF2-40B4-BE49-F238E27FC236}">
                <a16:creationId xmlns:a16="http://schemas.microsoft.com/office/drawing/2014/main" id="{00000000-0008-0000-2100-00009F0B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2875419" cy="12977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2976" name="Afbeelding 9">
            <a:extLst>
              <a:ext uri="{FF2B5EF4-FFF2-40B4-BE49-F238E27FC236}">
                <a16:creationId xmlns:a16="http://schemas.microsoft.com/office/drawing/2014/main" id="{00000000-0008-0000-2100-0000A00B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7576"/>
          <a:stretch>
            <a:fillRect/>
          </a:stretch>
        </xdr:blipFill>
        <xdr:spPr bwMode="auto">
          <a:xfrm>
            <a:off x="0" y="1"/>
            <a:ext cx="5107781" cy="12891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twoCellAnchor editAs="oneCell">
    <xdr:from>
      <xdr:col>15</xdr:col>
      <xdr:colOff>0</xdr:colOff>
      <xdr:row>0</xdr:row>
      <xdr:rowOff>0</xdr:rowOff>
    </xdr:from>
    <xdr:to>
      <xdr:col>21</xdr:col>
      <xdr:colOff>76200</xdr:colOff>
      <xdr:row>1</xdr:row>
      <xdr:rowOff>0</xdr:rowOff>
    </xdr:to>
    <xdr:pic>
      <xdr:nvPicPr>
        <xdr:cNvPr id="2972" name="Picture 46" descr="Header_Ziffern_300dpi_rgb">
          <a:extLst>
            <a:ext uri="{FF2B5EF4-FFF2-40B4-BE49-F238E27FC236}">
              <a16:creationId xmlns:a16="http://schemas.microsoft.com/office/drawing/2014/main" id="{00000000-0008-0000-2100-00009C0B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3335000" y="0"/>
          <a:ext cx="15592425" cy="1295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285750</xdr:colOff>
      <xdr:row>0</xdr:row>
      <xdr:rowOff>133350</xdr:rowOff>
    </xdr:from>
    <xdr:to>
      <xdr:col>10</xdr:col>
      <xdr:colOff>295275</xdr:colOff>
      <xdr:row>0</xdr:row>
      <xdr:rowOff>295275</xdr:rowOff>
    </xdr:to>
    <xdr:sp macro="" textlink="">
      <xdr:nvSpPr>
        <xdr:cNvPr id="2095" name="WordArt 47">
          <a:hlinkClick xmlns:r="http://schemas.openxmlformats.org/officeDocument/2006/relationships" r:id="rId4"/>
          <a:extLst>
            <a:ext uri="{FF2B5EF4-FFF2-40B4-BE49-F238E27FC236}">
              <a16:creationId xmlns:a16="http://schemas.microsoft.com/office/drawing/2014/main" id="{00000000-0008-0000-2100-00002F080000}"/>
            </a:ext>
          </a:extLst>
        </xdr:cNvPr>
        <xdr:cNvSpPr>
          <a:spLocks noChangeArrowheads="1" noChangeShapeType="1" noTextEdit="1"/>
        </xdr:cNvSpPr>
      </xdr:nvSpPr>
      <xdr:spPr bwMode="auto">
        <a:xfrm>
          <a:off x="8991600" y="142875"/>
          <a:ext cx="1438275" cy="161925"/>
        </a:xfrm>
        <a:prstGeom prst="rect">
          <a:avLst/>
        </a:prstGeom>
      </xdr:spPr>
      <xdr:txBody>
        <a:bodyPr wrap="none" fromWordArt="1">
          <a:prstTxWarp prst="textPlain">
            <a:avLst>
              <a:gd name="adj" fmla="val 50000"/>
            </a:avLst>
          </a:prstTxWarp>
        </a:bodyPr>
        <a:lstStyle/>
        <a:p>
          <a:pPr algn="ctr" rtl="0"/>
          <a:r>
            <a:rPr lang="fr-FR" sz="800" kern="10" spc="0">
              <a:ln w="9525">
                <a:noFill/>
                <a:round/>
                <a:headEnd/>
                <a:tailEnd/>
              </a:ln>
              <a:noFill/>
              <a:effectLst/>
              <a:latin typeface="Arial Black"/>
            </a:rPr>
            <a:t>www.biograce.net</a:t>
          </a:r>
        </a:p>
      </xdr:txBody>
    </xdr:sp>
    <xdr:clientData/>
  </xdr:twoCellAnchor>
  <xdr:twoCellAnchor>
    <xdr:from>
      <xdr:col>10</xdr:col>
      <xdr:colOff>504825</xdr:colOff>
      <xdr:row>0</xdr:row>
      <xdr:rowOff>9525</xdr:rowOff>
    </xdr:from>
    <xdr:to>
      <xdr:col>13</xdr:col>
      <xdr:colOff>190500</xdr:colOff>
      <xdr:row>0</xdr:row>
      <xdr:rowOff>276225</xdr:rowOff>
    </xdr:to>
    <xdr:sp macro="" textlink="">
      <xdr:nvSpPr>
        <xdr:cNvPr id="2098" name="WordArt 50">
          <a:hlinkClick xmlns:r="http://schemas.openxmlformats.org/officeDocument/2006/relationships" r:id="rId5"/>
          <a:extLst>
            <a:ext uri="{FF2B5EF4-FFF2-40B4-BE49-F238E27FC236}">
              <a16:creationId xmlns:a16="http://schemas.microsoft.com/office/drawing/2014/main" id="{00000000-0008-0000-2100-000032080000}"/>
            </a:ext>
          </a:extLst>
        </xdr:cNvPr>
        <xdr:cNvSpPr>
          <a:spLocks noChangeArrowheads="1" noChangeShapeType="1" noTextEdit="1"/>
        </xdr:cNvSpPr>
      </xdr:nvSpPr>
      <xdr:spPr bwMode="auto">
        <a:xfrm>
          <a:off x="9801225" y="9525"/>
          <a:ext cx="2124075" cy="266700"/>
        </a:xfrm>
        <a:prstGeom prst="rect">
          <a:avLst/>
        </a:prstGeom>
      </xdr:spPr>
      <xdr:txBody>
        <a:bodyPr wrap="none" fromWordArt="1">
          <a:prstTxWarp prst="textPlain">
            <a:avLst>
              <a:gd name="adj" fmla="val 50000"/>
            </a:avLst>
          </a:prstTxWarp>
        </a:bodyPr>
        <a:lstStyle/>
        <a:p>
          <a:pPr algn="ctr" rtl="0"/>
          <a:r>
            <a:rPr lang="fr-FR" sz="800" kern="10" spc="0">
              <a:ln w="9525">
                <a:noFill/>
                <a:round/>
                <a:headEnd/>
                <a:tailEnd/>
              </a:ln>
              <a:noFill/>
              <a:effectLst/>
              <a:latin typeface="Arial Black"/>
            </a:rPr>
            <a:t>intelligent energy europe</a:t>
          </a:r>
        </a:p>
      </xdr:txBody>
    </xdr:sp>
    <xdr:clientData/>
  </xdr:twoCellAnchor>
  <mc:AlternateContent xmlns:mc="http://schemas.openxmlformats.org/markup-compatibility/2006">
    <mc:Choice xmlns:a14="http://schemas.microsoft.com/office/drawing/2010/main" Requires="a14">
      <xdr:twoCellAnchor>
        <xdr:from>
          <xdr:col>10</xdr:col>
          <xdr:colOff>657225</xdr:colOff>
          <xdr:row>0</xdr:row>
          <xdr:rowOff>790575</xdr:rowOff>
        </xdr:from>
        <xdr:to>
          <xdr:col>11</xdr:col>
          <xdr:colOff>809625</xdr:colOff>
          <xdr:row>0</xdr:row>
          <xdr:rowOff>1285875</xdr:rowOff>
        </xdr:to>
        <xdr:sp macro="" textlink="">
          <xdr:nvSpPr>
            <xdr:cNvPr id="2845" name="Label 797" hidden="1">
              <a:extLst>
                <a:ext uri="{63B3BB69-23CF-44E3-9099-C40C66FF867C}">
                  <a14:compatExt spid="_x0000_s2845"/>
                </a:ext>
                <a:ext uri="{FF2B5EF4-FFF2-40B4-BE49-F238E27FC236}">
                  <a16:creationId xmlns:a16="http://schemas.microsoft.com/office/drawing/2014/main" id="{00000000-0008-0000-2100-00001D0B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885825</xdr:colOff>
          <xdr:row>0</xdr:row>
          <xdr:rowOff>790575</xdr:rowOff>
        </xdr:from>
        <xdr:to>
          <xdr:col>13</xdr:col>
          <xdr:colOff>161925</xdr:colOff>
          <xdr:row>0</xdr:row>
          <xdr:rowOff>1285875</xdr:rowOff>
        </xdr:to>
        <xdr:sp macro="" textlink="">
          <xdr:nvSpPr>
            <xdr:cNvPr id="2846" name="Label 798" hidden="1">
              <a:extLst>
                <a:ext uri="{63B3BB69-23CF-44E3-9099-C40C66FF867C}">
                  <a14:compatExt spid="_x0000_s2846"/>
                </a:ext>
                <a:ext uri="{FF2B5EF4-FFF2-40B4-BE49-F238E27FC236}">
                  <a16:creationId xmlns:a16="http://schemas.microsoft.com/office/drawing/2014/main" id="{00000000-0008-0000-2100-00001E0B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gNL/BAS%20-%20I-schijf%20op%20Fil08/_lopende%20BASprogrammas/BIOGRACE-II/5%20Progr%20Uitvoering/WP3%20Excel%20tool/Version%203/BioGrace-II%20Excel%20tool%20-%20version%203_0_1%20-%202015-02-06.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arning - macro security level"/>
      <sheetName val="Start (macro's disabled)"/>
      <sheetName val="Start"/>
      <sheetName val="Version management"/>
      <sheetName val="About"/>
      <sheetName val="Directory"/>
      <sheetName val="LUC"/>
      <sheetName val="Esca"/>
      <sheetName val="N2O emissions IPCC"/>
      <sheetName val="N2O emissions GNOC"/>
      <sheetName val="Bg-co-dig_actual"/>
      <sheetName val="Bm-co-dig_actual"/>
      <sheetName val="Co-dig_default"/>
      <sheetName val="Calculate efficiencies"/>
      <sheetName val="Final conv. only"/>
      <sheetName val="Final conv. only (mult. heat)"/>
      <sheetName val="Ch-F_r"/>
      <sheetName val="Ch-SRC_Eucal"/>
      <sheetName val="Ch-SRC_Poplar"/>
      <sheetName val="Ch-Stwd"/>
      <sheetName val="Ch-I_r"/>
      <sheetName val="Pe-F_r"/>
      <sheetName val="Pe-SRC_Eucal"/>
      <sheetName val="Pe-SRC_Poplar"/>
      <sheetName val="Pe-Stwd"/>
      <sheetName val="Pe-I_r"/>
      <sheetName val="A_r"/>
      <sheetName val="Pe-Str"/>
      <sheetName val="Pe-Bag"/>
      <sheetName val="PKM"/>
      <sheetName val="PVO-Rs"/>
      <sheetName val="PVO-Sf"/>
      <sheetName val="PVO-Sy"/>
      <sheetName val="PVO-Ja"/>
      <sheetName val="PVO-Po"/>
      <sheetName val="PVO-Wo"/>
      <sheetName val="Bg-wMa"/>
      <sheetName val="Bg-Mze"/>
      <sheetName val="Bg-Bw"/>
      <sheetName val="Bm-wMa"/>
      <sheetName val="Bm-Mze"/>
      <sheetName val="Bm-Bw"/>
      <sheetName val="Options pathway configuration"/>
      <sheetName val="User specific calculations"/>
      <sheetName val="User defined standard values"/>
      <sheetName val="Standard values"/>
      <sheetName val="BioGrace-II Excel tool - versio"/>
    </sheetNames>
    <definedNames>
      <definedName name="GoToAbout"/>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sheetData sheetId="43" refreshError="1"/>
      <sheetData sheetId="44" refreshError="1"/>
      <sheetData sheetId="45" refreshError="1"/>
      <sheetData sheetId="46"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hyperlink" Target="http://www.biograce.net./" TargetMode="External"/><Relationship Id="rId7" Type="http://schemas.openxmlformats.org/officeDocument/2006/relationships/vmlDrawing" Target="../drawings/vmlDrawing3.vml"/><Relationship Id="rId2" Type="http://schemas.openxmlformats.org/officeDocument/2006/relationships/hyperlink" Target="http://iet.jrc.ec.europa.eu/about-jec/" TargetMode="External"/><Relationship Id="rId1" Type="http://schemas.openxmlformats.org/officeDocument/2006/relationships/hyperlink" Target="http://re.jrc.ec.europa.eu/biof/xls/Biofuels%20pathways%20RED%20method%2014Nov2008.xls" TargetMode="External"/><Relationship Id="rId6" Type="http://schemas.openxmlformats.org/officeDocument/2006/relationships/drawing" Target="../drawings/drawing4.xml"/><Relationship Id="rId5" Type="http://schemas.openxmlformats.org/officeDocument/2006/relationships/printerSettings" Target="../printerSettings/printerSettings2.bin"/><Relationship Id="rId4" Type="http://schemas.openxmlformats.org/officeDocument/2006/relationships/hyperlink" Target="http://ec.europa.eu/energy/intelligent/" TargetMode="External"/><Relationship Id="rId9"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hyperlink" Target="http://www.ipcc-nggip.iges.or.jp/public/2006gl/pdf/4_Volume4/V4_02_Ch2_Generic.pdf" TargetMode="External"/><Relationship Id="rId7" Type="http://schemas.openxmlformats.org/officeDocument/2006/relationships/image" Target="../media/image11.emf"/><Relationship Id="rId2" Type="http://schemas.openxmlformats.org/officeDocument/2006/relationships/hyperlink" Target="http://eur-lex.europa.eu/LexUriServ/LexUriServ.do?uri=OJ:L:2010:151:0019:0041:EN:PDF" TargetMode="External"/><Relationship Id="rId1" Type="http://schemas.openxmlformats.org/officeDocument/2006/relationships/hyperlink" Target="http://eur-lex.europa.eu/LexUriServ/LexUriServ.do?uri=OJ:L:2010:151:0019:0041:EN:PDF" TargetMode="External"/><Relationship Id="rId6" Type="http://schemas.openxmlformats.org/officeDocument/2006/relationships/control" Target="../activeX/activeX2.xml"/><Relationship Id="rId5" Type="http://schemas.openxmlformats.org/officeDocument/2006/relationships/vmlDrawing" Target="../drawings/vmlDrawing5.vml"/><Relationship Id="rId10" Type="http://schemas.openxmlformats.org/officeDocument/2006/relationships/comments" Target="../comments1.xml"/><Relationship Id="rId4" Type="http://schemas.openxmlformats.org/officeDocument/2006/relationships/drawing" Target="../drawings/drawing6.xml"/><Relationship Id="rId9" Type="http://schemas.openxmlformats.org/officeDocument/2006/relationships/ctrlProp" Target="../ctrlProps/ctrlProp9.xml"/></Relationships>
</file>

<file path=xl/worksheets/_rels/sheet7.xml.rels><?xml version="1.0" encoding="UTF-8" standalone="yes"?>
<Relationships xmlns="http://schemas.openxmlformats.org/package/2006/relationships"><Relationship Id="rId3" Type="http://schemas.openxmlformats.org/officeDocument/2006/relationships/hyperlink" Target="http://www.ipcc-nggip.iges.or.jp/public/2006gl/pdf/4_Volume4/V4_02_Ch2_Generic.pdf" TargetMode="External"/><Relationship Id="rId7" Type="http://schemas.openxmlformats.org/officeDocument/2006/relationships/ctrlProp" Target="../ctrlProps/ctrlProp11.xml"/><Relationship Id="rId2" Type="http://schemas.openxmlformats.org/officeDocument/2006/relationships/hyperlink" Target="http://eur-lex.europa.eu/LexUriServ/LexUriServ.do?uri=OJ:L:2010:151:0019:0041:EN:PDF" TargetMode="External"/><Relationship Id="rId1" Type="http://schemas.openxmlformats.org/officeDocument/2006/relationships/hyperlink" Target="http://eur-lex.europa.eu/LexUriServ/LexUriServ.do?uri=OJ:L:2010:151:0019:0041:EN:PDF" TargetMode="External"/><Relationship Id="rId6" Type="http://schemas.openxmlformats.org/officeDocument/2006/relationships/ctrlProp" Target="../ctrlProps/ctrlProp10.xml"/><Relationship Id="rId5" Type="http://schemas.openxmlformats.org/officeDocument/2006/relationships/vmlDrawing" Target="../drawings/vmlDrawing6.vml"/><Relationship Id="rId4"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7.vml"/><Relationship Id="rId1" Type="http://schemas.openxmlformats.org/officeDocument/2006/relationships/drawing" Target="../drawings/drawing8.xml"/><Relationship Id="rId5" Type="http://schemas.openxmlformats.org/officeDocument/2006/relationships/comments" Target="../comments2.xml"/><Relationship Id="rId4" Type="http://schemas.openxmlformats.org/officeDocument/2006/relationships/ctrlProp" Target="../ctrlProps/ctrlProp1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ctrlProp" Target="../ctrlProps/ctrlProp17.xml"/><Relationship Id="rId2" Type="http://schemas.openxmlformats.org/officeDocument/2006/relationships/drawing" Target="../drawings/drawing9.xml"/><Relationship Id="rId1" Type="http://schemas.openxmlformats.org/officeDocument/2006/relationships/printerSettings" Target="../printerSettings/printerSettings3.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image" Target="../media/image24.emf"/><Relationship Id="rId3" Type="http://schemas.openxmlformats.org/officeDocument/2006/relationships/vmlDrawing" Target="../drawings/vmlDrawing9.vml"/><Relationship Id="rId7" Type="http://schemas.openxmlformats.org/officeDocument/2006/relationships/image" Target="../media/image21.emf"/><Relationship Id="rId12" Type="http://schemas.openxmlformats.org/officeDocument/2006/relationships/control" Target="../activeX/activeX7.xml"/><Relationship Id="rId2" Type="http://schemas.openxmlformats.org/officeDocument/2006/relationships/drawing" Target="../drawings/drawing10.xml"/><Relationship Id="rId16" Type="http://schemas.openxmlformats.org/officeDocument/2006/relationships/comments" Target="../comments3.xml"/><Relationship Id="rId1" Type="http://schemas.openxmlformats.org/officeDocument/2006/relationships/printerSettings" Target="../printerSettings/printerSettings4.bin"/><Relationship Id="rId6" Type="http://schemas.openxmlformats.org/officeDocument/2006/relationships/control" Target="../activeX/activeX4.xml"/><Relationship Id="rId11" Type="http://schemas.openxmlformats.org/officeDocument/2006/relationships/image" Target="../media/image23.emf"/><Relationship Id="rId5" Type="http://schemas.openxmlformats.org/officeDocument/2006/relationships/image" Target="../media/image20.emf"/><Relationship Id="rId15" Type="http://schemas.openxmlformats.org/officeDocument/2006/relationships/ctrlProp" Target="../ctrlProps/ctrlProp19.xml"/><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22.emf"/><Relationship Id="rId14" Type="http://schemas.openxmlformats.org/officeDocument/2006/relationships/ctrlProp" Target="../ctrlProps/ctrlProp18.xml"/></Relationships>
</file>

<file path=xl/worksheets/_rels/sheet11.xml.rels><?xml version="1.0" encoding="UTF-8" standalone="yes"?>
<Relationships xmlns="http://schemas.openxmlformats.org/package/2006/relationships"><Relationship Id="rId8" Type="http://schemas.openxmlformats.org/officeDocument/2006/relationships/image" Target="../media/image27.emf"/><Relationship Id="rId13" Type="http://schemas.openxmlformats.org/officeDocument/2006/relationships/ctrlProp" Target="../ctrlProps/ctrlProp20.xml"/><Relationship Id="rId3" Type="http://schemas.openxmlformats.org/officeDocument/2006/relationships/control" Target="../activeX/activeX8.xml"/><Relationship Id="rId7" Type="http://schemas.openxmlformats.org/officeDocument/2006/relationships/control" Target="../activeX/activeX10.xml"/><Relationship Id="rId12" Type="http://schemas.openxmlformats.org/officeDocument/2006/relationships/image" Target="../media/image29.emf"/><Relationship Id="rId2" Type="http://schemas.openxmlformats.org/officeDocument/2006/relationships/vmlDrawing" Target="../drawings/vmlDrawing10.vml"/><Relationship Id="rId1" Type="http://schemas.openxmlformats.org/officeDocument/2006/relationships/drawing" Target="../drawings/drawing11.xml"/><Relationship Id="rId6" Type="http://schemas.openxmlformats.org/officeDocument/2006/relationships/image" Target="../media/image26.emf"/><Relationship Id="rId11" Type="http://schemas.openxmlformats.org/officeDocument/2006/relationships/control" Target="../activeX/activeX12.xml"/><Relationship Id="rId5" Type="http://schemas.openxmlformats.org/officeDocument/2006/relationships/control" Target="../activeX/activeX9.xml"/><Relationship Id="rId15" Type="http://schemas.openxmlformats.org/officeDocument/2006/relationships/comments" Target="../comments4.xml"/><Relationship Id="rId10" Type="http://schemas.openxmlformats.org/officeDocument/2006/relationships/image" Target="../media/image28.emf"/><Relationship Id="rId4" Type="http://schemas.openxmlformats.org/officeDocument/2006/relationships/image" Target="../media/image25.emf"/><Relationship Id="rId9" Type="http://schemas.openxmlformats.org/officeDocument/2006/relationships/control" Target="../activeX/activeX11.xml"/><Relationship Id="rId14" Type="http://schemas.openxmlformats.org/officeDocument/2006/relationships/ctrlProp" Target="../ctrlProps/ctrlProp21.xml"/></Relationships>
</file>

<file path=xl/worksheets/_rels/sheet12.xml.rels><?xml version="1.0" encoding="UTF-8" standalone="yes"?>
<Relationships xmlns="http://schemas.openxmlformats.org/package/2006/relationships"><Relationship Id="rId8" Type="http://schemas.openxmlformats.org/officeDocument/2006/relationships/image" Target="../media/image32.emf"/><Relationship Id="rId13" Type="http://schemas.openxmlformats.org/officeDocument/2006/relationships/ctrlProp" Target="../ctrlProps/ctrlProp22.xml"/><Relationship Id="rId3" Type="http://schemas.openxmlformats.org/officeDocument/2006/relationships/control" Target="../activeX/activeX13.xml"/><Relationship Id="rId7" Type="http://schemas.openxmlformats.org/officeDocument/2006/relationships/control" Target="../activeX/activeX15.xml"/><Relationship Id="rId12" Type="http://schemas.openxmlformats.org/officeDocument/2006/relationships/image" Target="../media/image34.emf"/><Relationship Id="rId2" Type="http://schemas.openxmlformats.org/officeDocument/2006/relationships/vmlDrawing" Target="../drawings/vmlDrawing11.vml"/><Relationship Id="rId1" Type="http://schemas.openxmlformats.org/officeDocument/2006/relationships/drawing" Target="../drawings/drawing12.xml"/><Relationship Id="rId6" Type="http://schemas.openxmlformats.org/officeDocument/2006/relationships/image" Target="../media/image31.emf"/><Relationship Id="rId11" Type="http://schemas.openxmlformats.org/officeDocument/2006/relationships/control" Target="../activeX/activeX17.xml"/><Relationship Id="rId5" Type="http://schemas.openxmlformats.org/officeDocument/2006/relationships/control" Target="../activeX/activeX14.xml"/><Relationship Id="rId15" Type="http://schemas.openxmlformats.org/officeDocument/2006/relationships/comments" Target="../comments5.xml"/><Relationship Id="rId10" Type="http://schemas.openxmlformats.org/officeDocument/2006/relationships/image" Target="../media/image33.emf"/><Relationship Id="rId4" Type="http://schemas.openxmlformats.org/officeDocument/2006/relationships/image" Target="../media/image30.emf"/><Relationship Id="rId9" Type="http://schemas.openxmlformats.org/officeDocument/2006/relationships/control" Target="../activeX/activeX16.xml"/><Relationship Id="rId14" Type="http://schemas.openxmlformats.org/officeDocument/2006/relationships/ctrlProp" Target="../ctrlProps/ctrlProp23.xml"/></Relationships>
</file>

<file path=xl/worksheets/_rels/sheet13.xml.rels><?xml version="1.0" encoding="UTF-8" standalone="yes"?>
<Relationships xmlns="http://schemas.openxmlformats.org/package/2006/relationships"><Relationship Id="rId8" Type="http://schemas.openxmlformats.org/officeDocument/2006/relationships/image" Target="../media/image37.emf"/><Relationship Id="rId13" Type="http://schemas.openxmlformats.org/officeDocument/2006/relationships/ctrlProp" Target="../ctrlProps/ctrlProp24.xml"/><Relationship Id="rId3" Type="http://schemas.openxmlformats.org/officeDocument/2006/relationships/control" Target="../activeX/activeX18.xml"/><Relationship Id="rId7" Type="http://schemas.openxmlformats.org/officeDocument/2006/relationships/control" Target="../activeX/activeX20.xml"/><Relationship Id="rId12" Type="http://schemas.openxmlformats.org/officeDocument/2006/relationships/image" Target="../media/image39.emf"/><Relationship Id="rId2" Type="http://schemas.openxmlformats.org/officeDocument/2006/relationships/vmlDrawing" Target="../drawings/vmlDrawing12.vml"/><Relationship Id="rId1" Type="http://schemas.openxmlformats.org/officeDocument/2006/relationships/drawing" Target="../drawings/drawing13.xml"/><Relationship Id="rId6" Type="http://schemas.openxmlformats.org/officeDocument/2006/relationships/image" Target="../media/image36.emf"/><Relationship Id="rId11" Type="http://schemas.openxmlformats.org/officeDocument/2006/relationships/control" Target="../activeX/activeX22.xml"/><Relationship Id="rId5" Type="http://schemas.openxmlformats.org/officeDocument/2006/relationships/control" Target="../activeX/activeX19.xml"/><Relationship Id="rId15" Type="http://schemas.openxmlformats.org/officeDocument/2006/relationships/comments" Target="../comments6.xml"/><Relationship Id="rId10" Type="http://schemas.openxmlformats.org/officeDocument/2006/relationships/image" Target="../media/image38.emf"/><Relationship Id="rId4" Type="http://schemas.openxmlformats.org/officeDocument/2006/relationships/image" Target="../media/image35.emf"/><Relationship Id="rId9" Type="http://schemas.openxmlformats.org/officeDocument/2006/relationships/control" Target="../activeX/activeX21.xml"/><Relationship Id="rId14" Type="http://schemas.openxmlformats.org/officeDocument/2006/relationships/ctrlProp" Target="../ctrlProps/ctrlProp25.xml"/></Relationships>
</file>

<file path=xl/worksheets/_rels/sheet14.xml.rels><?xml version="1.0" encoding="UTF-8" standalone="yes"?>
<Relationships xmlns="http://schemas.openxmlformats.org/package/2006/relationships"><Relationship Id="rId8" Type="http://schemas.openxmlformats.org/officeDocument/2006/relationships/image" Target="../media/image42.emf"/><Relationship Id="rId13" Type="http://schemas.openxmlformats.org/officeDocument/2006/relationships/ctrlProp" Target="../ctrlProps/ctrlProp26.xml"/><Relationship Id="rId3" Type="http://schemas.openxmlformats.org/officeDocument/2006/relationships/control" Target="../activeX/activeX23.xml"/><Relationship Id="rId7" Type="http://schemas.openxmlformats.org/officeDocument/2006/relationships/control" Target="../activeX/activeX25.xml"/><Relationship Id="rId12" Type="http://schemas.openxmlformats.org/officeDocument/2006/relationships/image" Target="../media/image44.emf"/><Relationship Id="rId2" Type="http://schemas.openxmlformats.org/officeDocument/2006/relationships/vmlDrawing" Target="../drawings/vmlDrawing13.vml"/><Relationship Id="rId1" Type="http://schemas.openxmlformats.org/officeDocument/2006/relationships/drawing" Target="../drawings/drawing14.xml"/><Relationship Id="rId6" Type="http://schemas.openxmlformats.org/officeDocument/2006/relationships/image" Target="../media/image41.emf"/><Relationship Id="rId11" Type="http://schemas.openxmlformats.org/officeDocument/2006/relationships/control" Target="../activeX/activeX27.xml"/><Relationship Id="rId5" Type="http://schemas.openxmlformats.org/officeDocument/2006/relationships/control" Target="../activeX/activeX24.xml"/><Relationship Id="rId15" Type="http://schemas.openxmlformats.org/officeDocument/2006/relationships/comments" Target="../comments7.xml"/><Relationship Id="rId10" Type="http://schemas.openxmlformats.org/officeDocument/2006/relationships/image" Target="../media/image43.emf"/><Relationship Id="rId4" Type="http://schemas.openxmlformats.org/officeDocument/2006/relationships/image" Target="../media/image40.emf"/><Relationship Id="rId9" Type="http://schemas.openxmlformats.org/officeDocument/2006/relationships/control" Target="../activeX/activeX26.xml"/><Relationship Id="rId14" Type="http://schemas.openxmlformats.org/officeDocument/2006/relationships/ctrlProp" Target="../ctrlProps/ctrlProp27.xml"/></Relationships>
</file>

<file path=xl/worksheets/_rels/sheet15.xml.rels><?xml version="1.0" encoding="UTF-8" standalone="yes"?>
<Relationships xmlns="http://schemas.openxmlformats.org/package/2006/relationships"><Relationship Id="rId8" Type="http://schemas.openxmlformats.org/officeDocument/2006/relationships/image" Target="../media/image47.emf"/><Relationship Id="rId13" Type="http://schemas.openxmlformats.org/officeDocument/2006/relationships/control" Target="../activeX/activeX33.xml"/><Relationship Id="rId18" Type="http://schemas.openxmlformats.org/officeDocument/2006/relationships/ctrlProp" Target="../ctrlProps/ctrlProp29.xml"/><Relationship Id="rId3" Type="http://schemas.openxmlformats.org/officeDocument/2006/relationships/control" Target="../activeX/activeX28.xml"/><Relationship Id="rId7" Type="http://schemas.openxmlformats.org/officeDocument/2006/relationships/control" Target="../activeX/activeX30.xml"/><Relationship Id="rId12" Type="http://schemas.openxmlformats.org/officeDocument/2006/relationships/image" Target="../media/image49.emf"/><Relationship Id="rId17" Type="http://schemas.openxmlformats.org/officeDocument/2006/relationships/ctrlProp" Target="../ctrlProps/ctrlProp28.xml"/><Relationship Id="rId2" Type="http://schemas.openxmlformats.org/officeDocument/2006/relationships/vmlDrawing" Target="../drawings/vmlDrawing14.vml"/><Relationship Id="rId16" Type="http://schemas.openxmlformats.org/officeDocument/2006/relationships/image" Target="../media/image51.emf"/><Relationship Id="rId1" Type="http://schemas.openxmlformats.org/officeDocument/2006/relationships/drawing" Target="../drawings/drawing15.xml"/><Relationship Id="rId6" Type="http://schemas.openxmlformats.org/officeDocument/2006/relationships/image" Target="../media/image46.emf"/><Relationship Id="rId11" Type="http://schemas.openxmlformats.org/officeDocument/2006/relationships/control" Target="../activeX/activeX32.xml"/><Relationship Id="rId5" Type="http://schemas.openxmlformats.org/officeDocument/2006/relationships/control" Target="../activeX/activeX29.xml"/><Relationship Id="rId15" Type="http://schemas.openxmlformats.org/officeDocument/2006/relationships/control" Target="../activeX/activeX34.xml"/><Relationship Id="rId10" Type="http://schemas.openxmlformats.org/officeDocument/2006/relationships/image" Target="../media/image48.emf"/><Relationship Id="rId19" Type="http://schemas.openxmlformats.org/officeDocument/2006/relationships/comments" Target="../comments8.xml"/><Relationship Id="rId4" Type="http://schemas.openxmlformats.org/officeDocument/2006/relationships/image" Target="../media/image45.emf"/><Relationship Id="rId9" Type="http://schemas.openxmlformats.org/officeDocument/2006/relationships/control" Target="../activeX/activeX31.xml"/><Relationship Id="rId14" Type="http://schemas.openxmlformats.org/officeDocument/2006/relationships/image" Target="../media/image50.emf"/></Relationships>
</file>

<file path=xl/worksheets/_rels/sheet16.xml.rels><?xml version="1.0" encoding="UTF-8" standalone="yes"?>
<Relationships xmlns="http://schemas.openxmlformats.org/package/2006/relationships"><Relationship Id="rId8" Type="http://schemas.openxmlformats.org/officeDocument/2006/relationships/image" Target="../media/image54.emf"/><Relationship Id="rId13" Type="http://schemas.openxmlformats.org/officeDocument/2006/relationships/ctrlProp" Target="../ctrlProps/ctrlProp30.xml"/><Relationship Id="rId3" Type="http://schemas.openxmlformats.org/officeDocument/2006/relationships/control" Target="../activeX/activeX35.xml"/><Relationship Id="rId7" Type="http://schemas.openxmlformats.org/officeDocument/2006/relationships/control" Target="../activeX/activeX37.xml"/><Relationship Id="rId12" Type="http://schemas.openxmlformats.org/officeDocument/2006/relationships/image" Target="../media/image56.emf"/><Relationship Id="rId2" Type="http://schemas.openxmlformats.org/officeDocument/2006/relationships/vmlDrawing" Target="../drawings/vmlDrawing15.vml"/><Relationship Id="rId1" Type="http://schemas.openxmlformats.org/officeDocument/2006/relationships/drawing" Target="../drawings/drawing16.xml"/><Relationship Id="rId6" Type="http://schemas.openxmlformats.org/officeDocument/2006/relationships/image" Target="../media/image53.emf"/><Relationship Id="rId11" Type="http://schemas.openxmlformats.org/officeDocument/2006/relationships/control" Target="../activeX/activeX39.xml"/><Relationship Id="rId5" Type="http://schemas.openxmlformats.org/officeDocument/2006/relationships/control" Target="../activeX/activeX36.xml"/><Relationship Id="rId15" Type="http://schemas.openxmlformats.org/officeDocument/2006/relationships/comments" Target="../comments9.xml"/><Relationship Id="rId10" Type="http://schemas.openxmlformats.org/officeDocument/2006/relationships/image" Target="../media/image55.emf"/><Relationship Id="rId4" Type="http://schemas.openxmlformats.org/officeDocument/2006/relationships/image" Target="../media/image52.emf"/><Relationship Id="rId9" Type="http://schemas.openxmlformats.org/officeDocument/2006/relationships/control" Target="../activeX/activeX38.xml"/><Relationship Id="rId14" Type="http://schemas.openxmlformats.org/officeDocument/2006/relationships/ctrlProp" Target="../ctrlProps/ctrlProp31.xml"/></Relationships>
</file>

<file path=xl/worksheets/_rels/sheet17.xml.rels><?xml version="1.0" encoding="UTF-8" standalone="yes"?>
<Relationships xmlns="http://schemas.openxmlformats.org/package/2006/relationships"><Relationship Id="rId8" Type="http://schemas.openxmlformats.org/officeDocument/2006/relationships/image" Target="../media/image59.emf"/><Relationship Id="rId13" Type="http://schemas.openxmlformats.org/officeDocument/2006/relationships/ctrlProp" Target="../ctrlProps/ctrlProp32.xml"/><Relationship Id="rId3" Type="http://schemas.openxmlformats.org/officeDocument/2006/relationships/control" Target="../activeX/activeX40.xml"/><Relationship Id="rId7" Type="http://schemas.openxmlformats.org/officeDocument/2006/relationships/control" Target="../activeX/activeX42.xml"/><Relationship Id="rId12" Type="http://schemas.openxmlformats.org/officeDocument/2006/relationships/image" Target="../media/image61.emf"/><Relationship Id="rId2" Type="http://schemas.openxmlformats.org/officeDocument/2006/relationships/vmlDrawing" Target="../drawings/vmlDrawing16.vml"/><Relationship Id="rId1" Type="http://schemas.openxmlformats.org/officeDocument/2006/relationships/drawing" Target="../drawings/drawing17.xml"/><Relationship Id="rId6" Type="http://schemas.openxmlformats.org/officeDocument/2006/relationships/image" Target="../media/image58.emf"/><Relationship Id="rId11" Type="http://schemas.openxmlformats.org/officeDocument/2006/relationships/control" Target="../activeX/activeX44.xml"/><Relationship Id="rId5" Type="http://schemas.openxmlformats.org/officeDocument/2006/relationships/control" Target="../activeX/activeX41.xml"/><Relationship Id="rId15" Type="http://schemas.openxmlformats.org/officeDocument/2006/relationships/comments" Target="../comments10.xml"/><Relationship Id="rId10" Type="http://schemas.openxmlformats.org/officeDocument/2006/relationships/image" Target="../media/image60.emf"/><Relationship Id="rId4" Type="http://schemas.openxmlformats.org/officeDocument/2006/relationships/image" Target="../media/image57.emf"/><Relationship Id="rId9" Type="http://schemas.openxmlformats.org/officeDocument/2006/relationships/control" Target="../activeX/activeX43.xml"/><Relationship Id="rId14" Type="http://schemas.openxmlformats.org/officeDocument/2006/relationships/ctrlProp" Target="../ctrlProps/ctrlProp33.xml"/></Relationships>
</file>

<file path=xl/worksheets/_rels/sheet18.xml.rels><?xml version="1.0" encoding="UTF-8" standalone="yes"?>
<Relationships xmlns="http://schemas.openxmlformats.org/package/2006/relationships"><Relationship Id="rId8" Type="http://schemas.openxmlformats.org/officeDocument/2006/relationships/image" Target="../media/image64.emf"/><Relationship Id="rId13" Type="http://schemas.openxmlformats.org/officeDocument/2006/relationships/ctrlProp" Target="../ctrlProps/ctrlProp34.xml"/><Relationship Id="rId3" Type="http://schemas.openxmlformats.org/officeDocument/2006/relationships/control" Target="../activeX/activeX45.xml"/><Relationship Id="rId7" Type="http://schemas.openxmlformats.org/officeDocument/2006/relationships/control" Target="../activeX/activeX47.xml"/><Relationship Id="rId12" Type="http://schemas.openxmlformats.org/officeDocument/2006/relationships/image" Target="../media/image66.emf"/><Relationship Id="rId2" Type="http://schemas.openxmlformats.org/officeDocument/2006/relationships/vmlDrawing" Target="../drawings/vmlDrawing17.vml"/><Relationship Id="rId1" Type="http://schemas.openxmlformats.org/officeDocument/2006/relationships/drawing" Target="../drawings/drawing18.xml"/><Relationship Id="rId6" Type="http://schemas.openxmlformats.org/officeDocument/2006/relationships/image" Target="../media/image63.emf"/><Relationship Id="rId11" Type="http://schemas.openxmlformats.org/officeDocument/2006/relationships/control" Target="../activeX/activeX49.xml"/><Relationship Id="rId5" Type="http://schemas.openxmlformats.org/officeDocument/2006/relationships/control" Target="../activeX/activeX46.xml"/><Relationship Id="rId15" Type="http://schemas.openxmlformats.org/officeDocument/2006/relationships/comments" Target="../comments11.xml"/><Relationship Id="rId10" Type="http://schemas.openxmlformats.org/officeDocument/2006/relationships/image" Target="../media/image65.emf"/><Relationship Id="rId4" Type="http://schemas.openxmlformats.org/officeDocument/2006/relationships/image" Target="../media/image62.emf"/><Relationship Id="rId9" Type="http://schemas.openxmlformats.org/officeDocument/2006/relationships/control" Target="../activeX/activeX48.xml"/><Relationship Id="rId14" Type="http://schemas.openxmlformats.org/officeDocument/2006/relationships/ctrlProp" Target="../ctrlProps/ctrlProp35.xml"/></Relationships>
</file>

<file path=xl/worksheets/_rels/sheet19.xml.rels><?xml version="1.0" encoding="UTF-8" standalone="yes"?>
<Relationships xmlns="http://schemas.openxmlformats.org/package/2006/relationships"><Relationship Id="rId8" Type="http://schemas.openxmlformats.org/officeDocument/2006/relationships/image" Target="../media/image69.emf"/><Relationship Id="rId13" Type="http://schemas.openxmlformats.org/officeDocument/2006/relationships/ctrlProp" Target="../ctrlProps/ctrlProp36.xml"/><Relationship Id="rId3" Type="http://schemas.openxmlformats.org/officeDocument/2006/relationships/control" Target="../activeX/activeX50.xml"/><Relationship Id="rId7" Type="http://schemas.openxmlformats.org/officeDocument/2006/relationships/control" Target="../activeX/activeX52.xml"/><Relationship Id="rId12" Type="http://schemas.openxmlformats.org/officeDocument/2006/relationships/image" Target="../media/image71.emf"/><Relationship Id="rId2" Type="http://schemas.openxmlformats.org/officeDocument/2006/relationships/vmlDrawing" Target="../drawings/vmlDrawing18.vml"/><Relationship Id="rId1" Type="http://schemas.openxmlformats.org/officeDocument/2006/relationships/drawing" Target="../drawings/drawing19.xml"/><Relationship Id="rId6" Type="http://schemas.openxmlformats.org/officeDocument/2006/relationships/image" Target="../media/image68.emf"/><Relationship Id="rId11" Type="http://schemas.openxmlformats.org/officeDocument/2006/relationships/control" Target="../activeX/activeX54.xml"/><Relationship Id="rId5" Type="http://schemas.openxmlformats.org/officeDocument/2006/relationships/control" Target="../activeX/activeX51.xml"/><Relationship Id="rId15" Type="http://schemas.openxmlformats.org/officeDocument/2006/relationships/comments" Target="../comments12.xml"/><Relationship Id="rId10" Type="http://schemas.openxmlformats.org/officeDocument/2006/relationships/image" Target="../media/image70.emf"/><Relationship Id="rId4" Type="http://schemas.openxmlformats.org/officeDocument/2006/relationships/image" Target="../media/image67.emf"/><Relationship Id="rId9" Type="http://schemas.openxmlformats.org/officeDocument/2006/relationships/control" Target="../activeX/activeX53.xml"/><Relationship Id="rId14" Type="http://schemas.openxmlformats.org/officeDocument/2006/relationships/ctrlProp" Target="../ctrlProps/ctrlProp37.xml"/></Relationships>
</file>

<file path=xl/worksheets/_rels/sheet20.xml.rels><?xml version="1.0" encoding="UTF-8" standalone="yes"?>
<Relationships xmlns="http://schemas.openxmlformats.org/package/2006/relationships"><Relationship Id="rId8" Type="http://schemas.openxmlformats.org/officeDocument/2006/relationships/image" Target="../media/image74.emf"/><Relationship Id="rId13" Type="http://schemas.openxmlformats.org/officeDocument/2006/relationships/ctrlProp" Target="../ctrlProps/ctrlProp38.xml"/><Relationship Id="rId3" Type="http://schemas.openxmlformats.org/officeDocument/2006/relationships/control" Target="../activeX/activeX55.xml"/><Relationship Id="rId7" Type="http://schemas.openxmlformats.org/officeDocument/2006/relationships/control" Target="../activeX/activeX57.xml"/><Relationship Id="rId12" Type="http://schemas.openxmlformats.org/officeDocument/2006/relationships/image" Target="../media/image76.emf"/><Relationship Id="rId2" Type="http://schemas.openxmlformats.org/officeDocument/2006/relationships/vmlDrawing" Target="../drawings/vmlDrawing19.vml"/><Relationship Id="rId1" Type="http://schemas.openxmlformats.org/officeDocument/2006/relationships/drawing" Target="../drawings/drawing20.xml"/><Relationship Id="rId6" Type="http://schemas.openxmlformats.org/officeDocument/2006/relationships/image" Target="../media/image73.emf"/><Relationship Id="rId11" Type="http://schemas.openxmlformats.org/officeDocument/2006/relationships/control" Target="../activeX/activeX59.xml"/><Relationship Id="rId5" Type="http://schemas.openxmlformats.org/officeDocument/2006/relationships/control" Target="../activeX/activeX56.xml"/><Relationship Id="rId15" Type="http://schemas.openxmlformats.org/officeDocument/2006/relationships/comments" Target="../comments13.xml"/><Relationship Id="rId10" Type="http://schemas.openxmlformats.org/officeDocument/2006/relationships/image" Target="../media/image75.emf"/><Relationship Id="rId4" Type="http://schemas.openxmlformats.org/officeDocument/2006/relationships/image" Target="../media/image72.emf"/><Relationship Id="rId9" Type="http://schemas.openxmlformats.org/officeDocument/2006/relationships/control" Target="../activeX/activeX58.xml"/><Relationship Id="rId14" Type="http://schemas.openxmlformats.org/officeDocument/2006/relationships/ctrlProp" Target="../ctrlProps/ctrlProp39.xml"/></Relationships>
</file>

<file path=xl/worksheets/_rels/sheet21.xml.rels><?xml version="1.0" encoding="UTF-8" standalone="yes"?>
<Relationships xmlns="http://schemas.openxmlformats.org/package/2006/relationships"><Relationship Id="rId8" Type="http://schemas.openxmlformats.org/officeDocument/2006/relationships/image" Target="../media/image79.emf"/><Relationship Id="rId13" Type="http://schemas.openxmlformats.org/officeDocument/2006/relationships/ctrlProp" Target="../ctrlProps/ctrlProp40.xml"/><Relationship Id="rId3" Type="http://schemas.openxmlformats.org/officeDocument/2006/relationships/control" Target="../activeX/activeX60.xml"/><Relationship Id="rId7" Type="http://schemas.openxmlformats.org/officeDocument/2006/relationships/control" Target="../activeX/activeX62.xml"/><Relationship Id="rId12" Type="http://schemas.openxmlformats.org/officeDocument/2006/relationships/image" Target="../media/image81.emf"/><Relationship Id="rId2" Type="http://schemas.openxmlformats.org/officeDocument/2006/relationships/vmlDrawing" Target="../drawings/vmlDrawing20.vml"/><Relationship Id="rId1" Type="http://schemas.openxmlformats.org/officeDocument/2006/relationships/drawing" Target="../drawings/drawing21.xml"/><Relationship Id="rId6" Type="http://schemas.openxmlformats.org/officeDocument/2006/relationships/image" Target="../media/image78.emf"/><Relationship Id="rId11" Type="http://schemas.openxmlformats.org/officeDocument/2006/relationships/control" Target="../activeX/activeX64.xml"/><Relationship Id="rId5" Type="http://schemas.openxmlformats.org/officeDocument/2006/relationships/control" Target="../activeX/activeX61.xml"/><Relationship Id="rId15" Type="http://schemas.openxmlformats.org/officeDocument/2006/relationships/comments" Target="../comments14.xml"/><Relationship Id="rId10" Type="http://schemas.openxmlformats.org/officeDocument/2006/relationships/image" Target="../media/image80.emf"/><Relationship Id="rId4" Type="http://schemas.openxmlformats.org/officeDocument/2006/relationships/image" Target="../media/image77.emf"/><Relationship Id="rId9" Type="http://schemas.openxmlformats.org/officeDocument/2006/relationships/control" Target="../activeX/activeX63.xml"/><Relationship Id="rId14" Type="http://schemas.openxmlformats.org/officeDocument/2006/relationships/ctrlProp" Target="../ctrlProps/ctrlProp41.xml"/></Relationships>
</file>

<file path=xl/worksheets/_rels/sheet22.xml.rels><?xml version="1.0" encoding="UTF-8" standalone="yes"?>
<Relationships xmlns="http://schemas.openxmlformats.org/package/2006/relationships"><Relationship Id="rId8" Type="http://schemas.openxmlformats.org/officeDocument/2006/relationships/image" Target="../media/image84.emf"/><Relationship Id="rId13" Type="http://schemas.openxmlformats.org/officeDocument/2006/relationships/ctrlProp" Target="../ctrlProps/ctrlProp42.xml"/><Relationship Id="rId3" Type="http://schemas.openxmlformats.org/officeDocument/2006/relationships/control" Target="../activeX/activeX65.xml"/><Relationship Id="rId7" Type="http://schemas.openxmlformats.org/officeDocument/2006/relationships/control" Target="../activeX/activeX67.xml"/><Relationship Id="rId12" Type="http://schemas.openxmlformats.org/officeDocument/2006/relationships/image" Target="../media/image86.emf"/><Relationship Id="rId2" Type="http://schemas.openxmlformats.org/officeDocument/2006/relationships/vmlDrawing" Target="../drawings/vmlDrawing21.vml"/><Relationship Id="rId1" Type="http://schemas.openxmlformats.org/officeDocument/2006/relationships/drawing" Target="../drawings/drawing22.xml"/><Relationship Id="rId6" Type="http://schemas.openxmlformats.org/officeDocument/2006/relationships/image" Target="../media/image83.emf"/><Relationship Id="rId11" Type="http://schemas.openxmlformats.org/officeDocument/2006/relationships/control" Target="../activeX/activeX69.xml"/><Relationship Id="rId5" Type="http://schemas.openxmlformats.org/officeDocument/2006/relationships/control" Target="../activeX/activeX66.xml"/><Relationship Id="rId15" Type="http://schemas.openxmlformats.org/officeDocument/2006/relationships/comments" Target="../comments15.xml"/><Relationship Id="rId10" Type="http://schemas.openxmlformats.org/officeDocument/2006/relationships/image" Target="../media/image85.emf"/><Relationship Id="rId4" Type="http://schemas.openxmlformats.org/officeDocument/2006/relationships/image" Target="../media/image82.emf"/><Relationship Id="rId9" Type="http://schemas.openxmlformats.org/officeDocument/2006/relationships/control" Target="../activeX/activeX68.xml"/><Relationship Id="rId14" Type="http://schemas.openxmlformats.org/officeDocument/2006/relationships/ctrlProp" Target="../ctrlProps/ctrlProp43.xml"/></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72.xml"/><Relationship Id="rId3" Type="http://schemas.openxmlformats.org/officeDocument/2006/relationships/vmlDrawing" Target="../drawings/vmlDrawing22.vml"/><Relationship Id="rId7" Type="http://schemas.openxmlformats.org/officeDocument/2006/relationships/image" Target="../media/image88.emf"/><Relationship Id="rId12" Type="http://schemas.openxmlformats.org/officeDocument/2006/relationships/comments" Target="../comments16.xml"/><Relationship Id="rId2" Type="http://schemas.openxmlformats.org/officeDocument/2006/relationships/drawing" Target="../drawings/drawing23.xml"/><Relationship Id="rId1" Type="http://schemas.openxmlformats.org/officeDocument/2006/relationships/printerSettings" Target="../printerSettings/printerSettings5.bin"/><Relationship Id="rId6" Type="http://schemas.openxmlformats.org/officeDocument/2006/relationships/control" Target="../activeX/activeX71.xml"/><Relationship Id="rId11" Type="http://schemas.openxmlformats.org/officeDocument/2006/relationships/ctrlProp" Target="../ctrlProps/ctrlProp45.xml"/><Relationship Id="rId5" Type="http://schemas.openxmlformats.org/officeDocument/2006/relationships/image" Target="../media/image87.emf"/><Relationship Id="rId10" Type="http://schemas.openxmlformats.org/officeDocument/2006/relationships/ctrlProp" Target="../ctrlProps/ctrlProp44.xml"/><Relationship Id="rId4" Type="http://schemas.openxmlformats.org/officeDocument/2006/relationships/control" Target="../activeX/activeX70.xml"/><Relationship Id="rId9" Type="http://schemas.openxmlformats.org/officeDocument/2006/relationships/image" Target="../media/image89.emf"/></Relationships>
</file>

<file path=xl/worksheets/_rels/sheet24.xml.rels><?xml version="1.0" encoding="UTF-8" standalone="yes"?>
<Relationships xmlns="http://schemas.openxmlformats.org/package/2006/relationships"><Relationship Id="rId8" Type="http://schemas.openxmlformats.org/officeDocument/2006/relationships/image" Target="../media/image92.emf"/><Relationship Id="rId13" Type="http://schemas.openxmlformats.org/officeDocument/2006/relationships/ctrlProp" Target="../ctrlProps/ctrlProp46.xml"/><Relationship Id="rId3" Type="http://schemas.openxmlformats.org/officeDocument/2006/relationships/control" Target="../activeX/activeX73.xml"/><Relationship Id="rId7" Type="http://schemas.openxmlformats.org/officeDocument/2006/relationships/control" Target="../activeX/activeX75.xml"/><Relationship Id="rId12" Type="http://schemas.openxmlformats.org/officeDocument/2006/relationships/image" Target="../media/image94.emf"/><Relationship Id="rId2" Type="http://schemas.openxmlformats.org/officeDocument/2006/relationships/vmlDrawing" Target="../drawings/vmlDrawing23.vml"/><Relationship Id="rId1" Type="http://schemas.openxmlformats.org/officeDocument/2006/relationships/drawing" Target="../drawings/drawing24.xml"/><Relationship Id="rId6" Type="http://schemas.openxmlformats.org/officeDocument/2006/relationships/image" Target="../media/image91.emf"/><Relationship Id="rId11" Type="http://schemas.openxmlformats.org/officeDocument/2006/relationships/control" Target="../activeX/activeX77.xml"/><Relationship Id="rId5" Type="http://schemas.openxmlformats.org/officeDocument/2006/relationships/control" Target="../activeX/activeX74.xml"/><Relationship Id="rId15" Type="http://schemas.openxmlformats.org/officeDocument/2006/relationships/comments" Target="../comments17.xml"/><Relationship Id="rId10" Type="http://schemas.openxmlformats.org/officeDocument/2006/relationships/image" Target="../media/image93.emf"/><Relationship Id="rId4" Type="http://schemas.openxmlformats.org/officeDocument/2006/relationships/image" Target="../media/image90.emf"/><Relationship Id="rId9" Type="http://schemas.openxmlformats.org/officeDocument/2006/relationships/control" Target="../activeX/activeX76.xml"/><Relationship Id="rId14" Type="http://schemas.openxmlformats.org/officeDocument/2006/relationships/ctrlProp" Target="../ctrlProps/ctrlProp47.xml"/></Relationships>
</file>

<file path=xl/worksheets/_rels/sheet25.xml.rels><?xml version="1.0" encoding="UTF-8" standalone="yes"?>
<Relationships xmlns="http://schemas.openxmlformats.org/package/2006/relationships"><Relationship Id="rId8" Type="http://schemas.openxmlformats.org/officeDocument/2006/relationships/image" Target="../media/image97.emf"/><Relationship Id="rId13" Type="http://schemas.openxmlformats.org/officeDocument/2006/relationships/ctrlProp" Target="../ctrlProps/ctrlProp48.xml"/><Relationship Id="rId3" Type="http://schemas.openxmlformats.org/officeDocument/2006/relationships/control" Target="../activeX/activeX78.xml"/><Relationship Id="rId7" Type="http://schemas.openxmlformats.org/officeDocument/2006/relationships/control" Target="../activeX/activeX80.xml"/><Relationship Id="rId12" Type="http://schemas.openxmlformats.org/officeDocument/2006/relationships/image" Target="../media/image99.emf"/><Relationship Id="rId2" Type="http://schemas.openxmlformats.org/officeDocument/2006/relationships/vmlDrawing" Target="../drawings/vmlDrawing24.vml"/><Relationship Id="rId1" Type="http://schemas.openxmlformats.org/officeDocument/2006/relationships/drawing" Target="../drawings/drawing25.xml"/><Relationship Id="rId6" Type="http://schemas.openxmlformats.org/officeDocument/2006/relationships/image" Target="../media/image96.emf"/><Relationship Id="rId11" Type="http://schemas.openxmlformats.org/officeDocument/2006/relationships/control" Target="../activeX/activeX82.xml"/><Relationship Id="rId5" Type="http://schemas.openxmlformats.org/officeDocument/2006/relationships/control" Target="../activeX/activeX79.xml"/><Relationship Id="rId15" Type="http://schemas.openxmlformats.org/officeDocument/2006/relationships/comments" Target="../comments18.xml"/><Relationship Id="rId10" Type="http://schemas.openxmlformats.org/officeDocument/2006/relationships/image" Target="../media/image98.emf"/><Relationship Id="rId4" Type="http://schemas.openxmlformats.org/officeDocument/2006/relationships/image" Target="../media/image95.emf"/><Relationship Id="rId9" Type="http://schemas.openxmlformats.org/officeDocument/2006/relationships/control" Target="../activeX/activeX81.xml"/><Relationship Id="rId14" Type="http://schemas.openxmlformats.org/officeDocument/2006/relationships/ctrlProp" Target="../ctrlProps/ctrlProp49.xml"/></Relationships>
</file>

<file path=xl/worksheets/_rels/sheet26.xml.rels><?xml version="1.0" encoding="UTF-8" standalone="yes"?>
<Relationships xmlns="http://schemas.openxmlformats.org/package/2006/relationships"><Relationship Id="rId8" Type="http://schemas.openxmlformats.org/officeDocument/2006/relationships/image" Target="../media/image102.emf"/><Relationship Id="rId13" Type="http://schemas.openxmlformats.org/officeDocument/2006/relationships/ctrlProp" Target="../ctrlProps/ctrlProp50.xml"/><Relationship Id="rId3" Type="http://schemas.openxmlformats.org/officeDocument/2006/relationships/control" Target="../activeX/activeX83.xml"/><Relationship Id="rId7" Type="http://schemas.openxmlformats.org/officeDocument/2006/relationships/control" Target="../activeX/activeX85.xml"/><Relationship Id="rId12" Type="http://schemas.openxmlformats.org/officeDocument/2006/relationships/image" Target="../media/image104.emf"/><Relationship Id="rId2" Type="http://schemas.openxmlformats.org/officeDocument/2006/relationships/vmlDrawing" Target="../drawings/vmlDrawing25.vml"/><Relationship Id="rId1" Type="http://schemas.openxmlformats.org/officeDocument/2006/relationships/drawing" Target="../drawings/drawing26.xml"/><Relationship Id="rId6" Type="http://schemas.openxmlformats.org/officeDocument/2006/relationships/image" Target="../media/image101.emf"/><Relationship Id="rId11" Type="http://schemas.openxmlformats.org/officeDocument/2006/relationships/control" Target="../activeX/activeX87.xml"/><Relationship Id="rId5" Type="http://schemas.openxmlformats.org/officeDocument/2006/relationships/control" Target="../activeX/activeX84.xml"/><Relationship Id="rId15" Type="http://schemas.openxmlformats.org/officeDocument/2006/relationships/comments" Target="../comments19.xml"/><Relationship Id="rId10" Type="http://schemas.openxmlformats.org/officeDocument/2006/relationships/image" Target="../media/image103.emf"/><Relationship Id="rId4" Type="http://schemas.openxmlformats.org/officeDocument/2006/relationships/image" Target="../media/image100.emf"/><Relationship Id="rId9" Type="http://schemas.openxmlformats.org/officeDocument/2006/relationships/control" Target="../activeX/activeX86.xml"/><Relationship Id="rId14" Type="http://schemas.openxmlformats.org/officeDocument/2006/relationships/ctrlProp" Target="../ctrlProps/ctrlProp51.xml"/></Relationships>
</file>

<file path=xl/worksheets/_rels/sheet27.xml.rels><?xml version="1.0" encoding="UTF-8" standalone="yes"?>
<Relationships xmlns="http://schemas.openxmlformats.org/package/2006/relationships"><Relationship Id="rId8" Type="http://schemas.openxmlformats.org/officeDocument/2006/relationships/image" Target="../media/image107.emf"/><Relationship Id="rId13" Type="http://schemas.openxmlformats.org/officeDocument/2006/relationships/ctrlProp" Target="../ctrlProps/ctrlProp52.xml"/><Relationship Id="rId3" Type="http://schemas.openxmlformats.org/officeDocument/2006/relationships/control" Target="../activeX/activeX88.xml"/><Relationship Id="rId7" Type="http://schemas.openxmlformats.org/officeDocument/2006/relationships/control" Target="../activeX/activeX90.xml"/><Relationship Id="rId12" Type="http://schemas.openxmlformats.org/officeDocument/2006/relationships/image" Target="../media/image109.emf"/><Relationship Id="rId2" Type="http://schemas.openxmlformats.org/officeDocument/2006/relationships/vmlDrawing" Target="../drawings/vmlDrawing26.vml"/><Relationship Id="rId1" Type="http://schemas.openxmlformats.org/officeDocument/2006/relationships/drawing" Target="../drawings/drawing27.xml"/><Relationship Id="rId6" Type="http://schemas.openxmlformats.org/officeDocument/2006/relationships/image" Target="../media/image106.emf"/><Relationship Id="rId11" Type="http://schemas.openxmlformats.org/officeDocument/2006/relationships/control" Target="../activeX/activeX92.xml"/><Relationship Id="rId5" Type="http://schemas.openxmlformats.org/officeDocument/2006/relationships/control" Target="../activeX/activeX89.xml"/><Relationship Id="rId15" Type="http://schemas.openxmlformats.org/officeDocument/2006/relationships/comments" Target="../comments20.xml"/><Relationship Id="rId10" Type="http://schemas.openxmlformats.org/officeDocument/2006/relationships/image" Target="../media/image108.emf"/><Relationship Id="rId4" Type="http://schemas.openxmlformats.org/officeDocument/2006/relationships/image" Target="../media/image105.emf"/><Relationship Id="rId9" Type="http://schemas.openxmlformats.org/officeDocument/2006/relationships/control" Target="../activeX/activeX91.xml"/><Relationship Id="rId14" Type="http://schemas.openxmlformats.org/officeDocument/2006/relationships/ctrlProp" Target="../ctrlProps/ctrlProp53.xml"/></Relationships>
</file>

<file path=xl/worksheets/_rels/sheet28.xml.rels><?xml version="1.0" encoding="UTF-8" standalone="yes"?>
<Relationships xmlns="http://schemas.openxmlformats.org/package/2006/relationships"><Relationship Id="rId8" Type="http://schemas.openxmlformats.org/officeDocument/2006/relationships/image" Target="../media/image112.emf"/><Relationship Id="rId13" Type="http://schemas.openxmlformats.org/officeDocument/2006/relationships/ctrlProp" Target="../ctrlProps/ctrlProp54.xml"/><Relationship Id="rId3" Type="http://schemas.openxmlformats.org/officeDocument/2006/relationships/control" Target="../activeX/activeX93.xml"/><Relationship Id="rId7" Type="http://schemas.openxmlformats.org/officeDocument/2006/relationships/control" Target="../activeX/activeX95.xml"/><Relationship Id="rId12" Type="http://schemas.openxmlformats.org/officeDocument/2006/relationships/image" Target="../media/image114.emf"/><Relationship Id="rId2" Type="http://schemas.openxmlformats.org/officeDocument/2006/relationships/vmlDrawing" Target="../drawings/vmlDrawing27.vml"/><Relationship Id="rId1" Type="http://schemas.openxmlformats.org/officeDocument/2006/relationships/drawing" Target="../drawings/drawing28.xml"/><Relationship Id="rId6" Type="http://schemas.openxmlformats.org/officeDocument/2006/relationships/image" Target="../media/image111.emf"/><Relationship Id="rId11" Type="http://schemas.openxmlformats.org/officeDocument/2006/relationships/control" Target="../activeX/activeX97.xml"/><Relationship Id="rId5" Type="http://schemas.openxmlformats.org/officeDocument/2006/relationships/control" Target="../activeX/activeX94.xml"/><Relationship Id="rId15" Type="http://schemas.openxmlformats.org/officeDocument/2006/relationships/comments" Target="../comments21.xml"/><Relationship Id="rId10" Type="http://schemas.openxmlformats.org/officeDocument/2006/relationships/image" Target="../media/image113.emf"/><Relationship Id="rId4" Type="http://schemas.openxmlformats.org/officeDocument/2006/relationships/image" Target="../media/image110.emf"/><Relationship Id="rId9" Type="http://schemas.openxmlformats.org/officeDocument/2006/relationships/control" Target="../activeX/activeX96.xml"/><Relationship Id="rId14" Type="http://schemas.openxmlformats.org/officeDocument/2006/relationships/ctrlProp" Target="../ctrlProps/ctrlProp55.xml"/></Relationships>
</file>

<file path=xl/worksheets/_rels/sheet29.xml.rels><?xml version="1.0" encoding="UTF-8" standalone="yes"?>
<Relationships xmlns="http://schemas.openxmlformats.org/package/2006/relationships"><Relationship Id="rId8" Type="http://schemas.openxmlformats.org/officeDocument/2006/relationships/image" Target="../media/image117.emf"/><Relationship Id="rId3" Type="http://schemas.openxmlformats.org/officeDocument/2006/relationships/control" Target="../activeX/activeX98.xml"/><Relationship Id="rId7" Type="http://schemas.openxmlformats.org/officeDocument/2006/relationships/control" Target="../activeX/activeX100.xml"/><Relationship Id="rId2" Type="http://schemas.openxmlformats.org/officeDocument/2006/relationships/vmlDrawing" Target="../drawings/vmlDrawing28.vml"/><Relationship Id="rId1" Type="http://schemas.openxmlformats.org/officeDocument/2006/relationships/drawing" Target="../drawings/drawing29.xml"/><Relationship Id="rId6" Type="http://schemas.openxmlformats.org/officeDocument/2006/relationships/image" Target="../media/image116.emf"/><Relationship Id="rId11" Type="http://schemas.openxmlformats.org/officeDocument/2006/relationships/comments" Target="../comments22.xml"/><Relationship Id="rId5" Type="http://schemas.openxmlformats.org/officeDocument/2006/relationships/control" Target="../activeX/activeX99.xml"/><Relationship Id="rId10" Type="http://schemas.openxmlformats.org/officeDocument/2006/relationships/ctrlProp" Target="../ctrlProps/ctrlProp57.xml"/><Relationship Id="rId4" Type="http://schemas.openxmlformats.org/officeDocument/2006/relationships/image" Target="../media/image115.emf"/><Relationship Id="rId9" Type="http://schemas.openxmlformats.org/officeDocument/2006/relationships/ctrlProp" Target="../ctrlProps/ctrlProp56.xml"/></Relationships>
</file>

<file path=xl/worksheets/_rels/sheet30.xml.rels><?xml version="1.0" encoding="UTF-8" standalone="yes"?>
<Relationships xmlns="http://schemas.openxmlformats.org/package/2006/relationships"><Relationship Id="rId8" Type="http://schemas.openxmlformats.org/officeDocument/2006/relationships/image" Target="../media/image120.emf"/><Relationship Id="rId3" Type="http://schemas.openxmlformats.org/officeDocument/2006/relationships/control" Target="../activeX/activeX101.xml"/><Relationship Id="rId7" Type="http://schemas.openxmlformats.org/officeDocument/2006/relationships/control" Target="../activeX/activeX103.xml"/><Relationship Id="rId2" Type="http://schemas.openxmlformats.org/officeDocument/2006/relationships/vmlDrawing" Target="../drawings/vmlDrawing29.vml"/><Relationship Id="rId1" Type="http://schemas.openxmlformats.org/officeDocument/2006/relationships/drawing" Target="../drawings/drawing30.xml"/><Relationship Id="rId6" Type="http://schemas.openxmlformats.org/officeDocument/2006/relationships/image" Target="../media/image119.emf"/><Relationship Id="rId11" Type="http://schemas.openxmlformats.org/officeDocument/2006/relationships/comments" Target="../comments23.xml"/><Relationship Id="rId5" Type="http://schemas.openxmlformats.org/officeDocument/2006/relationships/control" Target="../activeX/activeX102.xml"/><Relationship Id="rId10" Type="http://schemas.openxmlformats.org/officeDocument/2006/relationships/ctrlProp" Target="../ctrlProps/ctrlProp59.xml"/><Relationship Id="rId4" Type="http://schemas.openxmlformats.org/officeDocument/2006/relationships/image" Target="../media/image118.emf"/><Relationship Id="rId9" Type="http://schemas.openxmlformats.org/officeDocument/2006/relationships/ctrlProp" Target="../ctrlProps/ctrlProp58.xml"/></Relationships>
</file>

<file path=xl/worksheets/_rels/sheet31.xml.rels><?xml version="1.0" encoding="UTF-8" standalone="yes"?>
<Relationships xmlns="http://schemas.openxmlformats.org/package/2006/relationships"><Relationship Id="rId8" Type="http://schemas.openxmlformats.org/officeDocument/2006/relationships/image" Target="../media/image123.emf"/><Relationship Id="rId3" Type="http://schemas.openxmlformats.org/officeDocument/2006/relationships/control" Target="../activeX/activeX104.xml"/><Relationship Id="rId7" Type="http://schemas.openxmlformats.org/officeDocument/2006/relationships/control" Target="../activeX/activeX106.xml"/><Relationship Id="rId2" Type="http://schemas.openxmlformats.org/officeDocument/2006/relationships/vmlDrawing" Target="../drawings/vmlDrawing30.vml"/><Relationship Id="rId1" Type="http://schemas.openxmlformats.org/officeDocument/2006/relationships/drawing" Target="../drawings/drawing31.xml"/><Relationship Id="rId6" Type="http://schemas.openxmlformats.org/officeDocument/2006/relationships/image" Target="../media/image122.emf"/><Relationship Id="rId11" Type="http://schemas.openxmlformats.org/officeDocument/2006/relationships/comments" Target="../comments24.xml"/><Relationship Id="rId5" Type="http://schemas.openxmlformats.org/officeDocument/2006/relationships/control" Target="../activeX/activeX105.xml"/><Relationship Id="rId10" Type="http://schemas.openxmlformats.org/officeDocument/2006/relationships/ctrlProp" Target="../ctrlProps/ctrlProp61.xml"/><Relationship Id="rId4" Type="http://schemas.openxmlformats.org/officeDocument/2006/relationships/image" Target="../media/image121.emf"/><Relationship Id="rId9" Type="http://schemas.openxmlformats.org/officeDocument/2006/relationships/ctrlProp" Target="../ctrlProps/ctrlProp60.xml"/></Relationships>
</file>

<file path=xl/worksheets/_rels/sheet32.xml.rels><?xml version="1.0" encoding="UTF-8" standalone="yes"?>
<Relationships xmlns="http://schemas.openxmlformats.org/package/2006/relationships"><Relationship Id="rId3" Type="http://schemas.openxmlformats.org/officeDocument/2006/relationships/ctrlProp" Target="../ctrlProps/ctrlProp62.xml"/><Relationship Id="rId2" Type="http://schemas.openxmlformats.org/officeDocument/2006/relationships/vmlDrawing" Target="../drawings/vmlDrawing31.vml"/><Relationship Id="rId1" Type="http://schemas.openxmlformats.org/officeDocument/2006/relationships/drawing" Target="../drawings/drawing32.xml"/><Relationship Id="rId4" Type="http://schemas.openxmlformats.org/officeDocument/2006/relationships/ctrlProp" Target="../ctrlProps/ctrlProp63.xml"/></Relationships>
</file>

<file path=xl/worksheets/_rels/sheet33.xml.rels><?xml version="1.0" encoding="UTF-8" standalone="yes"?>
<Relationships xmlns="http://schemas.openxmlformats.org/package/2006/relationships"><Relationship Id="rId3" Type="http://schemas.openxmlformats.org/officeDocument/2006/relationships/ctrlProp" Target="../ctrlProps/ctrlProp64.xml"/><Relationship Id="rId2" Type="http://schemas.openxmlformats.org/officeDocument/2006/relationships/vmlDrawing" Target="../drawings/vmlDrawing32.vml"/><Relationship Id="rId1" Type="http://schemas.openxmlformats.org/officeDocument/2006/relationships/drawing" Target="../drawings/drawing33.xml"/><Relationship Id="rId5" Type="http://schemas.openxmlformats.org/officeDocument/2006/relationships/comments" Target="../comments25.xml"/><Relationship Id="rId4" Type="http://schemas.openxmlformats.org/officeDocument/2006/relationships/ctrlProp" Target="../ctrlProps/ctrlProp65.xml"/></Relationships>
</file>

<file path=xl/worksheets/_rels/sheet34.xml.rels><?xml version="1.0" encoding="UTF-8" standalone="yes"?>
<Relationships xmlns="http://schemas.openxmlformats.org/package/2006/relationships"><Relationship Id="rId3" Type="http://schemas.openxmlformats.org/officeDocument/2006/relationships/ctrlProp" Target="../ctrlProps/ctrlProp66.xml"/><Relationship Id="rId2" Type="http://schemas.openxmlformats.org/officeDocument/2006/relationships/vmlDrawing" Target="../drawings/vmlDrawing33.vml"/><Relationship Id="rId1" Type="http://schemas.openxmlformats.org/officeDocument/2006/relationships/drawing" Target="../drawings/drawing34.xml"/><Relationship Id="rId5" Type="http://schemas.openxmlformats.org/officeDocument/2006/relationships/comments" Target="../comments26.xml"/><Relationship Id="rId4" Type="http://schemas.openxmlformats.org/officeDocument/2006/relationships/ctrlProp" Target="../ctrlProps/ctrlProp6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arning"/>
  <dimension ref="A1:S25"/>
  <sheetViews>
    <sheetView showGridLines="0" showRowColHeaders="0" workbookViewId="0">
      <selection activeCell="A8" sqref="A8"/>
    </sheetView>
  </sheetViews>
  <sheetFormatPr baseColWidth="10" defaultColWidth="0" defaultRowHeight="12.75" zeroHeight="1" x14ac:dyDescent="0.2"/>
  <cols>
    <col min="1" max="1" width="1.140625" customWidth="1"/>
    <col min="2" max="17" width="9.140625" customWidth="1"/>
    <col min="18" max="18" width="8.28515625" customWidth="1"/>
    <col min="19" max="19" width="1.140625" customWidth="1"/>
  </cols>
  <sheetData>
    <row r="1" spans="1:19" x14ac:dyDescent="0.2">
      <c r="B1" s="6"/>
      <c r="C1" s="6"/>
      <c r="D1" s="6"/>
      <c r="E1" s="6"/>
      <c r="F1" s="6"/>
      <c r="G1" s="6"/>
      <c r="H1" s="6"/>
      <c r="I1" s="6"/>
      <c r="J1" s="6"/>
      <c r="K1" s="6"/>
      <c r="L1" s="6"/>
      <c r="M1" s="6"/>
      <c r="N1" s="6"/>
      <c r="O1" s="6"/>
      <c r="P1" s="6"/>
      <c r="Q1" s="6"/>
      <c r="R1" s="6"/>
    </row>
    <row r="2" spans="1:19" x14ac:dyDescent="0.2">
      <c r="B2" s="6"/>
      <c r="C2" s="6"/>
      <c r="D2" s="6"/>
      <c r="E2" s="6"/>
      <c r="F2" s="6"/>
      <c r="G2" s="6"/>
      <c r="H2" s="6"/>
      <c r="I2" s="6"/>
      <c r="J2" s="6"/>
      <c r="K2" s="6"/>
      <c r="L2" s="6"/>
      <c r="M2" s="6"/>
      <c r="N2" s="6"/>
      <c r="O2" s="6"/>
      <c r="P2" s="6"/>
      <c r="Q2" s="6"/>
      <c r="R2" s="6"/>
    </row>
    <row r="3" spans="1:19" x14ac:dyDescent="0.2">
      <c r="B3" s="6"/>
      <c r="C3" s="6"/>
      <c r="D3" s="6"/>
      <c r="E3" s="6"/>
      <c r="F3" s="6"/>
      <c r="G3" s="6"/>
      <c r="H3" s="6"/>
      <c r="I3" s="6"/>
      <c r="J3" s="6"/>
      <c r="K3" s="6"/>
      <c r="L3" s="6"/>
      <c r="M3" s="6"/>
      <c r="N3" s="6"/>
      <c r="O3" s="6"/>
      <c r="P3" s="6"/>
      <c r="Q3" s="6"/>
      <c r="R3" s="6"/>
    </row>
    <row r="4" spans="1:19" x14ac:dyDescent="0.2">
      <c r="B4" s="6"/>
      <c r="C4" s="6"/>
      <c r="D4" s="6"/>
      <c r="E4" s="6"/>
      <c r="F4" s="6"/>
      <c r="G4" s="6"/>
      <c r="H4" s="6"/>
      <c r="I4" s="6"/>
      <c r="J4" s="6"/>
      <c r="K4" s="6"/>
      <c r="L4" s="6"/>
      <c r="M4" s="6"/>
      <c r="N4" s="6"/>
      <c r="O4" s="6"/>
      <c r="P4" s="6"/>
      <c r="Q4" s="6"/>
      <c r="R4" s="6"/>
    </row>
    <row r="5" spans="1:19" x14ac:dyDescent="0.2">
      <c r="B5" s="6"/>
      <c r="C5" s="6"/>
      <c r="D5" s="6"/>
      <c r="E5" s="6"/>
      <c r="F5" s="6"/>
      <c r="G5" s="6"/>
      <c r="H5" s="6"/>
      <c r="I5" s="6"/>
      <c r="J5" s="6"/>
      <c r="K5" s="6"/>
      <c r="L5" s="6"/>
      <c r="M5" s="6"/>
      <c r="N5" s="6"/>
      <c r="O5" s="6"/>
      <c r="P5" s="6"/>
      <c r="Q5" s="6"/>
      <c r="R5" s="6"/>
    </row>
    <row r="6" spans="1:19" x14ac:dyDescent="0.2">
      <c r="B6" s="6"/>
      <c r="C6" s="6"/>
      <c r="D6" s="6"/>
      <c r="E6" s="6"/>
      <c r="F6" s="6"/>
      <c r="G6" s="6"/>
      <c r="H6" s="6"/>
      <c r="I6" s="6"/>
      <c r="J6" s="6"/>
      <c r="K6" s="6"/>
      <c r="L6" s="6"/>
      <c r="M6" s="6"/>
      <c r="N6" s="6"/>
      <c r="O6" s="6"/>
      <c r="P6" s="6"/>
      <c r="Q6" s="6"/>
      <c r="R6" s="6"/>
    </row>
    <row r="7" spans="1:19" x14ac:dyDescent="0.2">
      <c r="B7" s="6"/>
      <c r="C7" s="6"/>
      <c r="D7" s="6"/>
      <c r="E7" s="6"/>
      <c r="F7" s="6"/>
      <c r="G7" s="6"/>
      <c r="H7" s="6"/>
      <c r="I7" s="6"/>
      <c r="J7" s="6"/>
      <c r="K7" s="6"/>
      <c r="L7" s="6"/>
      <c r="M7" s="6"/>
      <c r="N7" s="6"/>
      <c r="O7" s="6"/>
      <c r="P7" s="6"/>
      <c r="Q7" s="6"/>
      <c r="R7" s="6"/>
    </row>
    <row r="8" spans="1:19" ht="18" x14ac:dyDescent="0.2">
      <c r="B8" s="77" t="s">
        <v>629</v>
      </c>
      <c r="C8" s="78"/>
      <c r="D8" s="79"/>
      <c r="E8" s="79"/>
      <c r="F8" s="79"/>
      <c r="G8" s="80"/>
      <c r="H8" s="81"/>
      <c r="I8" s="81"/>
      <c r="J8" s="288"/>
      <c r="K8" s="288"/>
      <c r="L8" s="288"/>
      <c r="M8" s="288"/>
      <c r="N8" s="288"/>
      <c r="O8" s="288"/>
      <c r="P8" s="288"/>
      <c r="Q8" s="288"/>
      <c r="R8" s="288" t="str">
        <f>About!D2</f>
        <v>Version 4d for Testing</v>
      </c>
      <c r="S8" s="1200" t="s">
        <v>1228</v>
      </c>
    </row>
    <row r="9" spans="1:19" x14ac:dyDescent="0.2">
      <c r="B9" s="347"/>
      <c r="C9" s="346"/>
      <c r="D9" s="346"/>
      <c r="E9" s="346"/>
      <c r="F9" s="346"/>
      <c r="G9" s="346"/>
      <c r="H9" s="346"/>
      <c r="I9" s="346"/>
      <c r="J9" s="346"/>
      <c r="K9" s="346"/>
      <c r="L9" s="346"/>
      <c r="M9" s="346"/>
      <c r="N9" s="346"/>
      <c r="O9" s="346"/>
      <c r="P9" s="346"/>
      <c r="Q9" s="346"/>
      <c r="R9" s="348"/>
    </row>
    <row r="10" spans="1:19" ht="37.5" customHeight="1" x14ac:dyDescent="0.2">
      <c r="B10" s="347"/>
      <c r="C10" s="1314" t="s">
        <v>561</v>
      </c>
      <c r="D10" s="1315"/>
      <c r="E10" s="1315"/>
      <c r="F10" s="1315"/>
      <c r="G10" s="1315"/>
      <c r="H10" s="1315"/>
      <c r="I10" s="1315"/>
      <c r="J10" s="1315"/>
      <c r="K10" s="1315"/>
      <c r="L10" s="1315"/>
      <c r="M10" s="1315"/>
      <c r="N10" s="1315"/>
      <c r="O10" s="1315"/>
      <c r="P10" s="1315"/>
      <c r="Q10" s="1315"/>
      <c r="R10" s="348"/>
    </row>
    <row r="11" spans="1:19" ht="38.25" customHeight="1" x14ac:dyDescent="0.2">
      <c r="B11" s="347"/>
      <c r="C11" s="1315"/>
      <c r="D11" s="1315"/>
      <c r="E11" s="1315"/>
      <c r="F11" s="1315"/>
      <c r="G11" s="1315"/>
      <c r="H11" s="1315"/>
      <c r="I11" s="1315"/>
      <c r="J11" s="1315"/>
      <c r="K11" s="1315"/>
      <c r="L11" s="1315"/>
      <c r="M11" s="1315"/>
      <c r="N11" s="1315"/>
      <c r="O11" s="1315"/>
      <c r="P11" s="1315"/>
      <c r="Q11" s="1315"/>
      <c r="R11" s="348"/>
    </row>
    <row r="12" spans="1:19" ht="35.25" customHeight="1" x14ac:dyDescent="0.2">
      <c r="B12" s="347"/>
      <c r="C12" s="1315"/>
      <c r="D12" s="1315"/>
      <c r="E12" s="1315"/>
      <c r="F12" s="1315"/>
      <c r="G12" s="1315"/>
      <c r="H12" s="1315"/>
      <c r="I12" s="1315"/>
      <c r="J12" s="1315"/>
      <c r="K12" s="1315"/>
      <c r="L12" s="1315"/>
      <c r="M12" s="1315"/>
      <c r="N12" s="1315"/>
      <c r="O12" s="1315"/>
      <c r="P12" s="1315"/>
      <c r="Q12" s="1315"/>
      <c r="R12" s="348"/>
    </row>
    <row r="13" spans="1:19" ht="41.25" customHeight="1" x14ac:dyDescent="0.2">
      <c r="B13" s="347"/>
      <c r="C13" s="1315"/>
      <c r="D13" s="1315"/>
      <c r="E13" s="1315"/>
      <c r="F13" s="1315"/>
      <c r="G13" s="1315"/>
      <c r="H13" s="1315"/>
      <c r="I13" s="1315"/>
      <c r="J13" s="1315"/>
      <c r="K13" s="1315"/>
      <c r="L13" s="1315"/>
      <c r="M13" s="1315"/>
      <c r="N13" s="1315"/>
      <c r="O13" s="1315"/>
      <c r="P13" s="1315"/>
      <c r="Q13" s="1315"/>
      <c r="R13" s="348"/>
    </row>
    <row r="14" spans="1:19" ht="37.5" customHeight="1" x14ac:dyDescent="0.2">
      <c r="B14" s="347"/>
      <c r="C14" s="1315"/>
      <c r="D14" s="1315"/>
      <c r="E14" s="1315"/>
      <c r="F14" s="1315"/>
      <c r="G14" s="1315"/>
      <c r="H14" s="1315"/>
      <c r="I14" s="1315"/>
      <c r="J14" s="1315"/>
      <c r="K14" s="1315"/>
      <c r="L14" s="1315"/>
      <c r="M14" s="1315"/>
      <c r="N14" s="1315"/>
      <c r="O14" s="1315"/>
      <c r="P14" s="1315"/>
      <c r="Q14" s="1315"/>
      <c r="R14" s="348"/>
    </row>
    <row r="15" spans="1:19" x14ac:dyDescent="0.2">
      <c r="B15" s="349"/>
      <c r="C15" s="350"/>
      <c r="D15" s="350"/>
      <c r="E15" s="350"/>
      <c r="F15" s="350"/>
      <c r="G15" s="350"/>
      <c r="H15" s="350"/>
      <c r="I15" s="350"/>
      <c r="J15" s="350"/>
      <c r="K15" s="350"/>
      <c r="L15" s="350"/>
      <c r="M15" s="350"/>
      <c r="N15" s="350"/>
      <c r="O15" s="350"/>
      <c r="P15" s="350"/>
      <c r="Q15" s="350"/>
      <c r="R15" s="351"/>
    </row>
    <row r="16" spans="1:19" ht="5.25" customHeight="1" x14ac:dyDescent="0.2">
      <c r="A16" s="358"/>
    </row>
    <row r="17" hidden="1" x14ac:dyDescent="0.2"/>
    <row r="18" hidden="1" x14ac:dyDescent="0.2"/>
    <row r="19" hidden="1" x14ac:dyDescent="0.2"/>
    <row r="20" hidden="1" x14ac:dyDescent="0.2"/>
    <row r="21" hidden="1" x14ac:dyDescent="0.2"/>
    <row r="22" hidden="1" x14ac:dyDescent="0.2"/>
    <row r="23" hidden="1" x14ac:dyDescent="0.2"/>
    <row r="24" hidden="1" x14ac:dyDescent="0.2"/>
    <row r="25" hidden="1" x14ac:dyDescent="0.2"/>
  </sheetData>
  <sheetProtection selectLockedCells="1" selectUnlockedCells="1"/>
  <mergeCells count="1">
    <mergeCell ref="C10:Q14"/>
  </mergeCells>
  <phoneticPr fontId="122" type="noConversion"/>
  <pageMargins left="0.7" right="0.7" top="0.75" bottom="0.75" header="0.3" footer="0.3"/>
  <pageSetup paperSize="9" orientation="portrait"/>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tart2">
    <pageSetUpPr fitToPage="1"/>
  </sheetPr>
  <dimension ref="A1:U60"/>
  <sheetViews>
    <sheetView zoomScaleNormal="100" zoomScaleSheetLayoutView="100" workbookViewId="0">
      <pane ySplit="2" topLeftCell="A6" activePane="bottomLeft" state="frozen"/>
      <selection pane="bottomLeft" activeCell="A2" sqref="A2:C2"/>
    </sheetView>
  </sheetViews>
  <sheetFormatPr baseColWidth="10" defaultColWidth="9.140625" defaultRowHeight="12.75" x14ac:dyDescent="0.2"/>
  <cols>
    <col min="1" max="1" width="15" style="71" customWidth="1"/>
    <col min="2" max="2" width="4.28515625" style="71" customWidth="1"/>
    <col min="3" max="3" width="46.42578125" style="71" customWidth="1"/>
    <col min="4" max="4" width="14.28515625" style="71" customWidth="1"/>
    <col min="5" max="5" width="74.42578125" style="71" customWidth="1"/>
    <col min="6" max="12" width="9.140625" style="82"/>
    <col min="13" max="13" width="9.42578125" style="82" bestFit="1" customWidth="1"/>
    <col min="14" max="21" width="9.140625" style="82"/>
    <col min="22" max="16384" width="9.140625" style="71"/>
  </cols>
  <sheetData>
    <row r="1" spans="1:21" ht="80.25" customHeight="1" x14ac:dyDescent="0.2">
      <c r="F1" s="1"/>
      <c r="G1" s="1"/>
      <c r="H1" s="1"/>
      <c r="I1" s="1"/>
      <c r="J1" s="1"/>
      <c r="K1" s="1"/>
      <c r="L1" s="1"/>
      <c r="M1" s="1"/>
      <c r="N1" s="1"/>
      <c r="O1" s="1"/>
      <c r="P1" s="1"/>
      <c r="Q1" s="1"/>
      <c r="R1" s="1"/>
      <c r="S1" s="1"/>
      <c r="T1" s="1"/>
      <c r="U1" s="1"/>
    </row>
    <row r="2" spans="1:21" s="73" customFormat="1" ht="22.5" customHeight="1" x14ac:dyDescent="0.25">
      <c r="A2" s="1316"/>
      <c r="B2" s="1317"/>
      <c r="C2" s="1317"/>
      <c r="D2" s="352"/>
      <c r="E2" s="76"/>
      <c r="F2" s="1"/>
      <c r="G2" s="1"/>
      <c r="H2" s="1"/>
      <c r="I2" s="1"/>
      <c r="J2" s="1"/>
      <c r="K2" s="1"/>
      <c r="L2" s="1"/>
      <c r="M2" s="1"/>
      <c r="N2" s="1"/>
      <c r="O2" s="1"/>
      <c r="P2" s="1"/>
      <c r="Q2" s="1"/>
      <c r="R2" s="1"/>
      <c r="S2" s="1"/>
      <c r="T2" s="1"/>
      <c r="U2" s="1"/>
    </row>
    <row r="3" spans="1:21" ht="12.75" customHeight="1" x14ac:dyDescent="0.2">
      <c r="A3" s="104"/>
      <c r="B3" s="104"/>
      <c r="C3" s="104"/>
      <c r="D3" s="104"/>
      <c r="E3" s="104"/>
      <c r="H3" s="83"/>
      <c r="I3" s="84"/>
      <c r="J3" s="84"/>
      <c r="K3" s="84"/>
    </row>
    <row r="4" spans="1:21" ht="12.75" customHeight="1" x14ac:dyDescent="0.2">
      <c r="A4" s="104"/>
      <c r="B4" s="104"/>
      <c r="C4" s="104"/>
      <c r="D4" s="104"/>
      <c r="E4" s="104"/>
      <c r="H4" s="83"/>
      <c r="I4" s="84"/>
      <c r="J4" s="84"/>
      <c r="K4" s="84"/>
    </row>
    <row r="5" spans="1:21" ht="12.75" customHeight="1" x14ac:dyDescent="0.2">
      <c r="A5" s="104"/>
      <c r="B5" s="104"/>
      <c r="C5" s="104"/>
      <c r="D5" s="104"/>
      <c r="E5" s="104"/>
      <c r="H5" s="83"/>
      <c r="I5" s="84"/>
      <c r="J5" s="84"/>
      <c r="K5" s="84"/>
    </row>
    <row r="6" spans="1:21" ht="12.75" customHeight="1" x14ac:dyDescent="0.2">
      <c r="A6" s="104"/>
      <c r="B6" s="104"/>
      <c r="C6" s="104"/>
      <c r="D6" s="104"/>
      <c r="E6" s="104"/>
      <c r="H6" s="83"/>
      <c r="I6" s="84"/>
      <c r="J6" s="84"/>
      <c r="K6" s="84"/>
    </row>
    <row r="7" spans="1:21" ht="12.75" customHeight="1" x14ac:dyDescent="0.2">
      <c r="A7" s="104"/>
      <c r="B7" s="104"/>
      <c r="C7" s="104"/>
      <c r="D7" s="104"/>
      <c r="E7" s="104"/>
      <c r="H7" s="83"/>
      <c r="I7" s="84"/>
      <c r="J7" s="84"/>
      <c r="K7" s="84"/>
    </row>
    <row r="8" spans="1:21" ht="12.75" customHeight="1" x14ac:dyDescent="0.2">
      <c r="A8" s="104"/>
      <c r="B8" s="104"/>
      <c r="C8" s="104"/>
      <c r="D8" s="104"/>
      <c r="E8" s="104"/>
      <c r="H8" s="83"/>
      <c r="I8" s="84"/>
      <c r="J8" s="84"/>
      <c r="K8" s="84"/>
    </row>
    <row r="9" spans="1:21" ht="12.75" customHeight="1" x14ac:dyDescent="0.2">
      <c r="A9" s="104"/>
      <c r="B9" s="104"/>
      <c r="C9" s="104"/>
      <c r="D9" s="104"/>
      <c r="E9" s="104"/>
      <c r="H9" s="83"/>
      <c r="I9" s="84"/>
      <c r="J9" s="84"/>
      <c r="K9" s="84"/>
    </row>
    <row r="10" spans="1:21" ht="12.75" customHeight="1" x14ac:dyDescent="0.2">
      <c r="A10" s="104"/>
      <c r="B10" s="104"/>
      <c r="C10" s="104"/>
      <c r="D10" s="104"/>
      <c r="E10" s="104"/>
      <c r="H10" s="83"/>
      <c r="I10" s="84"/>
      <c r="J10" s="84"/>
      <c r="K10" s="84"/>
    </row>
    <row r="11" spans="1:21" ht="12.75" customHeight="1" x14ac:dyDescent="0.2">
      <c r="A11" s="104"/>
      <c r="B11" s="104"/>
      <c r="C11" s="104"/>
      <c r="D11" s="104"/>
      <c r="E11" s="104"/>
      <c r="H11" s="83"/>
      <c r="I11" s="84"/>
      <c r="J11" s="84"/>
      <c r="K11" s="84"/>
    </row>
    <row r="12" spans="1:21" ht="12.75" customHeight="1" x14ac:dyDescent="0.2">
      <c r="A12" s="104"/>
      <c r="B12" s="104"/>
      <c r="C12" s="104"/>
      <c r="D12" s="104"/>
      <c r="E12" s="104"/>
      <c r="H12" s="83"/>
      <c r="I12" s="84"/>
      <c r="J12" s="84"/>
      <c r="K12" s="84"/>
    </row>
    <row r="13" spans="1:21" ht="12.75" customHeight="1" x14ac:dyDescent="0.2">
      <c r="A13" s="104"/>
      <c r="B13" s="104"/>
      <c r="C13" s="104"/>
      <c r="D13" s="104"/>
      <c r="E13" s="104"/>
      <c r="H13" s="83"/>
      <c r="I13" s="84"/>
      <c r="J13" s="84"/>
      <c r="K13" s="84"/>
    </row>
    <row r="14" spans="1:21" ht="27.75" customHeight="1" x14ac:dyDescent="0.35">
      <c r="A14" s="104"/>
      <c r="B14" s="104"/>
      <c r="C14" s="104"/>
      <c r="D14" s="356" t="s">
        <v>67</v>
      </c>
      <c r="E14" s="104"/>
      <c r="H14" s="83"/>
      <c r="I14" s="84"/>
      <c r="J14" s="84"/>
      <c r="K14" s="84"/>
    </row>
    <row r="15" spans="1:21" ht="12.75" customHeight="1" x14ac:dyDescent="0.35">
      <c r="A15" s="104"/>
      <c r="B15" s="104"/>
      <c r="C15" s="104"/>
      <c r="D15" s="356"/>
      <c r="E15" s="104"/>
      <c r="H15" s="83"/>
      <c r="I15" s="84"/>
      <c r="J15" s="84"/>
      <c r="K15" s="84"/>
    </row>
    <row r="16" spans="1:21" ht="22.5" customHeight="1" x14ac:dyDescent="0.35">
      <c r="A16" s="104"/>
      <c r="B16" s="104"/>
      <c r="C16" s="104"/>
      <c r="D16" s="356" t="str">
        <f>About!D2</f>
        <v>Version 4d for Testing</v>
      </c>
      <c r="E16" s="104"/>
      <c r="H16" s="83"/>
      <c r="I16" s="84"/>
      <c r="J16" s="84"/>
      <c r="K16" s="84"/>
    </row>
    <row r="17" spans="1:11" ht="12.75" customHeight="1" x14ac:dyDescent="0.2">
      <c r="A17" s="104"/>
      <c r="B17" s="104"/>
      <c r="C17" s="104"/>
      <c r="D17" s="104"/>
      <c r="E17" s="104"/>
      <c r="H17" s="83"/>
      <c r="I17" s="84"/>
      <c r="J17" s="84"/>
      <c r="K17" s="84"/>
    </row>
    <row r="18" spans="1:11" ht="12.75" customHeight="1" x14ac:dyDescent="0.2">
      <c r="A18" s="104"/>
      <c r="B18" s="104"/>
      <c r="C18" s="104"/>
      <c r="D18" s="104"/>
      <c r="E18" s="104"/>
      <c r="H18" s="83"/>
      <c r="I18" s="84"/>
      <c r="J18" s="84"/>
      <c r="K18" s="84"/>
    </row>
    <row r="19" spans="1:11" ht="12.75" customHeight="1" x14ac:dyDescent="0.2">
      <c r="A19" s="104"/>
      <c r="B19" s="104"/>
      <c r="C19" s="104"/>
      <c r="D19" s="104"/>
      <c r="E19" s="104"/>
      <c r="H19" s="83"/>
      <c r="I19" s="84"/>
      <c r="J19" s="84"/>
      <c r="K19" s="84"/>
    </row>
    <row r="20" spans="1:11" ht="12.75" customHeight="1" x14ac:dyDescent="0.2">
      <c r="A20" s="104"/>
      <c r="B20" s="104"/>
      <c r="C20" s="104"/>
      <c r="D20" s="104"/>
      <c r="E20" s="104"/>
      <c r="H20" s="83"/>
      <c r="I20" s="84"/>
      <c r="J20" s="84"/>
      <c r="K20" s="84"/>
    </row>
    <row r="21" spans="1:11" ht="12.75" customHeight="1" x14ac:dyDescent="0.2">
      <c r="A21" s="104"/>
      <c r="B21" s="104"/>
      <c r="C21" s="104"/>
      <c r="D21" s="104"/>
      <c r="E21" s="104"/>
      <c r="H21" s="83"/>
      <c r="I21" s="84"/>
      <c r="J21" s="84"/>
      <c r="K21" s="84"/>
    </row>
    <row r="22" spans="1:11" ht="12.75" customHeight="1" x14ac:dyDescent="0.2">
      <c r="A22" s="104"/>
      <c r="B22" s="104"/>
      <c r="C22" s="104"/>
      <c r="D22" s="104"/>
      <c r="E22" s="104"/>
      <c r="H22" s="83"/>
      <c r="I22" s="84"/>
      <c r="J22" s="84"/>
      <c r="K22" s="84"/>
    </row>
    <row r="23" spans="1:11" ht="12.75" customHeight="1" x14ac:dyDescent="0.2">
      <c r="A23" s="104"/>
      <c r="B23" s="104"/>
      <c r="C23" s="104"/>
      <c r="D23" s="104"/>
      <c r="E23" s="104"/>
      <c r="H23" s="83"/>
      <c r="I23" s="84"/>
      <c r="J23" s="84"/>
      <c r="K23" s="84"/>
    </row>
    <row r="24" spans="1:11" ht="12.75" customHeight="1" x14ac:dyDescent="0.2">
      <c r="A24" s="104"/>
      <c r="B24" s="104"/>
      <c r="C24" s="104"/>
      <c r="D24" s="104"/>
      <c r="E24" s="104"/>
      <c r="H24" s="83"/>
      <c r="I24" s="84"/>
      <c r="J24" s="84"/>
      <c r="K24" s="84"/>
    </row>
    <row r="25" spans="1:11" ht="12.75" customHeight="1" x14ac:dyDescent="0.2">
      <c r="A25" s="104"/>
      <c r="B25" s="104"/>
      <c r="C25" s="104"/>
      <c r="D25" s="104"/>
      <c r="E25" s="104"/>
      <c r="H25" s="83"/>
      <c r="I25" s="84"/>
      <c r="J25" s="84"/>
      <c r="K25" s="84"/>
    </row>
    <row r="26" spans="1:11" ht="12.75" customHeight="1" x14ac:dyDescent="0.2">
      <c r="A26" s="104"/>
      <c r="B26" s="104"/>
      <c r="C26" s="104"/>
      <c r="D26" s="104"/>
      <c r="E26" s="104"/>
      <c r="H26" s="83"/>
      <c r="I26" s="84"/>
      <c r="J26" s="84"/>
      <c r="K26" s="84"/>
    </row>
    <row r="27" spans="1:11" ht="12.75" customHeight="1" x14ac:dyDescent="0.2">
      <c r="A27" s="104"/>
      <c r="B27" s="104"/>
      <c r="C27" s="104"/>
      <c r="D27" s="104"/>
      <c r="E27" s="104"/>
      <c r="H27" s="83"/>
      <c r="I27" s="84"/>
      <c r="J27" s="84"/>
      <c r="K27" s="84"/>
    </row>
    <row r="28" spans="1:11" ht="12.75" customHeight="1" x14ac:dyDescent="0.2">
      <c r="A28" s="104"/>
      <c r="B28" s="104"/>
      <c r="C28" s="104"/>
      <c r="D28" s="104"/>
      <c r="E28" s="104"/>
      <c r="H28" s="83"/>
      <c r="I28" s="84"/>
      <c r="J28" s="84"/>
      <c r="K28" s="84"/>
    </row>
    <row r="29" spans="1:11" ht="12.75" customHeight="1" x14ac:dyDescent="0.2">
      <c r="A29" s="104"/>
      <c r="B29" s="104"/>
      <c r="C29" s="104"/>
      <c r="D29" s="104"/>
      <c r="E29" s="104"/>
      <c r="H29" s="83"/>
      <c r="I29" s="84"/>
      <c r="J29" s="84"/>
      <c r="K29" s="84"/>
    </row>
    <row r="30" spans="1:11" ht="12.75" customHeight="1" x14ac:dyDescent="0.2">
      <c r="A30" s="104"/>
      <c r="B30" s="104"/>
      <c r="C30" s="104"/>
      <c r="D30" s="104"/>
      <c r="E30" s="104"/>
      <c r="H30" s="83"/>
      <c r="I30" s="84"/>
      <c r="J30" s="84"/>
      <c r="K30" s="84"/>
    </row>
    <row r="31" spans="1:11" ht="12.75" customHeight="1" x14ac:dyDescent="0.2">
      <c r="A31" s="104"/>
      <c r="B31" s="104"/>
      <c r="C31" s="104"/>
      <c r="D31" s="104"/>
      <c r="E31" s="104"/>
      <c r="H31" s="83"/>
      <c r="I31" s="84"/>
      <c r="J31" s="84"/>
      <c r="K31" s="84"/>
    </row>
    <row r="32" spans="1:11" ht="12.75" customHeight="1" x14ac:dyDescent="0.2">
      <c r="A32" s="104"/>
      <c r="B32" s="104"/>
      <c r="C32" s="104"/>
      <c r="D32" s="104"/>
      <c r="E32" s="104"/>
      <c r="H32" s="83"/>
      <c r="I32" s="84"/>
      <c r="J32" s="84"/>
      <c r="K32" s="84"/>
    </row>
    <row r="33" spans="1:17" ht="12.75" customHeight="1" x14ac:dyDescent="0.2">
      <c r="A33" s="104"/>
      <c r="B33" s="104"/>
      <c r="C33" s="104"/>
      <c r="D33" s="104"/>
      <c r="E33" s="104"/>
      <c r="H33" s="83"/>
      <c r="I33" s="84"/>
      <c r="J33" s="84"/>
      <c r="K33" s="84"/>
    </row>
    <row r="34" spans="1:17" ht="12.75" customHeight="1" x14ac:dyDescent="0.2">
      <c r="A34" s="104"/>
      <c r="B34" s="104"/>
      <c r="C34" s="104"/>
      <c r="D34" s="104"/>
      <c r="E34" s="104"/>
      <c r="H34" s="83"/>
      <c r="I34" s="84"/>
      <c r="J34" s="84"/>
      <c r="K34" s="84"/>
    </row>
    <row r="35" spans="1:17" x14ac:dyDescent="0.2">
      <c r="A35" s="72"/>
      <c r="B35" s="72"/>
      <c r="C35" s="72"/>
      <c r="D35" s="72"/>
      <c r="E35" s="72"/>
    </row>
    <row r="36" spans="1:17" x14ac:dyDescent="0.2">
      <c r="A36" s="72"/>
      <c r="B36" s="72"/>
      <c r="C36" s="353"/>
      <c r="D36" s="353"/>
      <c r="E36" s="72"/>
    </row>
    <row r="37" spans="1:17" x14ac:dyDescent="0.2">
      <c r="A37" s="72"/>
      <c r="B37" s="72"/>
      <c r="C37" s="72"/>
      <c r="D37" s="72"/>
      <c r="E37" s="72"/>
      <c r="O37" s="85"/>
      <c r="P37" s="85"/>
      <c r="Q37" s="85"/>
    </row>
    <row r="38" spans="1:17" x14ac:dyDescent="0.2">
      <c r="A38" s="72"/>
      <c r="B38" s="72"/>
      <c r="C38" s="72"/>
      <c r="D38" s="72"/>
      <c r="E38" s="72"/>
    </row>
    <row r="39" spans="1:17" x14ac:dyDescent="0.2">
      <c r="A39" s="72"/>
      <c r="B39" s="72"/>
      <c r="C39" s="72"/>
      <c r="D39" s="72"/>
      <c r="E39" s="72"/>
      <c r="H39" s="354"/>
    </row>
    <row r="40" spans="1:17" x14ac:dyDescent="0.2">
      <c r="A40" s="72"/>
      <c r="B40" s="72"/>
      <c r="C40" s="72"/>
      <c r="D40" s="72"/>
      <c r="E40" s="72"/>
      <c r="H40" s="355"/>
    </row>
    <row r="41" spans="1:17" x14ac:dyDescent="0.2">
      <c r="A41" s="72"/>
      <c r="B41" s="72"/>
      <c r="C41" s="72"/>
      <c r="D41" s="72"/>
      <c r="E41" s="72"/>
      <c r="H41" s="354"/>
    </row>
    <row r="42" spans="1:17" x14ac:dyDescent="0.2">
      <c r="A42" s="72"/>
      <c r="B42" s="72"/>
      <c r="C42" s="72"/>
      <c r="D42" s="72"/>
      <c r="E42" s="72"/>
      <c r="H42" s="88"/>
    </row>
    <row r="43" spans="1:17" x14ac:dyDescent="0.2">
      <c r="A43" s="72"/>
      <c r="B43" s="72"/>
      <c r="C43" s="72"/>
      <c r="D43" s="72"/>
      <c r="E43" s="72"/>
    </row>
    <row r="44" spans="1:17" x14ac:dyDescent="0.2">
      <c r="A44" s="72"/>
      <c r="B44" s="72"/>
      <c r="C44" s="72"/>
      <c r="D44" s="72"/>
      <c r="E44" s="72"/>
    </row>
    <row r="45" spans="1:17" x14ac:dyDescent="0.2">
      <c r="A45" s="72"/>
      <c r="B45" s="72"/>
      <c r="C45" s="72"/>
      <c r="D45" s="72"/>
      <c r="E45" s="72"/>
    </row>
    <row r="46" spans="1:17" x14ac:dyDescent="0.2">
      <c r="A46" s="72"/>
      <c r="B46" s="72"/>
      <c r="C46" s="72"/>
      <c r="D46" s="72"/>
      <c r="E46" s="72"/>
    </row>
    <row r="47" spans="1:17" x14ac:dyDescent="0.2">
      <c r="A47" s="72"/>
      <c r="B47" s="72"/>
      <c r="C47" s="72"/>
      <c r="D47" s="72"/>
      <c r="E47" s="72"/>
    </row>
    <row r="48" spans="1:17" x14ac:dyDescent="0.2">
      <c r="A48" s="72"/>
      <c r="B48" s="72"/>
      <c r="C48" s="72"/>
      <c r="D48" s="72"/>
      <c r="E48" s="72"/>
    </row>
    <row r="49" spans="1:5" x14ac:dyDescent="0.2">
      <c r="A49" s="72"/>
      <c r="B49" s="72"/>
      <c r="C49" s="72"/>
      <c r="D49" s="72"/>
      <c r="E49" s="72"/>
    </row>
    <row r="50" spans="1:5" x14ac:dyDescent="0.2">
      <c r="A50" s="72"/>
      <c r="B50" s="72"/>
      <c r="C50" s="72"/>
      <c r="D50" s="72"/>
      <c r="E50" s="72"/>
    </row>
    <row r="51" spans="1:5" x14ac:dyDescent="0.2">
      <c r="A51" s="72"/>
      <c r="B51" s="72"/>
      <c r="C51" s="72"/>
      <c r="D51" s="72"/>
      <c r="E51" s="72"/>
    </row>
    <row r="52" spans="1:5" x14ac:dyDescent="0.2">
      <c r="A52" s="72"/>
      <c r="B52" s="72"/>
      <c r="C52" s="72"/>
      <c r="D52" s="72"/>
      <c r="E52" s="72"/>
    </row>
    <row r="53" spans="1:5" x14ac:dyDescent="0.2">
      <c r="A53" s="72"/>
      <c r="B53" s="72"/>
      <c r="C53" s="72"/>
      <c r="D53" s="72"/>
      <c r="E53" s="72"/>
    </row>
    <row r="54" spans="1:5" x14ac:dyDescent="0.2">
      <c r="A54" s="72"/>
      <c r="B54" s="72"/>
      <c r="C54" s="72"/>
      <c r="D54" s="72"/>
      <c r="E54" s="72"/>
    </row>
    <row r="55" spans="1:5" x14ac:dyDescent="0.2">
      <c r="A55" s="72"/>
      <c r="B55" s="72"/>
      <c r="C55" s="72"/>
      <c r="D55" s="72"/>
      <c r="E55" s="72"/>
    </row>
    <row r="56" spans="1:5" x14ac:dyDescent="0.2">
      <c r="A56" s="72"/>
      <c r="B56" s="72"/>
      <c r="C56" s="72"/>
      <c r="D56" s="72"/>
      <c r="E56" s="72"/>
    </row>
    <row r="57" spans="1:5" x14ac:dyDescent="0.2">
      <c r="A57" s="72"/>
      <c r="B57" s="72"/>
      <c r="C57" s="72"/>
      <c r="D57" s="72"/>
      <c r="E57" s="72"/>
    </row>
    <row r="58" spans="1:5" x14ac:dyDescent="0.2">
      <c r="A58" s="72"/>
      <c r="B58" s="72"/>
      <c r="C58" s="72"/>
      <c r="D58" s="72"/>
      <c r="E58" s="72"/>
    </row>
    <row r="59" spans="1:5" x14ac:dyDescent="0.2">
      <c r="A59" s="72"/>
      <c r="B59" s="72"/>
      <c r="C59" s="72"/>
      <c r="D59" s="72"/>
      <c r="E59" s="72"/>
    </row>
    <row r="60" spans="1:5" x14ac:dyDescent="0.2">
      <c r="A60" s="72"/>
      <c r="B60" s="72"/>
      <c r="C60" s="72"/>
      <c r="D60" s="72"/>
      <c r="E60" s="72"/>
    </row>
  </sheetData>
  <sheetProtection insertColumns="0" insertRows="0" deleteColumns="0" deleteRows="0"/>
  <mergeCells count="1">
    <mergeCell ref="A2:C2"/>
  </mergeCells>
  <phoneticPr fontId="27" type="noConversion"/>
  <pageMargins left="0.75" right="0.75" top="0.73" bottom="1" header="0.5" footer="0.5"/>
  <pageSetup paperSize="9" scale="85" fitToHeight="0" orientation="landscape"/>
  <headerFooter alignWithMargins="0">
    <oddFooter>&amp;L&amp;8&amp;F&amp;C&amp;8&amp;A&amp;R&amp;8page&amp;P</oddFooter>
  </headerFooter>
  <drawing r:id="rId1"/>
  <legacyDrawing r:id="rId2"/>
  <controls>
    <mc:AlternateContent xmlns:mc="http://schemas.openxmlformats.org/markup-compatibility/2006">
      <mc:Choice Requires="x14">
        <control shapeId="44041" r:id="rId3" name="CommandButton1">
          <controlPr defaultSize="0" autoFill="0" autoLine="0" r:id="rId4">
            <anchor moveWithCells="1">
              <from>
                <xdr:col>2</xdr:col>
                <xdr:colOff>2486025</xdr:colOff>
                <xdr:row>18</xdr:row>
                <xdr:rowOff>85725</xdr:rowOff>
              </from>
              <to>
                <xdr:col>4</xdr:col>
                <xdr:colOff>542925</xdr:colOff>
                <xdr:row>21</xdr:row>
                <xdr:rowOff>28575</xdr:rowOff>
              </to>
            </anchor>
          </controlPr>
        </control>
      </mc:Choice>
      <mc:Fallback>
        <control shapeId="44041" r:id="rId3"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art">
    <pageSetUpPr fitToPage="1"/>
  </sheetPr>
  <dimension ref="A1:AC60"/>
  <sheetViews>
    <sheetView zoomScaleNormal="100" zoomScaleSheetLayoutView="100" workbookViewId="0">
      <pane ySplit="2" topLeftCell="A3" activePane="bottomLeft" state="frozen"/>
      <selection pane="bottomLeft" activeCell="A2" sqref="A2:C2"/>
    </sheetView>
  </sheetViews>
  <sheetFormatPr baseColWidth="10" defaultColWidth="9.140625" defaultRowHeight="12.75" x14ac:dyDescent="0.2"/>
  <cols>
    <col min="1" max="1" width="15" style="71" customWidth="1"/>
    <col min="2" max="2" width="4.28515625" style="71" customWidth="1"/>
    <col min="3" max="3" width="46.42578125" style="71" customWidth="1"/>
    <col min="4" max="4" width="14.28515625" style="71" customWidth="1"/>
    <col min="5" max="5" width="74.42578125" style="71" customWidth="1"/>
    <col min="6" max="12" width="9.140625" style="82"/>
    <col min="13" max="13" width="9.42578125" style="82" bestFit="1" customWidth="1"/>
    <col min="14" max="29" width="9.140625" style="82"/>
    <col min="30" max="16384" width="9.140625" style="71"/>
  </cols>
  <sheetData>
    <row r="1" spans="1:29" ht="80.25" customHeight="1" x14ac:dyDescent="0.2">
      <c r="F1" s="1"/>
      <c r="G1" s="1"/>
      <c r="H1" s="1"/>
      <c r="I1" s="1"/>
      <c r="J1" s="1"/>
      <c r="K1" s="1"/>
      <c r="L1" s="1"/>
      <c r="M1" s="1"/>
      <c r="N1" s="1"/>
      <c r="O1" s="1"/>
      <c r="P1" s="1"/>
      <c r="Q1" s="1"/>
      <c r="R1" s="1"/>
      <c r="S1" s="1"/>
      <c r="T1" s="1"/>
      <c r="U1" s="1"/>
    </row>
    <row r="2" spans="1:29" s="73" customFormat="1" ht="22.5" customHeight="1" x14ac:dyDescent="0.25">
      <c r="A2" s="1318"/>
      <c r="B2" s="1318"/>
      <c r="C2" s="1318"/>
      <c r="D2" s="1218"/>
      <c r="E2" s="1219"/>
      <c r="F2" s="1"/>
      <c r="G2" s="1"/>
      <c r="H2" s="1"/>
      <c r="I2" s="1"/>
      <c r="J2" s="1"/>
      <c r="K2" s="1"/>
      <c r="L2" s="1"/>
      <c r="M2" s="1"/>
      <c r="N2" s="1"/>
      <c r="O2" s="1"/>
      <c r="P2" s="1"/>
      <c r="Q2" s="1"/>
      <c r="R2" s="1"/>
      <c r="S2" s="1"/>
      <c r="T2" s="1"/>
      <c r="U2" s="1"/>
      <c r="V2" s="1235"/>
      <c r="W2" s="1235"/>
      <c r="X2" s="1235"/>
      <c r="Y2" s="1235"/>
      <c r="Z2" s="1235"/>
      <c r="AA2" s="1235"/>
      <c r="AB2" s="1235"/>
      <c r="AC2" s="1235"/>
    </row>
    <row r="3" spans="1:29" ht="12.75" customHeight="1" x14ac:dyDescent="0.2">
      <c r="A3" s="104"/>
      <c r="B3" s="104"/>
      <c r="C3" s="104"/>
      <c r="D3" s="104"/>
      <c r="E3" s="104"/>
      <c r="H3" s="83"/>
      <c r="I3" s="84"/>
      <c r="J3" s="84"/>
      <c r="K3" s="84"/>
    </row>
    <row r="4" spans="1:29" ht="12.75" customHeight="1" x14ac:dyDescent="0.2">
      <c r="A4" s="104"/>
      <c r="B4" s="104"/>
      <c r="C4" s="104"/>
      <c r="D4" s="104"/>
      <c r="E4" s="104"/>
      <c r="H4" s="83"/>
      <c r="I4" s="84"/>
      <c r="J4" s="84"/>
      <c r="K4" s="84"/>
    </row>
    <row r="5" spans="1:29" ht="12.75" customHeight="1" x14ac:dyDescent="0.2">
      <c r="A5" s="104"/>
      <c r="B5" s="104"/>
      <c r="C5" s="104"/>
      <c r="D5" s="104"/>
      <c r="E5" s="104"/>
      <c r="H5" s="83"/>
      <c r="I5" s="84"/>
      <c r="J5" s="84"/>
      <c r="K5" s="84"/>
    </row>
    <row r="6" spans="1:29" ht="12.75" customHeight="1" x14ac:dyDescent="0.2">
      <c r="A6" s="104"/>
      <c r="B6" s="104"/>
      <c r="C6" s="104"/>
      <c r="D6" s="104"/>
      <c r="E6" s="104"/>
      <c r="H6" s="83"/>
      <c r="I6" s="84"/>
      <c r="J6" s="84"/>
      <c r="K6" s="84"/>
    </row>
    <row r="7" spans="1:29" ht="12.75" customHeight="1" x14ac:dyDescent="0.2">
      <c r="A7" s="104"/>
      <c r="B7" s="104"/>
      <c r="C7" s="104"/>
      <c r="D7" s="104"/>
      <c r="E7" s="104"/>
      <c r="H7" s="83"/>
      <c r="I7" s="84"/>
      <c r="J7" s="84"/>
      <c r="K7" s="84"/>
    </row>
    <row r="8" spans="1:29" ht="12.75" customHeight="1" x14ac:dyDescent="0.2">
      <c r="A8" s="104"/>
      <c r="B8" s="104"/>
      <c r="C8" s="104"/>
      <c r="D8" s="104"/>
      <c r="E8" s="104"/>
      <c r="H8" s="83"/>
      <c r="I8" s="84"/>
      <c r="J8" s="84"/>
      <c r="K8" s="84"/>
    </row>
    <row r="9" spans="1:29" ht="12.75" customHeight="1" x14ac:dyDescent="0.2">
      <c r="A9" s="104"/>
      <c r="B9" s="104"/>
      <c r="C9" s="104"/>
      <c r="D9" s="104"/>
      <c r="E9" s="104"/>
      <c r="H9" s="83"/>
      <c r="I9" s="84"/>
      <c r="J9" s="84"/>
      <c r="K9" s="84"/>
    </row>
    <row r="10" spans="1:29" ht="12.75" customHeight="1" x14ac:dyDescent="0.2">
      <c r="A10" s="104"/>
      <c r="B10" s="104"/>
      <c r="C10" s="104"/>
      <c r="D10" s="104"/>
      <c r="E10" s="104"/>
      <c r="H10" s="83"/>
      <c r="I10" s="84"/>
      <c r="J10" s="84"/>
      <c r="K10" s="84"/>
    </row>
    <row r="11" spans="1:29" ht="12.75" customHeight="1" x14ac:dyDescent="0.2">
      <c r="A11" s="104"/>
      <c r="B11" s="104"/>
      <c r="C11" s="104"/>
      <c r="D11" s="104"/>
      <c r="E11" s="104"/>
      <c r="H11" s="83"/>
      <c r="I11" s="84"/>
      <c r="J11" s="84"/>
      <c r="K11" s="84"/>
    </row>
    <row r="12" spans="1:29" ht="12.75" customHeight="1" x14ac:dyDescent="0.2">
      <c r="A12" s="104"/>
      <c r="B12" s="104"/>
      <c r="C12" s="104"/>
      <c r="D12" s="104"/>
      <c r="E12" s="104"/>
      <c r="H12" s="83"/>
      <c r="I12" s="84"/>
      <c r="J12" s="84"/>
      <c r="K12" s="84"/>
    </row>
    <row r="13" spans="1:29" ht="12.75" customHeight="1" x14ac:dyDescent="0.2">
      <c r="A13" s="104"/>
      <c r="B13" s="104"/>
      <c r="C13" s="104"/>
      <c r="D13" s="104"/>
      <c r="E13" s="104"/>
      <c r="H13" s="83"/>
      <c r="I13" s="84"/>
      <c r="J13" s="84"/>
      <c r="K13" s="84"/>
    </row>
    <row r="14" spans="1:29" ht="27.75" customHeight="1" x14ac:dyDescent="0.35">
      <c r="A14" s="104"/>
      <c r="B14" s="104"/>
      <c r="C14" s="104"/>
      <c r="D14" s="356" t="s">
        <v>67</v>
      </c>
      <c r="E14" s="104"/>
      <c r="H14" s="83"/>
      <c r="I14" s="84"/>
      <c r="J14" s="84"/>
      <c r="K14" s="84"/>
    </row>
    <row r="15" spans="1:29" ht="12.75" customHeight="1" x14ac:dyDescent="0.35">
      <c r="A15" s="104"/>
      <c r="B15" s="104"/>
      <c r="C15" s="104"/>
      <c r="D15" s="356"/>
      <c r="E15" s="104"/>
      <c r="H15" s="83"/>
      <c r="I15" s="84"/>
      <c r="J15" s="84"/>
      <c r="K15" s="84"/>
    </row>
    <row r="16" spans="1:29" ht="22.5" customHeight="1" x14ac:dyDescent="0.35">
      <c r="A16" s="104"/>
      <c r="B16" s="104"/>
      <c r="C16" s="104"/>
      <c r="D16" s="356" t="str">
        <f>About!D2</f>
        <v>Version 4d for Testing</v>
      </c>
      <c r="E16" s="104"/>
      <c r="H16" s="83"/>
      <c r="I16" s="84"/>
      <c r="J16" s="84"/>
      <c r="K16" s="84"/>
    </row>
    <row r="17" spans="1:11" ht="12.75" customHeight="1" x14ac:dyDescent="0.2">
      <c r="A17" s="104"/>
      <c r="B17" s="104"/>
      <c r="C17" s="104"/>
      <c r="D17" s="104"/>
      <c r="E17" s="104"/>
      <c r="H17" s="83"/>
      <c r="I17" s="84"/>
      <c r="J17" s="84"/>
      <c r="K17" s="84"/>
    </row>
    <row r="18" spans="1:11" ht="12.75" customHeight="1" x14ac:dyDescent="0.2">
      <c r="A18" s="104"/>
      <c r="B18" s="104"/>
      <c r="C18" s="104"/>
      <c r="D18" s="104"/>
      <c r="E18" s="104"/>
      <c r="H18" s="83"/>
      <c r="I18" s="84"/>
      <c r="J18" s="84"/>
      <c r="K18" s="84"/>
    </row>
    <row r="19" spans="1:11" ht="12.75" customHeight="1" x14ac:dyDescent="0.2">
      <c r="A19" s="104"/>
      <c r="B19" s="104"/>
      <c r="C19" s="104"/>
      <c r="D19" s="104"/>
      <c r="E19" s="104"/>
      <c r="H19" s="83"/>
      <c r="I19" s="84"/>
      <c r="J19" s="84"/>
      <c r="K19" s="84"/>
    </row>
    <row r="20" spans="1:11" ht="12.75" customHeight="1" x14ac:dyDescent="0.2">
      <c r="A20" s="104"/>
      <c r="B20" s="104"/>
      <c r="C20" s="104"/>
      <c r="D20" s="104"/>
      <c r="E20" s="104"/>
      <c r="H20" s="83"/>
      <c r="I20" s="84"/>
      <c r="J20" s="84"/>
      <c r="K20" s="84"/>
    </row>
    <row r="21" spans="1:11" ht="12.75" customHeight="1" x14ac:dyDescent="0.2">
      <c r="A21" s="104"/>
      <c r="B21" s="104"/>
      <c r="C21" s="104"/>
      <c r="D21" s="104"/>
      <c r="E21" s="104"/>
      <c r="H21" s="83"/>
      <c r="I21" s="84"/>
      <c r="J21" s="84"/>
      <c r="K21" s="84"/>
    </row>
    <row r="22" spans="1:11" ht="12.75" customHeight="1" x14ac:dyDescent="0.2">
      <c r="A22" s="104"/>
      <c r="B22" s="104"/>
      <c r="C22" s="104"/>
      <c r="D22" s="104"/>
      <c r="E22" s="104"/>
      <c r="H22" s="83"/>
      <c r="I22" s="84"/>
      <c r="J22" s="84"/>
      <c r="K22" s="84"/>
    </row>
    <row r="23" spans="1:11" ht="12.75" customHeight="1" x14ac:dyDescent="0.2">
      <c r="A23" s="104"/>
      <c r="B23" s="104"/>
      <c r="C23" s="104"/>
      <c r="D23" s="104"/>
      <c r="E23" s="104"/>
      <c r="H23" s="83"/>
      <c r="I23" s="84"/>
      <c r="J23" s="84"/>
      <c r="K23" s="84"/>
    </row>
    <row r="24" spans="1:11" ht="12.75" customHeight="1" x14ac:dyDescent="0.2">
      <c r="A24" s="104"/>
      <c r="B24" s="104"/>
      <c r="C24" s="104"/>
      <c r="D24" s="104"/>
      <c r="E24" s="104"/>
      <c r="H24" s="83"/>
      <c r="I24" s="84"/>
      <c r="J24" s="84"/>
      <c r="K24" s="84"/>
    </row>
    <row r="25" spans="1:11" ht="12.75" customHeight="1" x14ac:dyDescent="0.2">
      <c r="A25" s="104"/>
      <c r="B25" s="104"/>
      <c r="C25" s="104"/>
      <c r="D25" s="104"/>
      <c r="E25" s="104"/>
      <c r="H25" s="83"/>
      <c r="I25" s="84"/>
      <c r="J25" s="84"/>
      <c r="K25" s="84"/>
    </row>
    <row r="26" spans="1:11" ht="12.75" customHeight="1" x14ac:dyDescent="0.2">
      <c r="A26" s="104"/>
      <c r="B26" s="104"/>
      <c r="C26" s="104"/>
      <c r="D26" s="104"/>
      <c r="E26" s="104"/>
      <c r="H26" s="83"/>
      <c r="I26" s="84"/>
      <c r="J26" s="84"/>
      <c r="K26" s="84"/>
    </row>
    <row r="27" spans="1:11" ht="12.75" customHeight="1" x14ac:dyDescent="0.2">
      <c r="A27" s="104"/>
      <c r="B27" s="104"/>
      <c r="C27" s="104"/>
      <c r="D27" s="104"/>
      <c r="E27" s="104"/>
      <c r="H27" s="83"/>
      <c r="I27" s="84"/>
      <c r="J27" s="84"/>
      <c r="K27" s="84"/>
    </row>
    <row r="28" spans="1:11" ht="12.75" customHeight="1" x14ac:dyDescent="0.2">
      <c r="A28" s="104"/>
      <c r="B28" s="104"/>
      <c r="C28" s="104"/>
      <c r="D28" s="104"/>
      <c r="E28" s="104"/>
      <c r="H28" s="83"/>
      <c r="I28" s="84"/>
      <c r="J28" s="84"/>
      <c r="K28" s="84"/>
    </row>
    <row r="29" spans="1:11" ht="12.75" customHeight="1" x14ac:dyDescent="0.2">
      <c r="A29" s="104"/>
      <c r="B29" s="104"/>
      <c r="C29" s="104"/>
      <c r="D29" s="104"/>
      <c r="E29" s="104"/>
      <c r="H29" s="83"/>
      <c r="I29" s="84"/>
      <c r="J29" s="84"/>
      <c r="K29" s="84"/>
    </row>
    <row r="30" spans="1:11" ht="12.75" customHeight="1" x14ac:dyDescent="0.2">
      <c r="A30" s="104"/>
      <c r="B30" s="104"/>
      <c r="C30" s="104"/>
      <c r="D30" s="104"/>
      <c r="E30" s="104"/>
      <c r="H30" s="83"/>
      <c r="I30" s="84"/>
      <c r="J30" s="84"/>
      <c r="K30" s="84"/>
    </row>
    <row r="31" spans="1:11" ht="12.75" customHeight="1" x14ac:dyDescent="0.2">
      <c r="A31" s="104"/>
      <c r="B31" s="104"/>
      <c r="C31" s="104"/>
      <c r="D31" s="104"/>
      <c r="E31" s="104"/>
      <c r="H31" s="83"/>
      <c r="I31" s="84"/>
      <c r="J31" s="84"/>
      <c r="K31" s="84"/>
    </row>
    <row r="32" spans="1:11" ht="12.75" customHeight="1" x14ac:dyDescent="0.2">
      <c r="A32" s="104"/>
      <c r="B32" s="104"/>
      <c r="C32" s="104"/>
      <c r="D32" s="104"/>
      <c r="E32" s="104"/>
      <c r="H32" s="83"/>
      <c r="I32" s="84"/>
      <c r="J32" s="84"/>
      <c r="K32" s="84"/>
    </row>
    <row r="33" spans="1:17" ht="12.75" customHeight="1" x14ac:dyDescent="0.2">
      <c r="A33" s="104"/>
      <c r="B33" s="104"/>
      <c r="C33" s="104"/>
      <c r="D33" s="104"/>
      <c r="E33" s="104"/>
      <c r="H33" s="83"/>
      <c r="I33" s="84"/>
      <c r="J33" s="84"/>
      <c r="K33" s="84"/>
    </row>
    <row r="34" spans="1:17" ht="12.75" customHeight="1" x14ac:dyDescent="0.2">
      <c r="A34" s="104"/>
      <c r="B34" s="104"/>
      <c r="C34" s="104"/>
      <c r="D34" s="104"/>
      <c r="E34" s="104"/>
      <c r="H34" s="83"/>
      <c r="I34" s="84"/>
      <c r="J34" s="84"/>
      <c r="K34" s="84"/>
    </row>
    <row r="35" spans="1:17" x14ac:dyDescent="0.2">
      <c r="A35" s="72"/>
      <c r="B35" s="72"/>
      <c r="C35" s="72"/>
      <c r="D35" s="72"/>
      <c r="E35" s="72"/>
    </row>
    <row r="36" spans="1:17" x14ac:dyDescent="0.2">
      <c r="A36" s="72"/>
      <c r="B36" s="72"/>
      <c r="C36" s="353"/>
      <c r="D36" s="353"/>
      <c r="E36" s="72"/>
    </row>
    <row r="37" spans="1:17" x14ac:dyDescent="0.2">
      <c r="A37" s="72"/>
      <c r="B37" s="72"/>
      <c r="C37" s="72"/>
      <c r="D37" s="72"/>
      <c r="E37" s="72"/>
      <c r="O37" s="85"/>
      <c r="P37" s="85"/>
      <c r="Q37" s="85"/>
    </row>
    <row r="38" spans="1:17" x14ac:dyDescent="0.2">
      <c r="A38" s="72"/>
      <c r="B38" s="72"/>
      <c r="C38" s="72"/>
      <c r="D38" s="72"/>
      <c r="E38" s="72"/>
    </row>
    <row r="39" spans="1:17" x14ac:dyDescent="0.2">
      <c r="A39" s="72"/>
      <c r="B39" s="72"/>
      <c r="C39" s="72"/>
      <c r="D39" s="72"/>
      <c r="E39" s="72"/>
      <c r="H39" s="354"/>
    </row>
    <row r="40" spans="1:17" x14ac:dyDescent="0.2">
      <c r="A40" s="72"/>
      <c r="B40" s="72"/>
      <c r="C40" s="72"/>
      <c r="D40" s="72"/>
      <c r="E40" s="72"/>
      <c r="H40" s="355"/>
    </row>
    <row r="41" spans="1:17" x14ac:dyDescent="0.2">
      <c r="A41" s="72"/>
      <c r="B41" s="72"/>
      <c r="C41" s="72"/>
      <c r="D41" s="72"/>
      <c r="E41" s="72"/>
      <c r="H41" s="354"/>
    </row>
    <row r="42" spans="1:17" x14ac:dyDescent="0.2">
      <c r="A42" s="72"/>
      <c r="B42" s="72"/>
      <c r="C42" s="72"/>
      <c r="D42" s="72"/>
      <c r="E42" s="72"/>
      <c r="H42" s="88"/>
    </row>
    <row r="43" spans="1:17" x14ac:dyDescent="0.2">
      <c r="A43" s="72"/>
      <c r="B43" s="72"/>
      <c r="C43" s="72"/>
      <c r="D43" s="72"/>
      <c r="E43" s="72"/>
    </row>
    <row r="44" spans="1:17" x14ac:dyDescent="0.2">
      <c r="A44" s="72"/>
      <c r="B44" s="72"/>
      <c r="C44" s="72"/>
      <c r="D44" s="72"/>
      <c r="E44" s="72"/>
    </row>
    <row r="45" spans="1:17" x14ac:dyDescent="0.2">
      <c r="A45" s="72"/>
      <c r="B45" s="72"/>
      <c r="C45" s="72"/>
      <c r="D45" s="72"/>
      <c r="E45" s="72"/>
    </row>
    <row r="46" spans="1:17" x14ac:dyDescent="0.2">
      <c r="A46" s="72"/>
      <c r="B46" s="72"/>
      <c r="C46" s="72"/>
      <c r="D46" s="72"/>
      <c r="E46" s="72"/>
    </row>
    <row r="47" spans="1:17" x14ac:dyDescent="0.2">
      <c r="A47" s="72"/>
      <c r="B47" s="72"/>
      <c r="C47" s="72"/>
      <c r="D47" s="72"/>
      <c r="E47" s="72"/>
    </row>
    <row r="48" spans="1:17" x14ac:dyDescent="0.2">
      <c r="A48" s="72"/>
      <c r="B48" s="72"/>
      <c r="C48" s="72"/>
      <c r="D48" s="72"/>
      <c r="E48" s="72"/>
    </row>
    <row r="49" spans="1:5" x14ac:dyDescent="0.2">
      <c r="A49" s="72"/>
      <c r="B49" s="72"/>
      <c r="C49" s="72"/>
      <c r="D49" s="72"/>
      <c r="E49" s="72"/>
    </row>
    <row r="50" spans="1:5" x14ac:dyDescent="0.2">
      <c r="A50" s="72"/>
      <c r="B50" s="72"/>
      <c r="C50" s="72"/>
      <c r="D50" s="72"/>
      <c r="E50" s="72"/>
    </row>
    <row r="51" spans="1:5" x14ac:dyDescent="0.2">
      <c r="A51" s="72"/>
      <c r="B51" s="72"/>
      <c r="C51" s="72"/>
      <c r="D51" s="72"/>
      <c r="E51" s="72"/>
    </row>
    <row r="52" spans="1:5" x14ac:dyDescent="0.2">
      <c r="A52" s="72"/>
      <c r="B52" s="72"/>
      <c r="C52" s="72"/>
      <c r="D52" s="72"/>
      <c r="E52" s="72"/>
    </row>
    <row r="53" spans="1:5" x14ac:dyDescent="0.2">
      <c r="A53" s="72"/>
      <c r="B53" s="72"/>
      <c r="C53" s="72"/>
      <c r="D53" s="72"/>
      <c r="E53" s="72"/>
    </row>
    <row r="54" spans="1:5" x14ac:dyDescent="0.2">
      <c r="A54" s="72"/>
      <c r="B54" s="72"/>
      <c r="C54" s="72"/>
      <c r="D54" s="72"/>
      <c r="E54" s="72"/>
    </row>
    <row r="55" spans="1:5" x14ac:dyDescent="0.2">
      <c r="A55" s="72"/>
      <c r="B55" s="72"/>
      <c r="C55" s="72"/>
      <c r="D55" s="72"/>
      <c r="E55" s="72"/>
    </row>
    <row r="56" spans="1:5" x14ac:dyDescent="0.2">
      <c r="A56" s="72"/>
      <c r="B56" s="72"/>
      <c r="C56" s="72"/>
      <c r="D56" s="72"/>
      <c r="E56" s="72"/>
    </row>
    <row r="57" spans="1:5" x14ac:dyDescent="0.2">
      <c r="A57" s="72"/>
      <c r="B57" s="72"/>
      <c r="C57" s="72"/>
      <c r="D57" s="72"/>
      <c r="E57" s="72"/>
    </row>
    <row r="58" spans="1:5" x14ac:dyDescent="0.2">
      <c r="A58" s="72"/>
      <c r="B58" s="72"/>
      <c r="C58" s="72"/>
      <c r="D58" s="72"/>
      <c r="E58" s="72"/>
    </row>
    <row r="59" spans="1:5" x14ac:dyDescent="0.2">
      <c r="A59" s="72"/>
      <c r="B59" s="72"/>
      <c r="C59" s="72"/>
      <c r="D59" s="72"/>
      <c r="E59" s="72"/>
    </row>
    <row r="60" spans="1:5" x14ac:dyDescent="0.2">
      <c r="A60" s="72"/>
      <c r="B60" s="72"/>
      <c r="C60" s="72"/>
      <c r="D60" s="72"/>
      <c r="E60" s="72"/>
    </row>
  </sheetData>
  <sheetProtection insertColumns="0" insertRows="0" deleteColumns="0" deleteRows="0"/>
  <mergeCells count="1">
    <mergeCell ref="A2:C2"/>
  </mergeCells>
  <phoneticPr fontId="27" type="noConversion"/>
  <pageMargins left="0.75" right="0.75" top="0.73" bottom="1" header="0.5" footer="0.5"/>
  <pageSetup paperSize="9" scale="85" fitToHeight="0" orientation="landscape" r:id="rId1"/>
  <headerFooter alignWithMargins="0">
    <oddFooter>&amp;L&amp;8&amp;F&amp;C&amp;8&amp;A&amp;R&amp;8page&amp;P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3023" r:id="rId4" name="Label 15">
              <controlPr defaultSize="0" autoFill="0" autoLine="0" autoPict="0" macro="[0]!GoToAbout">
                <anchor moveWithCells="1" sizeWithCells="1">
                  <from>
                    <xdr:col>4</xdr:col>
                    <xdr:colOff>2419350</xdr:colOff>
                    <xdr:row>0</xdr:row>
                    <xdr:rowOff>523875</xdr:rowOff>
                  </from>
                  <to>
                    <xdr:col>4</xdr:col>
                    <xdr:colOff>3286125</xdr:colOff>
                    <xdr:row>1</xdr:row>
                    <xdr:rowOff>0</xdr:rowOff>
                  </to>
                </anchor>
              </controlPr>
            </control>
          </mc:Choice>
        </mc:AlternateContent>
        <mc:AlternateContent xmlns:mc="http://schemas.openxmlformats.org/markup-compatibility/2006">
          <mc:Choice Requires="x14">
            <control shapeId="43024" r:id="rId5" name="Label 16">
              <controlPr defaultSize="0" autoFill="0" autoLine="0" autoPict="0" macro="[0]!GoToDirectory">
                <anchor moveWithCells="1" sizeWithCells="1">
                  <from>
                    <xdr:col>4</xdr:col>
                    <xdr:colOff>3362325</xdr:colOff>
                    <xdr:row>0</xdr:row>
                    <xdr:rowOff>523875</xdr:rowOff>
                  </from>
                  <to>
                    <xdr:col>4</xdr:col>
                    <xdr:colOff>4362450</xdr:colOff>
                    <xdr:row>1</xdr:row>
                    <xdr:rowOff>0</xdr:rowOff>
                  </to>
                </anchor>
              </controlPr>
            </control>
          </mc:Choice>
        </mc:AlternateContent>
        <mc:AlternateContent xmlns:mc="http://schemas.openxmlformats.org/markup-compatibility/2006">
          <mc:Choice Requires="x14">
            <control shapeId="43027" r:id="rId6" name="Button 19">
              <controlPr defaultSize="0" print="0" autoFill="0" autoPict="0" macro="[0]!GoToDirectory">
                <anchor moveWithCells="1" sizeWithCells="1">
                  <from>
                    <xdr:col>2</xdr:col>
                    <xdr:colOff>2495550</xdr:colOff>
                    <xdr:row>18</xdr:row>
                    <xdr:rowOff>95250</xdr:rowOff>
                  </from>
                  <to>
                    <xdr:col>4</xdr:col>
                    <xdr:colOff>533400</xdr:colOff>
                    <xdr:row>21</xdr:row>
                    <xdr:rowOff>19050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About">
    <pageSetUpPr fitToPage="1"/>
  </sheetPr>
  <dimension ref="A1:T130"/>
  <sheetViews>
    <sheetView zoomScaleNormal="100" zoomScaleSheetLayoutView="100" workbookViewId="0">
      <pane ySplit="2" topLeftCell="A3" activePane="bottomLeft" state="frozen"/>
      <selection pane="bottomLeft" activeCell="A2" sqref="A2:C2"/>
    </sheetView>
  </sheetViews>
  <sheetFormatPr baseColWidth="10" defaultColWidth="9.140625" defaultRowHeight="12.75" x14ac:dyDescent="0.2"/>
  <cols>
    <col min="1" max="1" width="15" style="71" customWidth="1"/>
    <col min="2" max="2" width="4.28515625" style="71" customWidth="1"/>
    <col min="3" max="3" width="46.42578125" style="71" customWidth="1"/>
    <col min="4" max="4" width="88.7109375" style="71" customWidth="1"/>
    <col min="5" max="11" width="9.140625" style="82"/>
    <col min="12" max="12" width="9.42578125" style="82" bestFit="1" customWidth="1"/>
    <col min="13" max="20" width="9.140625" style="82"/>
    <col min="21" max="16384" width="9.140625" style="71"/>
  </cols>
  <sheetData>
    <row r="1" spans="1:20" ht="80.25" customHeight="1" x14ac:dyDescent="0.2">
      <c r="E1" s="1"/>
      <c r="F1" s="1"/>
      <c r="G1" s="1"/>
      <c r="H1" s="1"/>
      <c r="I1" s="1"/>
      <c r="J1" s="1"/>
      <c r="K1" s="1"/>
      <c r="L1" s="1"/>
      <c r="M1" s="1"/>
      <c r="N1" s="1"/>
      <c r="O1" s="1"/>
      <c r="P1" s="1"/>
      <c r="Q1" s="1"/>
      <c r="R1" s="1"/>
      <c r="S1" s="1"/>
      <c r="T1" s="1"/>
    </row>
    <row r="2" spans="1:20" s="73" customFormat="1" ht="22.5" customHeight="1" x14ac:dyDescent="0.25">
      <c r="A2" s="1316" t="s">
        <v>136</v>
      </c>
      <c r="B2" s="1317"/>
      <c r="C2" s="1317"/>
      <c r="D2" s="359" t="str">
        <f>'Warning - macro security level'!S8</f>
        <v>Version 4d for Testing</v>
      </c>
      <c r="E2" s="1"/>
      <c r="F2" s="1"/>
      <c r="G2" s="1"/>
      <c r="H2" s="1"/>
      <c r="I2" s="1"/>
      <c r="J2" s="1"/>
      <c r="K2" s="1"/>
      <c r="L2" s="1"/>
      <c r="M2" s="1"/>
      <c r="N2" s="1"/>
      <c r="O2" s="1"/>
      <c r="P2" s="1"/>
      <c r="Q2" s="1"/>
      <c r="R2" s="1"/>
      <c r="S2" s="1"/>
      <c r="T2" s="1"/>
    </row>
    <row r="3" spans="1:20" ht="12.75" customHeight="1" x14ac:dyDescent="0.2">
      <c r="A3" s="104"/>
      <c r="B3" s="104"/>
      <c r="C3" s="104"/>
      <c r="D3" s="104"/>
      <c r="G3" s="83"/>
      <c r="H3" s="84"/>
      <c r="I3" s="84"/>
      <c r="J3" s="84"/>
    </row>
    <row r="4" spans="1:20" ht="15" customHeight="1" x14ac:dyDescent="0.2">
      <c r="A4" s="1322" t="s">
        <v>1164</v>
      </c>
      <c r="B4" s="1322"/>
      <c r="C4" s="1322"/>
      <c r="D4" s="1322"/>
    </row>
    <row r="5" spans="1:20" ht="38.25" customHeight="1" x14ac:dyDescent="0.2">
      <c r="A5" s="1323" t="s">
        <v>1165</v>
      </c>
      <c r="B5" s="1323"/>
      <c r="C5" s="1323"/>
      <c r="D5" s="1323"/>
    </row>
    <row r="6" spans="1:20" ht="12.75" customHeight="1" x14ac:dyDescent="0.2">
      <c r="A6" s="104"/>
      <c r="B6" s="104"/>
      <c r="C6" s="104"/>
      <c r="D6" s="104"/>
    </row>
    <row r="7" spans="1:20" ht="15" customHeight="1" x14ac:dyDescent="0.2">
      <c r="A7" s="1322" t="s">
        <v>684</v>
      </c>
      <c r="B7" s="1322"/>
      <c r="C7" s="1322"/>
      <c r="D7" s="1322"/>
    </row>
    <row r="8" spans="1:20" ht="12.75" customHeight="1" x14ac:dyDescent="0.2">
      <c r="A8" s="172" t="s">
        <v>460</v>
      </c>
      <c r="B8" s="171"/>
      <c r="C8" s="172" t="s">
        <v>461</v>
      </c>
      <c r="D8" s="171"/>
    </row>
    <row r="9" spans="1:20" ht="12.75" customHeight="1" x14ac:dyDescent="0.2">
      <c r="A9" s="172" t="s">
        <v>972</v>
      </c>
      <c r="B9" s="172"/>
      <c r="C9" s="172" t="s">
        <v>973</v>
      </c>
      <c r="D9" s="171"/>
    </row>
    <row r="10" spans="1:20" ht="12.75" customHeight="1" x14ac:dyDescent="0.2">
      <c r="A10" s="172" t="s">
        <v>716</v>
      </c>
      <c r="B10" s="172"/>
      <c r="C10" s="172" t="s">
        <v>717</v>
      </c>
      <c r="D10" s="171"/>
    </row>
    <row r="11" spans="1:20" ht="27" customHeight="1" x14ac:dyDescent="0.2">
      <c r="A11" s="75" t="s">
        <v>884</v>
      </c>
      <c r="B11" s="104"/>
      <c r="C11" s="1323" t="s">
        <v>0</v>
      </c>
      <c r="D11" s="1323"/>
    </row>
    <row r="12" spans="1:20" ht="12.75" customHeight="1" x14ac:dyDescent="0.2">
      <c r="A12" s="75" t="s">
        <v>519</v>
      </c>
      <c r="B12" s="172"/>
      <c r="C12" s="172" t="s">
        <v>974</v>
      </c>
      <c r="D12" s="104"/>
    </row>
    <row r="13" spans="1:20" ht="12.75" customHeight="1" x14ac:dyDescent="0.2">
      <c r="A13" s="75" t="s">
        <v>458</v>
      </c>
      <c r="B13" s="172"/>
      <c r="C13" s="172" t="s">
        <v>459</v>
      </c>
      <c r="D13" s="104"/>
    </row>
    <row r="14" spans="1:20" x14ac:dyDescent="0.2">
      <c r="A14" s="104" t="s">
        <v>1094</v>
      </c>
      <c r="B14" s="104"/>
      <c r="C14" s="104" t="s">
        <v>678</v>
      </c>
      <c r="D14" s="104"/>
    </row>
    <row r="15" spans="1:20" x14ac:dyDescent="0.2">
      <c r="A15" s="172" t="s">
        <v>1042</v>
      </c>
      <c r="B15" s="172"/>
      <c r="C15" s="172" t="s">
        <v>979</v>
      </c>
      <c r="D15" s="104"/>
    </row>
    <row r="16" spans="1:20" x14ac:dyDescent="0.2">
      <c r="A16" s="172" t="s">
        <v>516</v>
      </c>
      <c r="B16" s="172"/>
      <c r="C16" s="172" t="s">
        <v>462</v>
      </c>
      <c r="D16" s="104"/>
    </row>
    <row r="17" spans="1:19" x14ac:dyDescent="0.2">
      <c r="A17" s="104" t="s">
        <v>668</v>
      </c>
      <c r="B17" s="104"/>
      <c r="C17" s="104" t="s">
        <v>262</v>
      </c>
      <c r="D17" s="104"/>
    </row>
    <row r="18" spans="1:19" x14ac:dyDescent="0.2">
      <c r="A18" s="104" t="s">
        <v>405</v>
      </c>
      <c r="B18" s="104"/>
      <c r="C18" s="1323" t="s">
        <v>736</v>
      </c>
      <c r="D18" s="1323"/>
    </row>
    <row r="19" spans="1:19" x14ac:dyDescent="0.2">
      <c r="A19" s="104"/>
      <c r="B19" s="104"/>
      <c r="C19" s="1323" t="s">
        <v>554</v>
      </c>
      <c r="D19" s="1323"/>
    </row>
    <row r="20" spans="1:19" x14ac:dyDescent="0.2">
      <c r="A20" s="172" t="s">
        <v>980</v>
      </c>
      <c r="B20" s="172"/>
      <c r="C20" s="172" t="s">
        <v>981</v>
      </c>
      <c r="D20" s="104"/>
    </row>
    <row r="21" spans="1:19" x14ac:dyDescent="0.2">
      <c r="A21" s="172" t="s">
        <v>1091</v>
      </c>
      <c r="B21" s="172"/>
      <c r="C21" s="172" t="s">
        <v>1092</v>
      </c>
      <c r="D21" s="104"/>
    </row>
    <row r="22" spans="1:19" x14ac:dyDescent="0.2">
      <c r="A22" s="104" t="s">
        <v>682</v>
      </c>
      <c r="B22" s="104"/>
      <c r="C22" s="104" t="s">
        <v>683</v>
      </c>
      <c r="D22" s="104"/>
    </row>
    <row r="23" spans="1:19" ht="15" customHeight="1" x14ac:dyDescent="0.2">
      <c r="A23" s="172" t="s">
        <v>982</v>
      </c>
      <c r="B23" s="172"/>
      <c r="C23" s="172" t="s">
        <v>983</v>
      </c>
      <c r="D23" s="172"/>
    </row>
    <row r="24" spans="1:19" ht="12.75" customHeight="1" x14ac:dyDescent="0.2">
      <c r="A24" s="104" t="s">
        <v>165</v>
      </c>
      <c r="B24" s="104"/>
      <c r="C24" s="1323" t="s">
        <v>404</v>
      </c>
      <c r="D24" s="1323"/>
    </row>
    <row r="25" spans="1:19" x14ac:dyDescent="0.2">
      <c r="A25" s="104"/>
      <c r="B25" s="104"/>
      <c r="C25" s="1323" t="s">
        <v>261</v>
      </c>
      <c r="D25" s="1323"/>
    </row>
    <row r="26" spans="1:19" ht="24" customHeight="1" x14ac:dyDescent="0.2">
      <c r="A26" s="104"/>
      <c r="B26" s="104"/>
      <c r="C26" s="1323" t="s">
        <v>402</v>
      </c>
      <c r="D26" s="1323"/>
    </row>
    <row r="27" spans="1:19" ht="12.75" customHeight="1" x14ac:dyDescent="0.2">
      <c r="A27" s="105"/>
      <c r="B27" s="105"/>
      <c r="C27" s="105"/>
      <c r="D27" s="105"/>
    </row>
    <row r="28" spans="1:19" ht="15" customHeight="1" x14ac:dyDescent="0.2">
      <c r="A28" s="1322" t="s">
        <v>1166</v>
      </c>
      <c r="B28" s="1322"/>
      <c r="C28" s="1322"/>
      <c r="D28" s="1322"/>
    </row>
    <row r="29" spans="1:19" x14ac:dyDescent="0.2">
      <c r="A29" s="1324" t="s">
        <v>485</v>
      </c>
      <c r="B29" s="1324"/>
      <c r="C29" s="1324"/>
      <c r="D29" s="1324"/>
      <c r="E29" s="85"/>
      <c r="F29" s="85"/>
      <c r="G29" s="85"/>
      <c r="H29" s="85"/>
      <c r="I29" s="85"/>
      <c r="J29" s="85"/>
      <c r="K29" s="85"/>
      <c r="L29" s="85"/>
      <c r="M29" s="85"/>
      <c r="N29" s="85"/>
      <c r="O29" s="85"/>
      <c r="P29" s="85"/>
      <c r="Q29" s="85"/>
      <c r="R29" s="85"/>
      <c r="S29" s="85"/>
    </row>
    <row r="30" spans="1:19" x14ac:dyDescent="0.2">
      <c r="A30" s="1324" t="s">
        <v>1167</v>
      </c>
      <c r="B30" s="1324"/>
      <c r="C30" s="1324"/>
      <c r="D30" s="1324"/>
      <c r="E30" s="85"/>
      <c r="F30" s="85"/>
      <c r="G30" s="85"/>
      <c r="H30" s="85"/>
      <c r="I30" s="85"/>
      <c r="J30" s="85"/>
      <c r="K30" s="85"/>
      <c r="L30" s="85"/>
      <c r="M30" s="85"/>
      <c r="N30" s="85"/>
      <c r="O30" s="85"/>
      <c r="P30" s="85"/>
      <c r="Q30" s="85"/>
      <c r="R30" s="85"/>
      <c r="S30" s="85"/>
    </row>
    <row r="31" spans="1:19" ht="36" customHeight="1" x14ac:dyDescent="0.2">
      <c r="A31" s="105"/>
      <c r="B31" s="105"/>
      <c r="C31" s="1321" t="s">
        <v>483</v>
      </c>
      <c r="D31" s="1321"/>
    </row>
    <row r="32" spans="1:19" ht="24" customHeight="1" x14ac:dyDescent="0.2">
      <c r="A32" s="105"/>
      <c r="B32" s="105"/>
      <c r="C32" s="1321" t="s">
        <v>263</v>
      </c>
      <c r="D32" s="1321"/>
    </row>
    <row r="33" spans="1:4" ht="15" customHeight="1" x14ac:dyDescent="0.2">
      <c r="A33" s="1324" t="s">
        <v>2</v>
      </c>
      <c r="B33" s="1324"/>
      <c r="C33" s="1324"/>
      <c r="D33" s="1324"/>
    </row>
    <row r="34" spans="1:4" ht="25.5" customHeight="1" x14ac:dyDescent="0.2">
      <c r="A34" s="1321" t="s">
        <v>3</v>
      </c>
      <c r="B34" s="1321"/>
      <c r="C34" s="1321"/>
      <c r="D34" s="1321"/>
    </row>
    <row r="35" spans="1:4" x14ac:dyDescent="0.2">
      <c r="A35" s="1321" t="s">
        <v>555</v>
      </c>
      <c r="B35" s="1321"/>
      <c r="C35" s="1321"/>
      <c r="D35" s="1321"/>
    </row>
    <row r="36" spans="1:4" ht="14.25" customHeight="1" x14ac:dyDescent="0.2">
      <c r="A36" s="1324" t="s">
        <v>870</v>
      </c>
      <c r="B36" s="1324"/>
      <c r="C36" s="1324"/>
      <c r="D36" s="1325"/>
    </row>
    <row r="37" spans="1:4" ht="14.25" customHeight="1" x14ac:dyDescent="0.2">
      <c r="A37" s="1326" t="str">
        <f>"This " &amp; D2 &amp; " of the BioGrace Excel tool includes guidance for calculation of GHG emissions due to land use change (sheet 'LUC'), and on improved agricultural"</f>
        <v>This Version 4d for Testing of the BioGrace Excel tool includes guidance for calculation of GHG emissions due to land use change (sheet 'LUC'), and on improved agricultural</v>
      </c>
      <c r="B37" s="1326"/>
      <c r="C37" s="1326"/>
      <c r="D37" s="1326"/>
    </row>
    <row r="38" spans="1:4" ht="14.25" customHeight="1" x14ac:dyDescent="0.2">
      <c r="A38" s="1326" t="s">
        <v>484</v>
      </c>
      <c r="B38" s="1326"/>
      <c r="C38" s="1326"/>
      <c r="D38" s="1326"/>
    </row>
    <row r="39" spans="1:4" ht="14.25" customHeight="1" x14ac:dyDescent="0.2">
      <c r="A39" s="1324" t="s">
        <v>1168</v>
      </c>
      <c r="B39" s="1324"/>
      <c r="C39" s="1324"/>
      <c r="D39" s="1323"/>
    </row>
    <row r="40" spans="1:4" ht="13.5" customHeight="1" x14ac:dyDescent="0.2">
      <c r="A40" s="1321" t="s">
        <v>151</v>
      </c>
      <c r="B40" s="1321"/>
      <c r="C40" s="1321"/>
      <c r="D40" s="1321"/>
    </row>
    <row r="41" spans="1:4" ht="13.5" customHeight="1" x14ac:dyDescent="0.2">
      <c r="A41" s="1321" t="s">
        <v>560</v>
      </c>
      <c r="B41" s="1321"/>
      <c r="C41" s="1321"/>
      <c r="D41" s="1321"/>
    </row>
    <row r="42" spans="1:4" ht="39" customHeight="1" x14ac:dyDescent="0.2">
      <c r="A42" s="1321" t="s">
        <v>311</v>
      </c>
      <c r="B42" s="1321"/>
      <c r="C42" s="1321"/>
      <c r="D42" s="1321"/>
    </row>
    <row r="43" spans="1:4" ht="12.75" customHeight="1" x14ac:dyDescent="0.2">
      <c r="A43" s="105"/>
      <c r="B43" s="105"/>
      <c r="C43" s="105"/>
      <c r="D43" s="105"/>
    </row>
    <row r="44" spans="1:4" ht="15" customHeight="1" x14ac:dyDescent="0.2">
      <c r="A44" s="1328" t="s">
        <v>4</v>
      </c>
      <c r="B44" s="1328"/>
      <c r="C44" s="1328"/>
      <c r="D44" s="1328"/>
    </row>
    <row r="45" spans="1:4" ht="51" customHeight="1" x14ac:dyDescent="0.2">
      <c r="A45" s="1319" t="s">
        <v>1227</v>
      </c>
      <c r="B45" s="1321"/>
      <c r="C45" s="1321"/>
      <c r="D45" s="1321"/>
    </row>
    <row r="46" spans="1:4" x14ac:dyDescent="0.2">
      <c r="A46" s="1321" t="s">
        <v>767</v>
      </c>
      <c r="B46" s="1321"/>
      <c r="C46" s="1321"/>
      <c r="D46" s="1321"/>
    </row>
    <row r="47" spans="1:4" x14ac:dyDescent="0.2">
      <c r="A47" s="1321" t="s">
        <v>556</v>
      </c>
      <c r="B47" s="1321"/>
      <c r="C47" s="1321"/>
      <c r="D47" s="1321"/>
    </row>
    <row r="48" spans="1:4" x14ac:dyDescent="0.2">
      <c r="A48" s="1321" t="s">
        <v>399</v>
      </c>
      <c r="B48" s="1321"/>
      <c r="C48" s="1321"/>
      <c r="D48" s="1321"/>
    </row>
    <row r="49" spans="1:20" s="109" customFormat="1" ht="36" customHeight="1" x14ac:dyDescent="0.2">
      <c r="A49" s="1327" t="s">
        <v>192</v>
      </c>
      <c r="B49" s="1327"/>
      <c r="C49" s="1327"/>
      <c r="D49" s="1327"/>
      <c r="E49" s="108"/>
      <c r="F49" s="108"/>
      <c r="G49" s="108"/>
      <c r="H49" s="108"/>
      <c r="I49" s="108"/>
      <c r="J49" s="108"/>
      <c r="K49" s="108"/>
      <c r="L49" s="108"/>
      <c r="M49" s="108"/>
      <c r="N49" s="108"/>
      <c r="O49" s="108"/>
      <c r="P49" s="108"/>
      <c r="Q49" s="108"/>
      <c r="R49" s="108"/>
      <c r="S49" s="108"/>
      <c r="T49" s="108"/>
    </row>
    <row r="50" spans="1:20" s="109" customFormat="1" ht="12.75" customHeight="1" x14ac:dyDescent="0.2">
      <c r="A50" s="107"/>
      <c r="B50" s="107"/>
      <c r="C50" s="107"/>
      <c r="D50" s="107"/>
      <c r="E50" s="108"/>
      <c r="F50" s="108"/>
      <c r="G50" s="108"/>
      <c r="H50" s="108"/>
      <c r="I50" s="108"/>
      <c r="J50" s="108"/>
      <c r="K50" s="108"/>
      <c r="L50" s="108"/>
      <c r="M50" s="108"/>
      <c r="N50" s="108"/>
      <c r="O50" s="108"/>
      <c r="P50" s="108"/>
      <c r="Q50" s="108"/>
      <c r="R50" s="108"/>
      <c r="S50" s="108"/>
      <c r="T50" s="108"/>
    </row>
    <row r="51" spans="1:20" s="109" customFormat="1" ht="12.75" customHeight="1" x14ac:dyDescent="0.2">
      <c r="A51" s="1328" t="s">
        <v>845</v>
      </c>
      <c r="B51" s="1328"/>
      <c r="C51" s="1328"/>
      <c r="D51" s="1328"/>
      <c r="E51" s="108"/>
      <c r="F51" s="108"/>
      <c r="G51" s="108"/>
      <c r="H51" s="108"/>
      <c r="I51" s="108"/>
      <c r="J51" s="108"/>
      <c r="K51" s="108"/>
      <c r="L51" s="108"/>
      <c r="M51" s="108"/>
      <c r="N51" s="108"/>
      <c r="O51" s="108"/>
      <c r="P51" s="108"/>
      <c r="Q51" s="108"/>
      <c r="R51" s="108"/>
      <c r="S51" s="108"/>
      <c r="T51" s="108"/>
    </row>
    <row r="52" spans="1:20" s="109" customFormat="1" ht="15" customHeight="1" x14ac:dyDescent="0.2">
      <c r="A52" s="1321" t="s">
        <v>152</v>
      </c>
      <c r="B52" s="1321"/>
      <c r="C52" s="1321"/>
      <c r="D52" s="1321"/>
      <c r="E52" s="108"/>
      <c r="F52" s="108"/>
      <c r="G52" s="108"/>
      <c r="H52" s="108"/>
      <c r="I52" s="108"/>
      <c r="J52" s="108"/>
      <c r="K52" s="108"/>
      <c r="L52" s="108"/>
      <c r="M52" s="108"/>
      <c r="N52" s="108"/>
      <c r="O52" s="108"/>
      <c r="P52" s="108"/>
      <c r="Q52" s="108"/>
      <c r="R52" s="108"/>
      <c r="S52" s="108"/>
      <c r="T52" s="108"/>
    </row>
    <row r="53" spans="1:20" s="109" customFormat="1" ht="67.5" customHeight="1" x14ac:dyDescent="0.2">
      <c r="A53" s="1321" t="s">
        <v>153</v>
      </c>
      <c r="B53" s="1321"/>
      <c r="C53" s="1321"/>
      <c r="D53" s="1321"/>
      <c r="E53" s="108"/>
      <c r="F53" s="108"/>
      <c r="G53" s="108"/>
      <c r="H53" s="108"/>
      <c r="I53" s="108"/>
      <c r="J53" s="108"/>
      <c r="K53" s="108"/>
      <c r="L53" s="108"/>
      <c r="M53" s="108"/>
      <c r="N53" s="108"/>
      <c r="O53" s="108"/>
      <c r="P53" s="108"/>
      <c r="Q53" s="108"/>
      <c r="R53" s="108"/>
      <c r="S53" s="108"/>
      <c r="T53" s="108"/>
    </row>
    <row r="54" spans="1:20" x14ac:dyDescent="0.2">
      <c r="A54" s="105"/>
      <c r="B54" s="105"/>
      <c r="C54" s="105"/>
      <c r="D54" s="105"/>
    </row>
    <row r="55" spans="1:20" ht="12.75" customHeight="1" x14ac:dyDescent="0.2">
      <c r="A55" s="1328" t="s">
        <v>755</v>
      </c>
      <c r="B55" s="1328"/>
      <c r="C55" s="1328"/>
      <c r="D55" s="1328"/>
    </row>
    <row r="56" spans="1:20" s="82" customFormat="1" ht="45" customHeight="1" x14ac:dyDescent="0.2">
      <c r="A56" s="1321" t="s">
        <v>456</v>
      </c>
      <c r="B56" s="1321"/>
      <c r="C56" s="1321"/>
      <c r="D56" s="1321"/>
    </row>
    <row r="57" spans="1:20" s="82" customFormat="1" ht="30" customHeight="1" x14ac:dyDescent="0.2">
      <c r="A57" s="1321" t="s">
        <v>1124</v>
      </c>
      <c r="B57" s="1321"/>
      <c r="C57" s="1321"/>
      <c r="D57" s="1321"/>
    </row>
    <row r="58" spans="1:20" s="82" customFormat="1" ht="40.5" customHeight="1" x14ac:dyDescent="0.2">
      <c r="A58" s="1321" t="s">
        <v>445</v>
      </c>
      <c r="B58" s="1321"/>
      <c r="C58" s="1321"/>
      <c r="D58" s="1321"/>
    </row>
    <row r="59" spans="1:20" x14ac:dyDescent="0.2">
      <c r="A59" s="105"/>
      <c r="B59" s="105"/>
      <c r="C59" s="105"/>
      <c r="D59" s="105"/>
    </row>
    <row r="60" spans="1:20" x14ac:dyDescent="0.2">
      <c r="A60" s="1328" t="s">
        <v>735</v>
      </c>
      <c r="B60" s="1328"/>
      <c r="C60" s="1328"/>
      <c r="D60" s="1328"/>
    </row>
    <row r="61" spans="1:20" x14ac:dyDescent="0.2">
      <c r="A61" s="1321" t="s">
        <v>68</v>
      </c>
      <c r="B61" s="1321"/>
      <c r="C61" s="1321"/>
      <c r="D61" s="1321"/>
    </row>
    <row r="62" spans="1:20" x14ac:dyDescent="0.2">
      <c r="A62" s="1329" t="s">
        <v>867</v>
      </c>
      <c r="B62" s="1329"/>
      <c r="C62" s="1329"/>
      <c r="D62" s="1329"/>
      <c r="E62" s="85"/>
      <c r="F62" s="85"/>
      <c r="G62" s="85"/>
      <c r="H62" s="85"/>
      <c r="I62" s="85"/>
      <c r="J62" s="85"/>
      <c r="K62" s="85"/>
      <c r="L62" s="85"/>
      <c r="M62" s="85"/>
      <c r="N62" s="85"/>
      <c r="O62" s="85"/>
      <c r="P62" s="85"/>
      <c r="Q62" s="85"/>
      <c r="R62" s="85"/>
      <c r="S62" s="85"/>
    </row>
    <row r="63" spans="1:20" x14ac:dyDescent="0.2">
      <c r="A63" s="1327" t="s">
        <v>1007</v>
      </c>
      <c r="B63" s="1327"/>
      <c r="C63" s="1327"/>
      <c r="D63" s="1327"/>
      <c r="K63" s="85"/>
      <c r="L63" s="85"/>
      <c r="M63" s="85"/>
      <c r="N63" s="85"/>
      <c r="O63" s="85"/>
      <c r="P63" s="85"/>
      <c r="Q63" s="85"/>
      <c r="R63" s="85"/>
      <c r="S63" s="85"/>
    </row>
    <row r="64" spans="1:20" x14ac:dyDescent="0.2">
      <c r="A64" s="1330" t="s">
        <v>247</v>
      </c>
      <c r="B64" s="1330"/>
      <c r="C64" s="1330"/>
      <c r="D64" s="1330"/>
      <c r="K64" s="85"/>
      <c r="L64" s="85"/>
      <c r="M64" s="85"/>
      <c r="N64" s="85"/>
      <c r="O64" s="85"/>
      <c r="P64" s="85"/>
      <c r="Q64" s="85"/>
      <c r="R64" s="85"/>
      <c r="S64" s="85"/>
    </row>
    <row r="65" spans="1:19" ht="40.5" customHeight="1" x14ac:dyDescent="0.2">
      <c r="A65" s="1327" t="s">
        <v>331</v>
      </c>
      <c r="B65" s="1327"/>
      <c r="C65" s="1327"/>
      <c r="D65" s="1327"/>
      <c r="E65" s="85"/>
      <c r="F65" s="85"/>
      <c r="G65" s="85"/>
      <c r="H65" s="85"/>
      <c r="I65" s="85"/>
      <c r="J65" s="85"/>
      <c r="K65" s="85"/>
      <c r="L65" s="85"/>
      <c r="M65" s="85"/>
      <c r="N65" s="85"/>
      <c r="O65" s="85"/>
      <c r="P65" s="85"/>
      <c r="Q65" s="85"/>
      <c r="R65" s="85"/>
      <c r="S65" s="85"/>
    </row>
    <row r="66" spans="1:19" x14ac:dyDescent="0.2">
      <c r="A66" s="1327" t="s">
        <v>69</v>
      </c>
      <c r="B66" s="1327"/>
      <c r="C66" s="1327"/>
      <c r="D66" s="1327"/>
      <c r="E66" s="85"/>
      <c r="F66" s="85"/>
      <c r="G66" s="85"/>
      <c r="H66" s="85"/>
      <c r="I66" s="85"/>
      <c r="J66" s="85"/>
      <c r="K66" s="85"/>
      <c r="L66" s="85"/>
      <c r="M66" s="85"/>
      <c r="N66" s="85"/>
      <c r="O66" s="85"/>
      <c r="P66" s="85"/>
      <c r="Q66" s="85"/>
      <c r="R66" s="85"/>
      <c r="S66" s="85"/>
    </row>
    <row r="67" spans="1:19" x14ac:dyDescent="0.2">
      <c r="A67" s="1327" t="s">
        <v>557</v>
      </c>
      <c r="B67" s="1327"/>
      <c r="C67" s="1327"/>
      <c r="D67" s="1327"/>
      <c r="E67" s="85"/>
      <c r="F67" s="85"/>
      <c r="G67" s="85"/>
      <c r="H67" s="85"/>
      <c r="I67" s="85"/>
      <c r="J67" s="85"/>
      <c r="K67" s="85"/>
      <c r="L67" s="85"/>
      <c r="M67" s="85"/>
      <c r="N67" s="85"/>
      <c r="O67" s="85"/>
      <c r="P67" s="85"/>
      <c r="Q67" s="85"/>
      <c r="R67" s="85"/>
      <c r="S67" s="85"/>
    </row>
    <row r="68" spans="1:19" x14ac:dyDescent="0.2">
      <c r="A68" s="1321" t="s">
        <v>260</v>
      </c>
      <c r="B68" s="1321"/>
      <c r="C68" s="1321"/>
      <c r="D68" s="1321"/>
    </row>
    <row r="69" spans="1:19" x14ac:dyDescent="0.2">
      <c r="A69" s="1327" t="s">
        <v>1008</v>
      </c>
      <c r="B69" s="1327"/>
      <c r="C69" s="1327"/>
      <c r="D69" s="1327"/>
      <c r="J69" s="85"/>
      <c r="K69" s="85"/>
      <c r="L69" s="85"/>
    </row>
    <row r="70" spans="1:19" x14ac:dyDescent="0.2">
      <c r="A70" s="1330" t="s">
        <v>248</v>
      </c>
      <c r="B70" s="1331"/>
      <c r="C70" s="1331"/>
      <c r="D70" s="107"/>
      <c r="J70" s="85"/>
      <c r="K70" s="85"/>
      <c r="L70" s="85"/>
    </row>
    <row r="71" spans="1:19" x14ac:dyDescent="0.2">
      <c r="A71" s="1327" t="s">
        <v>895</v>
      </c>
      <c r="B71" s="1327"/>
      <c r="C71" s="1327"/>
      <c r="D71" s="1327"/>
    </row>
    <row r="72" spans="1:19" ht="27.75" customHeight="1" x14ac:dyDescent="0.2">
      <c r="A72" s="1327" t="s">
        <v>748</v>
      </c>
      <c r="B72" s="1327"/>
      <c r="C72" s="1327"/>
      <c r="D72" s="1327"/>
    </row>
    <row r="73" spans="1:19" ht="12.75" customHeight="1" x14ac:dyDescent="0.2">
      <c r="A73" s="1321" t="s">
        <v>403</v>
      </c>
      <c r="B73" s="1321"/>
      <c r="C73" s="1321"/>
      <c r="D73" s="1321"/>
    </row>
    <row r="74" spans="1:19" ht="40.5" customHeight="1" x14ac:dyDescent="0.2">
      <c r="A74" s="1327" t="s">
        <v>558</v>
      </c>
      <c r="B74" s="1327"/>
      <c r="C74" s="1327"/>
      <c r="D74" s="1327"/>
    </row>
    <row r="75" spans="1:19" x14ac:dyDescent="0.2">
      <c r="A75" s="1327" t="s">
        <v>1162</v>
      </c>
      <c r="B75" s="1327"/>
      <c r="C75" s="1327"/>
      <c r="D75" s="1327"/>
    </row>
    <row r="76" spans="1:19" ht="25.5" customHeight="1" x14ac:dyDescent="0.2">
      <c r="A76" s="1327" t="s">
        <v>552</v>
      </c>
      <c r="B76" s="1327"/>
      <c r="C76" s="1327"/>
      <c r="D76" s="1327"/>
    </row>
    <row r="77" spans="1:19" x14ac:dyDescent="0.2">
      <c r="A77" s="106"/>
      <c r="B77" s="105"/>
      <c r="C77" s="105"/>
      <c r="D77" s="105"/>
    </row>
    <row r="78" spans="1:19" x14ac:dyDescent="0.2">
      <c r="A78" s="1328" t="s">
        <v>868</v>
      </c>
      <c r="B78" s="1328"/>
      <c r="C78" s="1328"/>
      <c r="D78" s="1328"/>
    </row>
    <row r="79" spans="1:19" ht="36.75" customHeight="1" x14ac:dyDescent="0.2">
      <c r="A79" s="1321" t="s">
        <v>583</v>
      </c>
      <c r="B79" s="1321"/>
      <c r="C79" s="1321"/>
      <c r="D79" s="1321"/>
    </row>
    <row r="80" spans="1:19" ht="15" customHeight="1" x14ac:dyDescent="0.2">
      <c r="A80" s="1321" t="s">
        <v>553</v>
      </c>
      <c r="B80" s="1321"/>
      <c r="C80" s="1321"/>
      <c r="D80" s="1321"/>
    </row>
    <row r="81" spans="1:14" x14ac:dyDescent="0.2">
      <c r="A81" s="1321" t="s">
        <v>584</v>
      </c>
      <c r="B81" s="1321"/>
      <c r="C81" s="1321"/>
      <c r="D81" s="1321"/>
    </row>
    <row r="82" spans="1:14" x14ac:dyDescent="0.2">
      <c r="A82" s="1332" t="s">
        <v>956</v>
      </c>
      <c r="B82" s="1332"/>
      <c r="C82" s="1332"/>
      <c r="D82" s="1332"/>
    </row>
    <row r="83" spans="1:14" x14ac:dyDescent="0.2">
      <c r="A83" s="1321" t="s">
        <v>585</v>
      </c>
      <c r="B83" s="1321"/>
      <c r="C83" s="1321"/>
      <c r="D83" s="1321"/>
    </row>
    <row r="84" spans="1:14" x14ac:dyDescent="0.2">
      <c r="A84" s="1332" t="s">
        <v>957</v>
      </c>
      <c r="B84" s="1332"/>
      <c r="C84" s="1332"/>
      <c r="D84" s="1332"/>
    </row>
    <row r="85" spans="1:14" x14ac:dyDescent="0.2">
      <c r="A85" s="1321" t="s">
        <v>195</v>
      </c>
      <c r="B85" s="1321"/>
      <c r="C85" s="1321"/>
      <c r="D85" s="1321"/>
    </row>
    <row r="86" spans="1:14" ht="13.5" thickBot="1" x14ac:dyDescent="0.25">
      <c r="A86" s="1321" t="s">
        <v>141</v>
      </c>
      <c r="B86" s="1321"/>
      <c r="C86" s="1321"/>
      <c r="D86" s="1321"/>
      <c r="N86" s="295" t="b">
        <v>1</v>
      </c>
    </row>
    <row r="87" spans="1:14" ht="13.5" thickBot="1" x14ac:dyDescent="0.25">
      <c r="A87" s="105"/>
      <c r="B87" s="294">
        <f>IF(N88,0,1)</f>
        <v>1</v>
      </c>
      <c r="C87" s="105"/>
      <c r="D87" s="105"/>
      <c r="N87" s="296"/>
    </row>
    <row r="88" spans="1:14" x14ac:dyDescent="0.2">
      <c r="A88" s="1321" t="s">
        <v>586</v>
      </c>
      <c r="B88" s="1321"/>
      <c r="C88" s="1321"/>
      <c r="D88" s="1321"/>
      <c r="N88" s="295" t="b">
        <v>0</v>
      </c>
    </row>
    <row r="89" spans="1:14" ht="24.75" customHeight="1" x14ac:dyDescent="0.2">
      <c r="A89" s="1321" t="s">
        <v>766</v>
      </c>
      <c r="B89" s="1321"/>
      <c r="C89" s="1321"/>
      <c r="D89" s="1321"/>
    </row>
    <row r="90" spans="1:14" ht="12.75" customHeight="1" x14ac:dyDescent="0.2">
      <c r="A90" s="105"/>
      <c r="B90" s="105"/>
      <c r="C90" s="105"/>
      <c r="D90" s="105"/>
    </row>
    <row r="91" spans="1:14" ht="12.75" customHeight="1" x14ac:dyDescent="0.2">
      <c r="A91" s="1328" t="s">
        <v>1169</v>
      </c>
      <c r="B91" s="1328"/>
      <c r="C91" s="1328"/>
      <c r="D91" s="1328"/>
    </row>
    <row r="92" spans="1:14" ht="52.5" customHeight="1" x14ac:dyDescent="0.2">
      <c r="A92" s="1319" t="s">
        <v>1223</v>
      </c>
      <c r="B92" s="1320"/>
      <c r="C92" s="1320"/>
      <c r="D92" s="1320"/>
    </row>
    <row r="93" spans="1:14" ht="12.75" customHeight="1" x14ac:dyDescent="0.2">
      <c r="A93" s="1319" t="s">
        <v>1224</v>
      </c>
      <c r="B93" s="1320"/>
      <c r="C93" s="1320"/>
      <c r="D93" s="1320"/>
    </row>
    <row r="94" spans="1:14" ht="12.75" customHeight="1" x14ac:dyDescent="0.2">
      <c r="A94" s="1319" t="s">
        <v>1217</v>
      </c>
      <c r="B94" s="1320"/>
      <c r="C94" s="1320"/>
      <c r="D94" s="1320"/>
    </row>
    <row r="95" spans="1:14" ht="12.75" customHeight="1" x14ac:dyDescent="0.2">
      <c r="A95" s="1319" t="s">
        <v>1218</v>
      </c>
      <c r="B95" s="1320"/>
      <c r="C95" s="1320"/>
      <c r="D95" s="1320"/>
    </row>
    <row r="96" spans="1:14" ht="12.75" customHeight="1" x14ac:dyDescent="0.2">
      <c r="A96" s="1319" t="s">
        <v>1219</v>
      </c>
      <c r="B96" s="1320"/>
      <c r="C96" s="1320"/>
      <c r="D96" s="1320"/>
    </row>
    <row r="97" spans="1:4" ht="12.75" customHeight="1" x14ac:dyDescent="0.2">
      <c r="A97" s="1319" t="s">
        <v>1220</v>
      </c>
      <c r="B97" s="1320"/>
      <c r="C97" s="1320"/>
      <c r="D97" s="1320"/>
    </row>
    <row r="98" spans="1:4" ht="12.75" customHeight="1" x14ac:dyDescent="0.2">
      <c r="A98" s="1319" t="s">
        <v>1221</v>
      </c>
      <c r="B98" s="1320"/>
      <c r="C98" s="1320"/>
      <c r="D98" s="1320"/>
    </row>
    <row r="99" spans="1:4" ht="12.75" customHeight="1" x14ac:dyDescent="0.2">
      <c r="A99" s="1319" t="s">
        <v>1171</v>
      </c>
      <c r="B99" s="1320"/>
      <c r="C99" s="1320"/>
      <c r="D99" s="1320"/>
    </row>
    <row r="100" spans="1:4" ht="12.75" customHeight="1" x14ac:dyDescent="0.2">
      <c r="A100" s="1319" t="s">
        <v>1170</v>
      </c>
      <c r="B100" s="1320"/>
      <c r="C100" s="1320"/>
      <c r="D100" s="1320"/>
    </row>
    <row r="101" spans="1:4" ht="12.75" customHeight="1" x14ac:dyDescent="0.2">
      <c r="A101" s="1319" t="s">
        <v>1225</v>
      </c>
      <c r="B101" s="1320"/>
      <c r="C101" s="1320"/>
      <c r="D101" s="1320"/>
    </row>
    <row r="102" spans="1:4" ht="12.75" customHeight="1" x14ac:dyDescent="0.2">
      <c r="A102" s="1319" t="s">
        <v>1172</v>
      </c>
      <c r="B102" s="1320"/>
      <c r="C102" s="1320"/>
      <c r="D102" s="1320"/>
    </row>
    <row r="103" spans="1:4" ht="12.75" customHeight="1" x14ac:dyDescent="0.2">
      <c r="A103" s="1319" t="s">
        <v>1222</v>
      </c>
      <c r="B103" s="1320"/>
      <c r="C103" s="1320"/>
      <c r="D103" s="1320"/>
    </row>
    <row r="104" spans="1:4" x14ac:dyDescent="0.2">
      <c r="A104" s="105"/>
      <c r="B104" s="105"/>
      <c r="C104" s="105"/>
      <c r="D104" s="105"/>
    </row>
    <row r="105" spans="1:4" ht="12.75" customHeight="1" x14ac:dyDescent="0.2">
      <c r="A105" s="1328" t="s">
        <v>439</v>
      </c>
      <c r="B105" s="1328"/>
      <c r="C105" s="1328"/>
      <c r="D105" s="1328"/>
    </row>
    <row r="106" spans="1:4" x14ac:dyDescent="0.2">
      <c r="A106" s="1319" t="s">
        <v>440</v>
      </c>
      <c r="B106" s="1321"/>
      <c r="C106" s="1321"/>
      <c r="D106" s="1321"/>
    </row>
    <row r="107" spans="1:4" ht="12.75" customHeight="1" x14ac:dyDescent="0.2">
      <c r="A107" s="1319" t="s">
        <v>1226</v>
      </c>
      <c r="B107" s="1321"/>
      <c r="C107" s="1321"/>
      <c r="D107" s="1321"/>
    </row>
    <row r="108" spans="1:4" x14ac:dyDescent="0.2">
      <c r="A108" s="105"/>
      <c r="B108" s="105"/>
      <c r="C108" s="105"/>
      <c r="D108" s="105"/>
    </row>
    <row r="109" spans="1:4" x14ac:dyDescent="0.2">
      <c r="A109" s="1328" t="s">
        <v>5</v>
      </c>
      <c r="B109" s="1328"/>
      <c r="C109" s="1328"/>
      <c r="D109" s="1328"/>
    </row>
    <row r="110" spans="1:4" x14ac:dyDescent="0.2">
      <c r="A110" s="1321" t="s">
        <v>6</v>
      </c>
      <c r="B110" s="1321"/>
      <c r="C110" s="1321"/>
      <c r="D110" s="1321"/>
    </row>
    <row r="111" spans="1:4" x14ac:dyDescent="0.2">
      <c r="A111" s="1334" t="s">
        <v>7</v>
      </c>
      <c r="B111" s="1321"/>
      <c r="C111" s="1321"/>
      <c r="D111" s="1321"/>
    </row>
    <row r="112" spans="1:4" x14ac:dyDescent="0.2">
      <c r="A112" s="105"/>
      <c r="B112" s="105"/>
      <c r="C112" s="105"/>
      <c r="D112" s="105"/>
    </row>
    <row r="113" spans="1:16" x14ac:dyDescent="0.2">
      <c r="A113" s="105"/>
      <c r="B113" s="105"/>
      <c r="C113" s="105"/>
      <c r="D113" s="105"/>
      <c r="K113" s="85"/>
      <c r="L113" s="85"/>
    </row>
    <row r="114" spans="1:16" ht="24" customHeight="1" x14ac:dyDescent="0.2">
      <c r="A114" s="1333" t="s">
        <v>559</v>
      </c>
      <c r="B114" s="1333"/>
      <c r="C114" s="1333"/>
      <c r="D114" s="1333"/>
    </row>
    <row r="115" spans="1:16" x14ac:dyDescent="0.2">
      <c r="A115" s="72"/>
      <c r="B115" s="72"/>
      <c r="C115" s="72"/>
      <c r="D115" s="72"/>
    </row>
    <row r="116" spans="1:16" x14ac:dyDescent="0.2">
      <c r="A116" s="72"/>
      <c r="B116" s="72"/>
      <c r="C116" s="110"/>
      <c r="D116" s="72"/>
    </row>
    <row r="117" spans="1:16" x14ac:dyDescent="0.2">
      <c r="A117" s="72"/>
      <c r="B117" s="72"/>
      <c r="C117" s="72"/>
      <c r="D117" s="72"/>
      <c r="N117" s="85"/>
      <c r="O117" s="85"/>
      <c r="P117" s="85"/>
    </row>
    <row r="118" spans="1:16" x14ac:dyDescent="0.2">
      <c r="A118" s="72"/>
      <c r="B118" s="72"/>
      <c r="C118" s="72"/>
      <c r="D118" s="72"/>
    </row>
    <row r="119" spans="1:16" x14ac:dyDescent="0.2">
      <c r="A119" s="72"/>
      <c r="B119" s="72"/>
      <c r="C119" s="72"/>
      <c r="D119" s="72"/>
      <c r="G119" s="86"/>
    </row>
    <row r="120" spans="1:16" x14ac:dyDescent="0.2">
      <c r="A120" s="72"/>
      <c r="B120" s="72"/>
      <c r="C120" s="72"/>
      <c r="D120" s="72"/>
      <c r="G120" s="87"/>
    </row>
    <row r="121" spans="1:16" x14ac:dyDescent="0.2">
      <c r="A121" s="82"/>
      <c r="B121" s="82"/>
      <c r="C121" s="82"/>
      <c r="D121" s="82"/>
      <c r="G121" s="86"/>
    </row>
    <row r="122" spans="1:16" x14ac:dyDescent="0.2">
      <c r="A122" s="82"/>
      <c r="B122" s="82"/>
      <c r="C122" s="82"/>
      <c r="D122" s="82"/>
      <c r="G122" s="88"/>
    </row>
    <row r="123" spans="1:16" x14ac:dyDescent="0.2">
      <c r="A123" s="82"/>
      <c r="B123" s="82"/>
      <c r="C123" s="82"/>
      <c r="D123" s="82"/>
    </row>
    <row r="124" spans="1:16" x14ac:dyDescent="0.2">
      <c r="A124" s="82"/>
      <c r="B124" s="82"/>
      <c r="C124" s="82"/>
      <c r="D124" s="82"/>
    </row>
    <row r="125" spans="1:16" x14ac:dyDescent="0.2">
      <c r="A125" s="82"/>
      <c r="B125" s="82"/>
      <c r="C125" s="82"/>
      <c r="D125" s="82"/>
    </row>
    <row r="126" spans="1:16" x14ac:dyDescent="0.2">
      <c r="A126" s="82"/>
      <c r="B126" s="82"/>
      <c r="C126" s="82"/>
      <c r="D126" s="82"/>
    </row>
    <row r="127" spans="1:16" x14ac:dyDescent="0.2">
      <c r="A127" s="82"/>
      <c r="B127" s="82"/>
      <c r="C127" s="82"/>
      <c r="D127" s="82"/>
    </row>
    <row r="128" spans="1:16" x14ac:dyDescent="0.2">
      <c r="A128" s="82"/>
      <c r="B128" s="82"/>
      <c r="C128" s="82"/>
      <c r="D128" s="82"/>
    </row>
    <row r="129" spans="1:4" x14ac:dyDescent="0.2">
      <c r="A129" s="82"/>
      <c r="B129" s="82"/>
      <c r="C129" s="82"/>
      <c r="D129" s="82"/>
    </row>
    <row r="130" spans="1:4" x14ac:dyDescent="0.2">
      <c r="A130" s="82"/>
      <c r="B130" s="82"/>
      <c r="C130" s="82"/>
      <c r="D130" s="82"/>
    </row>
  </sheetData>
  <sheetProtection password="9D8F" sheet="1" objects="1" scenarios="1"/>
  <customSheetViews>
    <customSheetView guid="{AD88818B-9F97-4B1E-9426-0DECE603685E}" fitToPage="1" showRuler="0">
      <pane ySplit="2" topLeftCell="A3" activePane="bottomLeft" state="frozen"/>
      <selection pane="bottomLeft" activeCell="F10" sqref="F10"/>
      <pageMargins left="0.75" right="0.75" top="0.73" bottom="1" header="0.5" footer="0.5"/>
      <pageSetup paperSize="9" scale="85" fitToHeight="0" orientation="landscape"/>
      <headerFooter alignWithMargins="0">
        <oddFooter>&amp;L&amp;8&amp;F&amp;C&amp;8&amp;A&amp;R&amp;8page&amp;P</oddFooter>
      </headerFooter>
    </customSheetView>
    <customSheetView guid="{7EB5D807-CE20-46E2-AEE6-2C193E010EA4}" fitToPage="1" showRuler="0">
      <pane ySplit="2" topLeftCell="A3" activePane="bottomLeft" state="frozen"/>
      <selection pane="bottomLeft" activeCell="F10" sqref="F10"/>
      <pageMargins left="0.75" right="0.75" top="0.73" bottom="1" header="0.5" footer="0.5"/>
      <pageSetup paperSize="9" scale="85" fitToHeight="0" orientation="landscape"/>
      <headerFooter alignWithMargins="0">
        <oddFooter>&amp;L&amp;8&amp;F&amp;C&amp;8&amp;A&amp;R&amp;8page&amp;P</oddFooter>
      </headerFooter>
    </customSheetView>
  </customSheetViews>
  <mergeCells count="86">
    <mergeCell ref="A114:D114"/>
    <mergeCell ref="A107:D107"/>
    <mergeCell ref="A109:D109"/>
    <mergeCell ref="A110:D110"/>
    <mergeCell ref="A111:D111"/>
    <mergeCell ref="A80:D80"/>
    <mergeCell ref="A81:D81"/>
    <mergeCell ref="A105:D105"/>
    <mergeCell ref="A106:D106"/>
    <mergeCell ref="A82:D82"/>
    <mergeCell ref="A83:D83"/>
    <mergeCell ref="A84:D84"/>
    <mergeCell ref="A85:D85"/>
    <mergeCell ref="A86:D86"/>
    <mergeCell ref="A89:D89"/>
    <mergeCell ref="A88:D88"/>
    <mergeCell ref="A91:D91"/>
    <mergeCell ref="A92:D92"/>
    <mergeCell ref="A93:D93"/>
    <mergeCell ref="A102:D102"/>
    <mergeCell ref="A63:D63"/>
    <mergeCell ref="A65:D65"/>
    <mergeCell ref="A66:D66"/>
    <mergeCell ref="A79:D79"/>
    <mergeCell ref="A67:D67"/>
    <mergeCell ref="A68:D68"/>
    <mergeCell ref="A69:D69"/>
    <mergeCell ref="A71:D71"/>
    <mergeCell ref="A70:C70"/>
    <mergeCell ref="A75:D75"/>
    <mergeCell ref="A76:D76"/>
    <mergeCell ref="A64:D64"/>
    <mergeCell ref="A78:D78"/>
    <mergeCell ref="A72:D72"/>
    <mergeCell ref="A73:D73"/>
    <mergeCell ref="A74:D74"/>
    <mergeCell ref="A62:D62"/>
    <mergeCell ref="A51:D51"/>
    <mergeCell ref="A52:D52"/>
    <mergeCell ref="A53:D53"/>
    <mergeCell ref="A55:D55"/>
    <mergeCell ref="A56:D56"/>
    <mergeCell ref="A58:D58"/>
    <mergeCell ref="A41:D41"/>
    <mergeCell ref="A49:D49"/>
    <mergeCell ref="A60:D60"/>
    <mergeCell ref="A61:D61"/>
    <mergeCell ref="A45:D45"/>
    <mergeCell ref="A46:D46"/>
    <mergeCell ref="A47:D47"/>
    <mergeCell ref="A44:D44"/>
    <mergeCell ref="A42:D42"/>
    <mergeCell ref="A57:D57"/>
    <mergeCell ref="A36:D36"/>
    <mergeCell ref="A34:D34"/>
    <mergeCell ref="A38:D38"/>
    <mergeCell ref="C31:D31"/>
    <mergeCell ref="C32:D32"/>
    <mergeCell ref="A33:D33"/>
    <mergeCell ref="A35:D35"/>
    <mergeCell ref="A37:D37"/>
    <mergeCell ref="A48:D48"/>
    <mergeCell ref="A2:C2"/>
    <mergeCell ref="A4:D4"/>
    <mergeCell ref="A5:D5"/>
    <mergeCell ref="A30:D30"/>
    <mergeCell ref="C24:D24"/>
    <mergeCell ref="A7:D7"/>
    <mergeCell ref="C11:D11"/>
    <mergeCell ref="A39:D39"/>
    <mergeCell ref="A40:D40"/>
    <mergeCell ref="C18:D18"/>
    <mergeCell ref="A29:D29"/>
    <mergeCell ref="C19:D19"/>
    <mergeCell ref="C25:D25"/>
    <mergeCell ref="C26:D26"/>
    <mergeCell ref="A28:D28"/>
    <mergeCell ref="A103:D103"/>
    <mergeCell ref="A94:D94"/>
    <mergeCell ref="A95:D95"/>
    <mergeCell ref="A96:D96"/>
    <mergeCell ref="A98:D98"/>
    <mergeCell ref="A100:D100"/>
    <mergeCell ref="A101:D101"/>
    <mergeCell ref="A97:D97"/>
    <mergeCell ref="A99:D99"/>
  </mergeCells>
  <phoneticPr fontId="27" type="noConversion"/>
  <hyperlinks>
    <hyperlink ref="A64" r:id="rId1" xr:uid="{00000000-0004-0000-0300-000000000000}"/>
    <hyperlink ref="A70" r:id="rId2" xr:uid="{00000000-0004-0000-0300-000001000000}"/>
    <hyperlink ref="A107" r:id="rId3" display="www.biograce.net." xr:uid="{00000000-0004-0000-0300-000002000000}"/>
    <hyperlink ref="A111" r:id="rId4" xr:uid="{00000000-0004-0000-0300-000003000000}"/>
  </hyperlinks>
  <pageMargins left="0.75" right="0.75" top="0.73" bottom="1" header="0.5" footer="0.5"/>
  <pageSetup paperSize="9" scale="85" fitToHeight="0" orientation="landscape" r:id="rId5"/>
  <headerFooter alignWithMargins="0">
    <oddFooter>&amp;L&amp;8&amp;F&amp;C&amp;8&amp;A&amp;R&amp;8page&amp;P</oddFooter>
  </headerFooter>
  <drawing r:id="rId6"/>
  <legacyDrawing r:id="rId7"/>
  <mc:AlternateContent xmlns:mc="http://schemas.openxmlformats.org/markup-compatibility/2006">
    <mc:Choice Requires="x14">
      <controls>
        <mc:AlternateContent xmlns:mc="http://schemas.openxmlformats.org/markup-compatibility/2006">
          <mc:Choice Requires="x14">
            <control shapeId="40254" r:id="rId8" name="Label 1342">
              <controlPr defaultSize="0" autoFill="0" autoLine="0" autoPict="0" macro="[0]!GoToAbout">
                <anchor moveWithCells="1" sizeWithCells="1">
                  <from>
                    <xdr:col>3</xdr:col>
                    <xdr:colOff>3371850</xdr:colOff>
                    <xdr:row>0</xdr:row>
                    <xdr:rowOff>523875</xdr:rowOff>
                  </from>
                  <to>
                    <xdr:col>3</xdr:col>
                    <xdr:colOff>4238625</xdr:colOff>
                    <xdr:row>1</xdr:row>
                    <xdr:rowOff>0</xdr:rowOff>
                  </to>
                </anchor>
              </controlPr>
            </control>
          </mc:Choice>
        </mc:AlternateContent>
        <mc:AlternateContent xmlns:mc="http://schemas.openxmlformats.org/markup-compatibility/2006">
          <mc:Choice Requires="x14">
            <control shapeId="40255" r:id="rId9" name="Label 1343">
              <controlPr defaultSize="0" autoFill="0" autoLine="0" autoPict="0" macro="[0]!GoToDirectory">
                <anchor moveWithCells="1" sizeWithCells="1">
                  <from>
                    <xdr:col>3</xdr:col>
                    <xdr:colOff>4314825</xdr:colOff>
                    <xdr:row>0</xdr:row>
                    <xdr:rowOff>523875</xdr:rowOff>
                  </from>
                  <to>
                    <xdr:col>3</xdr:col>
                    <xdr:colOff>5314950</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Directory">
    <pageSetUpPr fitToPage="1"/>
  </sheetPr>
  <dimension ref="A1:Q30"/>
  <sheetViews>
    <sheetView showGridLines="0" zoomScale="80" zoomScaleNormal="75" zoomScaleSheetLayoutView="100" workbookViewId="0">
      <selection activeCell="B13" sqref="B13"/>
    </sheetView>
  </sheetViews>
  <sheetFormatPr baseColWidth="10" defaultRowHeight="12.75" x14ac:dyDescent="0.2"/>
  <cols>
    <col min="1" max="1" width="6.7109375" style="6" customWidth="1"/>
    <col min="2" max="2" width="71.42578125" style="6" customWidth="1"/>
    <col min="3" max="3" width="5.28515625" style="6" customWidth="1"/>
    <col min="4" max="4" width="17.85546875" style="6" customWidth="1"/>
    <col min="5" max="5" width="44.5703125" style="6" customWidth="1"/>
    <col min="6" max="7" width="6" style="6" customWidth="1"/>
    <col min="8" max="8" width="16.140625" style="6" customWidth="1"/>
    <col min="9" max="9" width="18.85546875" style="6" customWidth="1"/>
    <col min="10" max="256" width="9.140625" style="6" customWidth="1"/>
    <col min="257" max="16384" width="11.42578125" style="6"/>
  </cols>
  <sheetData>
    <row r="1" spans="1:17" ht="102" customHeight="1" x14ac:dyDescent="0.2">
      <c r="N1"/>
      <c r="O1"/>
      <c r="P1"/>
      <c r="Q1"/>
    </row>
    <row r="2" spans="1:17" ht="27.75" customHeight="1" x14ac:dyDescent="0.2">
      <c r="A2" s="77" t="s">
        <v>681</v>
      </c>
      <c r="B2" s="78"/>
      <c r="C2" s="79"/>
      <c r="D2" s="79"/>
      <c r="E2" s="79"/>
      <c r="F2" s="80"/>
      <c r="G2" s="81"/>
      <c r="H2" s="81"/>
      <c r="I2" s="7" t="str">
        <f>About!D2</f>
        <v>Version 4d for Testing</v>
      </c>
      <c r="N2"/>
      <c r="O2"/>
      <c r="P2"/>
      <c r="Q2"/>
    </row>
    <row r="3" spans="1:17" s="190" customFormat="1" ht="18" customHeight="1" x14ac:dyDescent="0.25">
      <c r="A3" s="189"/>
      <c r="C3" s="192"/>
      <c r="D3" s="192"/>
      <c r="E3" s="282"/>
      <c r="H3" s="282"/>
      <c r="I3" s="2"/>
      <c r="N3" s="191"/>
      <c r="O3" s="191"/>
      <c r="P3" s="191"/>
      <c r="Q3" s="191"/>
    </row>
    <row r="4" spans="1:17" s="190" customFormat="1" ht="18" customHeight="1" x14ac:dyDescent="0.25">
      <c r="A4" s="189"/>
      <c r="C4" s="192"/>
      <c r="D4" s="282"/>
      <c r="E4" s="192"/>
      <c r="G4" s="301"/>
      <c r="H4" s="282"/>
      <c r="I4" s="2"/>
      <c r="N4" s="191"/>
      <c r="O4" s="191"/>
      <c r="P4" s="191"/>
      <c r="Q4" s="191"/>
    </row>
    <row r="5" spans="1:17" s="190" customFormat="1" ht="18" customHeight="1" x14ac:dyDescent="0.25">
      <c r="A5" s="287">
        <v>1</v>
      </c>
      <c r="B5" s="195" t="s">
        <v>968</v>
      </c>
      <c r="C5" s="194"/>
      <c r="D5" s="287">
        <v>15</v>
      </c>
      <c r="E5" s="1335" t="s">
        <v>970</v>
      </c>
      <c r="F5" s="1336"/>
      <c r="G5" s="1336"/>
      <c r="H5" s="1336"/>
    </row>
    <row r="6" spans="1:17" s="190" customFormat="1" ht="18" customHeight="1" x14ac:dyDescent="0.25">
      <c r="A6" s="287">
        <v>2</v>
      </c>
      <c r="B6" s="283" t="s">
        <v>453</v>
      </c>
      <c r="C6" s="192"/>
      <c r="D6" s="287">
        <v>16</v>
      </c>
      <c r="E6" s="1335" t="s">
        <v>971</v>
      </c>
      <c r="F6" s="1336"/>
      <c r="G6" s="1336"/>
      <c r="H6" s="1336"/>
      <c r="N6" s="191"/>
      <c r="O6" s="191"/>
      <c r="P6" s="191"/>
      <c r="Q6" s="191"/>
    </row>
    <row r="7" spans="1:17" s="190" customFormat="1" ht="18" customHeight="1" x14ac:dyDescent="0.25">
      <c r="A7" s="287">
        <v>3</v>
      </c>
      <c r="B7" s="283" t="s">
        <v>398</v>
      </c>
      <c r="C7" s="192"/>
      <c r="D7" s="287">
        <v>17</v>
      </c>
      <c r="E7" s="1335" t="s">
        <v>309</v>
      </c>
      <c r="F7" s="1336"/>
      <c r="G7" s="1336"/>
      <c r="H7" s="1336"/>
      <c r="N7" s="191"/>
      <c r="O7" s="191"/>
      <c r="P7" s="191"/>
      <c r="Q7" s="191"/>
    </row>
    <row r="8" spans="1:17" s="190" customFormat="1" ht="18" customHeight="1" x14ac:dyDescent="0.25">
      <c r="A8" s="287">
        <v>4</v>
      </c>
      <c r="B8" s="193" t="s">
        <v>965</v>
      </c>
      <c r="C8" s="194"/>
      <c r="D8" s="287">
        <v>18</v>
      </c>
      <c r="E8" s="1335" t="s">
        <v>310</v>
      </c>
      <c r="F8" s="1336"/>
      <c r="G8" s="1336"/>
      <c r="H8" s="1336"/>
      <c r="N8" s="191"/>
      <c r="O8" s="191"/>
      <c r="P8" s="191"/>
      <c r="Q8" s="191"/>
    </row>
    <row r="9" spans="1:17" s="190" customFormat="1" ht="18" customHeight="1" x14ac:dyDescent="0.25">
      <c r="A9" s="287">
        <v>5</v>
      </c>
      <c r="B9" s="195" t="s">
        <v>966</v>
      </c>
      <c r="C9" s="194"/>
      <c r="D9" s="287">
        <v>19</v>
      </c>
      <c r="E9" s="1335" t="s">
        <v>969</v>
      </c>
      <c r="F9" s="1336"/>
      <c r="G9" s="1336"/>
      <c r="H9" s="1336"/>
    </row>
    <row r="10" spans="1:17" s="190" customFormat="1" ht="18" customHeight="1" x14ac:dyDescent="0.25">
      <c r="A10" s="287">
        <v>6</v>
      </c>
      <c r="B10" s="195" t="s">
        <v>967</v>
      </c>
      <c r="C10" s="194"/>
      <c r="D10" s="287">
        <v>20</v>
      </c>
      <c r="E10" s="1335" t="s">
        <v>960</v>
      </c>
      <c r="F10" s="1336"/>
      <c r="G10" s="1336"/>
      <c r="H10" s="1336"/>
    </row>
    <row r="11" spans="1:17" s="190" customFormat="1" ht="18" customHeight="1" x14ac:dyDescent="0.25">
      <c r="A11" s="287">
        <v>7</v>
      </c>
      <c r="B11" s="283" t="s">
        <v>306</v>
      </c>
      <c r="C11" s="194"/>
      <c r="D11" s="287">
        <v>21</v>
      </c>
      <c r="E11" s="1335" t="s">
        <v>715</v>
      </c>
      <c r="F11" s="1336"/>
      <c r="G11" s="1336"/>
      <c r="H11" s="1336"/>
    </row>
    <row r="12" spans="1:17" s="190" customFormat="1" ht="18" customHeight="1" x14ac:dyDescent="0.25">
      <c r="A12" s="287">
        <v>8</v>
      </c>
      <c r="B12" s="283" t="s">
        <v>844</v>
      </c>
      <c r="C12" s="194"/>
      <c r="D12" s="287">
        <v>22</v>
      </c>
      <c r="E12" s="1335" t="s">
        <v>857</v>
      </c>
      <c r="F12" s="1336"/>
      <c r="G12" s="1336"/>
      <c r="H12" s="1336"/>
    </row>
    <row r="13" spans="1:17" s="190" customFormat="1" ht="18" customHeight="1" x14ac:dyDescent="0.25">
      <c r="A13" s="287">
        <v>9</v>
      </c>
      <c r="B13" s="195" t="s">
        <v>396</v>
      </c>
      <c r="C13" s="194"/>
      <c r="D13" s="194"/>
      <c r="G13" s="302"/>
    </row>
    <row r="14" spans="1:17" s="190" customFormat="1" ht="18" customHeight="1" x14ac:dyDescent="0.25">
      <c r="A14" s="287">
        <v>10</v>
      </c>
      <c r="B14" s="195" t="s">
        <v>397</v>
      </c>
      <c r="C14" s="194"/>
      <c r="D14" s="194"/>
      <c r="G14" s="302"/>
    </row>
    <row r="15" spans="1:17" s="190" customFormat="1" ht="18" customHeight="1" x14ac:dyDescent="0.25">
      <c r="A15" s="287">
        <v>11</v>
      </c>
      <c r="B15" s="195" t="s">
        <v>416</v>
      </c>
      <c r="C15" s="194"/>
      <c r="D15" s="194"/>
      <c r="E15" s="194"/>
      <c r="G15" s="302"/>
    </row>
    <row r="16" spans="1:17" s="190" customFormat="1" ht="18" customHeight="1" x14ac:dyDescent="0.25">
      <c r="A16" s="287">
        <v>12</v>
      </c>
      <c r="B16" s="195" t="s">
        <v>307</v>
      </c>
      <c r="C16" s="194"/>
      <c r="D16" s="194"/>
      <c r="E16" s="194"/>
      <c r="G16" s="302"/>
    </row>
    <row r="17" spans="1:7" s="190" customFormat="1" ht="18" customHeight="1" x14ac:dyDescent="0.25">
      <c r="A17" s="287">
        <v>13</v>
      </c>
      <c r="B17" s="196" t="s">
        <v>308</v>
      </c>
      <c r="C17" s="194"/>
      <c r="D17" s="194"/>
      <c r="E17" s="194"/>
      <c r="G17" s="302"/>
    </row>
    <row r="18" spans="1:7" s="190" customFormat="1" ht="18" customHeight="1" x14ac:dyDescent="0.25">
      <c r="A18" s="287">
        <v>14</v>
      </c>
      <c r="B18" s="283" t="s">
        <v>790</v>
      </c>
      <c r="C18" s="194"/>
      <c r="D18" s="194"/>
      <c r="E18" s="194"/>
      <c r="G18" s="302"/>
    </row>
    <row r="19" spans="1:7" s="190" customFormat="1" ht="18" customHeight="1" x14ac:dyDescent="0.25">
      <c r="A19" s="287"/>
      <c r="B19" s="283"/>
      <c r="C19" s="194"/>
      <c r="D19" s="194"/>
      <c r="E19" s="194"/>
      <c r="G19" s="302"/>
    </row>
    <row r="20" spans="1:7" s="190" customFormat="1" ht="18" customHeight="1" x14ac:dyDescent="0.25">
      <c r="D20" s="194"/>
      <c r="E20" s="194"/>
      <c r="G20" s="302"/>
    </row>
    <row r="21" spans="1:7" s="190" customFormat="1" ht="18" customHeight="1" x14ac:dyDescent="0.25">
      <c r="B21" s="283" t="s">
        <v>907</v>
      </c>
      <c r="D21" s="194"/>
      <c r="E21" s="194"/>
      <c r="G21" s="302"/>
    </row>
    <row r="22" spans="1:7" s="190" customFormat="1" ht="18" customHeight="1" x14ac:dyDescent="0.25">
      <c r="B22" s="283" t="s">
        <v>856</v>
      </c>
      <c r="D22" s="194"/>
      <c r="E22" s="194"/>
      <c r="G22" s="302"/>
    </row>
    <row r="23" spans="1:7" s="190" customFormat="1" ht="21" customHeight="1" x14ac:dyDescent="0.25">
      <c r="B23" s="283" t="s">
        <v>858</v>
      </c>
      <c r="D23" s="194"/>
      <c r="E23" s="194"/>
      <c r="G23" s="302"/>
    </row>
    <row r="24" spans="1:7" s="190" customFormat="1" ht="21" customHeight="1" x14ac:dyDescent="0.25">
      <c r="B24" s="283" t="s">
        <v>1207</v>
      </c>
      <c r="D24" s="194"/>
      <c r="E24" s="194"/>
      <c r="G24" s="302"/>
    </row>
    <row r="25" spans="1:7" s="190" customFormat="1" ht="18" customHeight="1" x14ac:dyDescent="0.25">
      <c r="E25" s="194"/>
      <c r="G25" s="300"/>
    </row>
    <row r="26" spans="1:7" s="190" customFormat="1" ht="18" customHeight="1" x14ac:dyDescent="0.25">
      <c r="B26" s="196" t="s">
        <v>865</v>
      </c>
      <c r="C26" s="194"/>
      <c r="D26" s="194"/>
      <c r="E26" s="194"/>
      <c r="G26" s="302"/>
    </row>
    <row r="27" spans="1:7" s="190" customFormat="1" ht="18" customHeight="1" x14ac:dyDescent="0.25">
      <c r="C27" s="194"/>
      <c r="E27" s="194"/>
      <c r="G27" s="302"/>
    </row>
    <row r="28" spans="1:7" s="190" customFormat="1" ht="18" customHeight="1" x14ac:dyDescent="0.25">
      <c r="B28" s="197" t="s">
        <v>165</v>
      </c>
      <c r="C28" s="194"/>
      <c r="D28" s="194"/>
      <c r="E28" s="194"/>
      <c r="G28" s="302"/>
    </row>
    <row r="29" spans="1:7" s="190" customFormat="1" ht="18" customHeight="1" x14ac:dyDescent="0.25">
      <c r="B29" s="196" t="s">
        <v>52</v>
      </c>
      <c r="C29" s="194"/>
      <c r="D29" s="194"/>
      <c r="E29" s="194"/>
      <c r="G29" s="302"/>
    </row>
    <row r="30" spans="1:7" ht="18" x14ac:dyDescent="0.25">
      <c r="B30" s="196" t="s">
        <v>146</v>
      </c>
    </row>
  </sheetData>
  <sheetProtection insertColumns="0" insertRows="0" deleteColumns="0" deleteRows="0"/>
  <customSheetViews>
    <customSheetView guid="{AD88818B-9F97-4B1E-9426-0DECE603685E}" scale="80" showGridLines="0" fitToPage="1" showRuler="0">
      <selection activeCell="B3" sqref="B3"/>
      <pageMargins left="0.74803149606299213" right="0.74803149606299213" top="0.47244094488188981" bottom="0.9055118110236221" header="0.51181102362204722" footer="0.62992125984251968"/>
      <pageSetup paperSize="9" scale="67" orientation="landscape"/>
      <headerFooter alignWithMargins="0">
        <oddFooter>&amp;L&amp;8&amp;F&amp;C&amp;8&amp;A&amp;R&amp;8page&amp;P</oddFooter>
      </headerFooter>
    </customSheetView>
    <customSheetView guid="{7EB5D807-CE20-46E2-AEE6-2C193E010EA4}" scale="80" showGridLines="0" fitToPage="1" showRuler="0">
      <selection activeCell="B3" sqref="B3"/>
      <pageMargins left="0.74803149606299213" right="0.74803149606299213" top="0.47244094488188981" bottom="0.9055118110236221" header="0.51181102362204722" footer="0.62992125984251968"/>
      <pageSetup paperSize="9" scale="67" orientation="landscape"/>
      <headerFooter alignWithMargins="0">
        <oddFooter>&amp;L&amp;8&amp;F&amp;C&amp;8&amp;A&amp;R&amp;8page&amp;P</oddFooter>
      </headerFooter>
    </customSheetView>
  </customSheetViews>
  <mergeCells count="8">
    <mergeCell ref="E9:H9"/>
    <mergeCell ref="E10:H10"/>
    <mergeCell ref="E11:H11"/>
    <mergeCell ref="E12:H12"/>
    <mergeCell ref="E5:H5"/>
    <mergeCell ref="E6:H6"/>
    <mergeCell ref="E7:H7"/>
    <mergeCell ref="E8:H8"/>
  </mergeCells>
  <phoneticPr fontId="27" type="noConversion"/>
  <hyperlinks>
    <hyperlink ref="B8" location="'E-Wt (NG-b)'!A1" display="Ethanol from wheat (natural gas steam boiler)" xr:uid="{00000000-0004-0000-0400-000000000000}"/>
    <hyperlink ref="B28" location="'Standard values'!A1" display="Standard values" xr:uid="{00000000-0004-0000-0400-000001000000}"/>
    <hyperlink ref="B29" location="'User defined standard values'!A1" display="User defined standard values" xr:uid="{00000000-0004-0000-0400-000002000000}"/>
    <hyperlink ref="E5" location="'H-Rs'!A1" display="HVO from rape seed" xr:uid="{00000000-0004-0000-0400-000003000000}"/>
    <hyperlink ref="B13" location="'F-Rs'!A1" display="FAME from rape seed" xr:uid="{00000000-0004-0000-0400-000004000000}"/>
    <hyperlink ref="B26" location="About!A1" display="About" xr:uid="{00000000-0004-0000-0400-000005000000}"/>
    <hyperlink ref="B5" location="'E-Sb'!A1" display="Ethanol from sugar beet" xr:uid="{00000000-0004-0000-0400-000006000000}"/>
    <hyperlink ref="B6" location="'E-Wt (not.spec.)'!A1" display="Ethanol from wheat (proces fuel not specifief)  " xr:uid="{00000000-0004-0000-0400-000007000000}"/>
    <hyperlink ref="B7" location="'E-Wt (Lign-chp)'!A1" display="Ethanol from wheat (lignite CHP)  " xr:uid="{00000000-0004-0000-0400-000008000000}"/>
    <hyperlink ref="B9" location="'E-Wt (NG-chp)'!A1" display="Ethanol from wheat (natural gas CHP)" xr:uid="{00000000-0004-0000-0400-000009000000}"/>
    <hyperlink ref="B10" location="'E-Wt (Str-chp)'!A1" display="Ethanol from wheat (straw CHP)" xr:uid="{00000000-0004-0000-0400-00000A000000}"/>
    <hyperlink ref="B11" location="'E-Co'!A1" display="Ethanol from corn (community produced) (natural gas CHP)" xr:uid="{00000000-0004-0000-0400-00000B000000}"/>
    <hyperlink ref="B16" location="'F-Po'!A1" display="FAME from palm oil (process not specified)" xr:uid="{00000000-0004-0000-0400-00000C000000}"/>
    <hyperlink ref="B17" location="'F-Po (CH4 capt)'!A1" display="FAME from palm oil (methane capture at oil mill)" xr:uid="{00000000-0004-0000-0400-00000D000000}"/>
    <hyperlink ref="B18" location="'F-Wo'!A1" display="FAME from waste vegetable or animal oil " xr:uid="{00000000-0004-0000-0400-00000E000000}"/>
    <hyperlink ref="B12" location="'E-Sc'!A1" display="Ethanol from sugarcane  " xr:uid="{00000000-0004-0000-0400-00000F000000}"/>
    <hyperlink ref="B14" location="'F-Sf'!A1" display="FAME from sunflower" xr:uid="{00000000-0004-0000-0400-000010000000}"/>
    <hyperlink ref="E9" location="'P-Rs'!A1" display="PVO from rape seed  " xr:uid="{00000000-0004-0000-0400-000011000000}"/>
    <hyperlink ref="B15" location="'F-Sy'!A1" display="FAME from soybean" xr:uid="{00000000-0004-0000-0400-000012000000}"/>
    <hyperlink ref="E6" location="'H-Sf'!A1" display="HVO from sunflower  " xr:uid="{00000000-0004-0000-0400-000013000000}"/>
    <hyperlink ref="E7" location="'F-Po'!A1" display="HVO from palm oil (process not specified)" xr:uid="{00000000-0004-0000-0400-000014000000}"/>
    <hyperlink ref="E8" location="'H-Po (CH4 capt)'!A1" display="HVO from palm oil (methane capture at oil mill)" xr:uid="{00000000-0004-0000-0400-000015000000}"/>
    <hyperlink ref="E10" location="'CNG-OW'!A1" display="CNG from biogas from MSW" xr:uid="{00000000-0004-0000-0400-000016000000}"/>
    <hyperlink ref="E11" location="'CNG-wM'!A1" display="CNG from biogas from wet manure" xr:uid="{00000000-0004-0000-0400-000017000000}"/>
    <hyperlink ref="E12" location="'CNG-dM'!A1" display="CNG from biogas from dry manure  " xr:uid="{00000000-0004-0000-0400-000018000000}"/>
    <hyperlink ref="B21" location="LUC!A1" display="Calculation of direct land use change (LUC)" xr:uid="{00000000-0004-0000-0400-000019000000}"/>
    <hyperlink ref="B22" location="Esca!A1" display="Calculation of Improved Agricultural Management" xr:uid="{00000000-0004-0000-0400-00001A000000}"/>
    <hyperlink ref="B23" location="'N2O emissions IPCC '!A1" display="Calculation of N2O field emissions according to IPCC Tier 1" xr:uid="{00000000-0004-0000-0400-00001B000000}"/>
    <hyperlink ref="E10:H10" location="'CNG-OW'!A1" display="CNG from biogas from municipal organic waste" xr:uid="{00000000-0004-0000-0400-00001C000000}"/>
    <hyperlink ref="B30" location="'User specific calculations'!A1" display="User specific calculations" xr:uid="{00000000-0004-0000-0400-00001D000000}"/>
    <hyperlink ref="B24" location="'Calculate efficiencies'!A1" display="Calculate electrical and/or thermal efficiencies" xr:uid="{00000000-0004-0000-0400-00001E000000}"/>
  </hyperlinks>
  <pageMargins left="0.74803149606299213" right="0.74803149606299213" top="0.47244094488188981" bottom="0.9055118110236221" header="0.51181102362204722" footer="0.62992125984251968"/>
  <pageSetup paperSize="9" scale="68" orientation="landscape"/>
  <headerFooter alignWithMargins="0">
    <oddFooter>&amp;L&amp;8&amp;F&amp;C&amp;8&amp;A&amp;R&amp;8page&amp;P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42058" r:id="rId3" name="Label 1098">
              <controlPr defaultSize="0" autoFill="0" autoLine="0" autoPict="0" macro="[0]!GoToAbout">
                <anchor moveWithCells="1" sizeWithCells="1">
                  <from>
                    <xdr:col>5</xdr:col>
                    <xdr:colOff>180975</xdr:colOff>
                    <xdr:row>0</xdr:row>
                    <xdr:rowOff>790575</xdr:rowOff>
                  </from>
                  <to>
                    <xdr:col>7</xdr:col>
                    <xdr:colOff>247650</xdr:colOff>
                    <xdr:row>0</xdr:row>
                    <xdr:rowOff>1285875</xdr:rowOff>
                  </to>
                </anchor>
              </controlPr>
            </control>
          </mc:Choice>
        </mc:AlternateContent>
        <mc:AlternateContent xmlns:mc="http://schemas.openxmlformats.org/markup-compatibility/2006">
          <mc:Choice Requires="x14">
            <control shapeId="42059" r:id="rId4" name="Label 1099">
              <controlPr defaultSize="0" autoFill="0" autoLine="0" autoPict="0" macro="[0]!GoToDirectory">
                <anchor moveWithCells="1" sizeWithCells="1">
                  <from>
                    <xdr:col>7</xdr:col>
                    <xdr:colOff>323850</xdr:colOff>
                    <xdr:row>0</xdr:row>
                    <xdr:rowOff>790575</xdr:rowOff>
                  </from>
                  <to>
                    <xdr:col>8</xdr:col>
                    <xdr:colOff>247650</xdr:colOff>
                    <xdr:row>0</xdr:row>
                    <xdr:rowOff>1285875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LUC"/>
  <dimension ref="A1:AE100"/>
  <sheetViews>
    <sheetView showGridLines="0" topLeftCell="A19" zoomScale="80" workbookViewId="0">
      <selection activeCell="A2" sqref="A2"/>
    </sheetView>
  </sheetViews>
  <sheetFormatPr baseColWidth="10" defaultColWidth="9.140625" defaultRowHeight="12.75" x14ac:dyDescent="0.2"/>
  <cols>
    <col min="1" max="1" width="2" style="360" customWidth="1"/>
    <col min="2" max="2" width="24.42578125" style="360" customWidth="1"/>
    <col min="3" max="3" width="12.7109375" style="360" customWidth="1"/>
    <col min="4" max="6" width="11.42578125" style="360" customWidth="1"/>
    <col min="7" max="7" width="7.5703125" style="360" customWidth="1"/>
    <col min="8" max="10" width="11.42578125" style="360" customWidth="1"/>
    <col min="11" max="11" width="5.7109375" style="360" customWidth="1"/>
    <col min="12" max="12" width="91.85546875" style="360" customWidth="1"/>
    <col min="13" max="13" width="5.140625" style="634" customWidth="1"/>
    <col min="14" max="14" width="9.140625" style="1165"/>
    <col min="15" max="15" width="4.5703125" style="1166" customWidth="1"/>
    <col min="16" max="16" width="6.140625" style="1166" customWidth="1"/>
    <col min="17" max="17" width="3.42578125" style="1166" customWidth="1"/>
    <col min="18" max="18" width="6.7109375" style="1166" customWidth="1"/>
    <col min="19" max="19" width="2.28515625" style="1167" customWidth="1"/>
    <col min="20" max="20" width="14.140625" style="1167" customWidth="1"/>
    <col min="21" max="21" width="3.7109375" style="1167" customWidth="1"/>
    <col min="22" max="22" width="9.42578125" style="1167" customWidth="1"/>
    <col min="23" max="23" width="3.28515625" style="1167" customWidth="1"/>
    <col min="24" max="24" width="9.140625" style="786"/>
    <col min="25" max="25" width="2.5703125" style="786" customWidth="1"/>
    <col min="26" max="26" width="7.85546875" style="786" customWidth="1"/>
    <col min="27" max="27" width="2.5703125" style="1167" customWidth="1"/>
    <col min="28" max="28" width="9.140625" style="786"/>
    <col min="29" max="29" width="2.28515625" style="786" customWidth="1"/>
    <col min="30" max="30" width="8.28515625" style="786" customWidth="1"/>
    <col min="31" max="31" width="36" style="786" customWidth="1"/>
    <col min="32" max="16384" width="9.140625" style="360"/>
  </cols>
  <sheetData>
    <row r="1" spans="1:31" ht="111" customHeight="1" x14ac:dyDescent="0.2">
      <c r="A1" s="1313"/>
      <c r="B1" s="1313"/>
      <c r="C1" s="1313"/>
      <c r="D1" s="1313"/>
      <c r="E1" s="1313"/>
      <c r="F1" s="1313"/>
      <c r="G1" s="1313"/>
      <c r="H1" s="1313"/>
      <c r="I1" s="1313"/>
      <c r="J1" s="1313"/>
      <c r="K1" s="1313"/>
      <c r="L1" s="1313"/>
      <c r="M1" s="1313"/>
    </row>
    <row r="2" spans="1:31" s="1119" customFormat="1" ht="27.75" customHeight="1" x14ac:dyDescent="0.2">
      <c r="A2" s="794" t="s">
        <v>907</v>
      </c>
      <c r="B2" s="1113"/>
      <c r="C2" s="1114"/>
      <c r="D2" s="1114"/>
      <c r="E2" s="1114"/>
      <c r="F2" s="1115"/>
      <c r="G2" s="1116"/>
      <c r="H2" s="1117"/>
      <c r="I2" s="1118"/>
      <c r="J2" s="1116"/>
      <c r="K2" s="1117"/>
      <c r="L2" s="1118" t="str">
        <f>About!D2</f>
        <v>Version 4d for Testing</v>
      </c>
      <c r="M2" s="634"/>
      <c r="N2" s="1165"/>
      <c r="O2" s="1166"/>
      <c r="P2" s="1166"/>
      <c r="Q2" s="1168"/>
      <c r="R2" s="1168"/>
      <c r="S2" s="1169"/>
      <c r="T2" s="1169"/>
      <c r="U2" s="1169"/>
      <c r="V2" s="1169"/>
      <c r="W2" s="1169"/>
      <c r="X2" s="1170"/>
      <c r="Y2" s="1170"/>
      <c r="Z2" s="1170"/>
      <c r="AA2" s="1169"/>
      <c r="AB2" s="1170"/>
      <c r="AC2" s="1170"/>
      <c r="AD2" s="1170"/>
      <c r="AE2" s="1170"/>
    </row>
    <row r="3" spans="1:31" ht="15" customHeight="1" x14ac:dyDescent="0.2">
      <c r="A3" s="739"/>
      <c r="B3" s="739"/>
      <c r="C3" s="739"/>
      <c r="D3" s="739"/>
      <c r="E3" s="739"/>
      <c r="F3" s="739"/>
      <c r="G3" s="739"/>
      <c r="H3" s="739"/>
      <c r="I3" s="739"/>
      <c r="J3" s="739"/>
      <c r="K3" s="739"/>
      <c r="L3" s="739"/>
    </row>
    <row r="4" spans="1:31" ht="15" customHeight="1" x14ac:dyDescent="0.2">
      <c r="A4" s="739"/>
      <c r="B4" s="784" t="s">
        <v>904</v>
      </c>
      <c r="C4" s="784"/>
      <c r="D4" s="784"/>
      <c r="E4" s="784"/>
      <c r="F4" s="784"/>
      <c r="G4" s="739"/>
      <c r="H4" s="739"/>
      <c r="I4" s="739"/>
      <c r="J4" s="739"/>
      <c r="K4" s="739"/>
      <c r="L4" s="739"/>
    </row>
    <row r="5" spans="1:31" ht="15" customHeight="1" x14ac:dyDescent="0.2">
      <c r="A5" s="739"/>
      <c r="B5" s="784" t="s">
        <v>909</v>
      </c>
      <c r="C5" s="784"/>
      <c r="D5" s="784"/>
      <c r="E5" s="784"/>
      <c r="F5" s="1123" t="s">
        <v>910</v>
      </c>
      <c r="G5" s="1171"/>
      <c r="H5" s="1171"/>
      <c r="I5" s="1171"/>
      <c r="J5" s="1171"/>
      <c r="K5" s="1171"/>
      <c r="L5" s="1171"/>
    </row>
    <row r="6" spans="1:31" ht="15" customHeight="1" x14ac:dyDescent="0.2">
      <c r="A6" s="739"/>
      <c r="B6" s="784"/>
      <c r="C6" s="784"/>
      <c r="D6" s="784" t="s">
        <v>726</v>
      </c>
      <c r="E6" s="784"/>
      <c r="F6" s="784"/>
      <c r="G6" s="739"/>
      <c r="H6" s="739"/>
      <c r="I6" s="739"/>
      <c r="J6" s="739"/>
      <c r="K6" s="739"/>
      <c r="L6" s="739"/>
    </row>
    <row r="7" spans="1:31" ht="15" customHeight="1" x14ac:dyDescent="0.2">
      <c r="A7" s="739"/>
      <c r="B7" s="739"/>
      <c r="C7" s="739"/>
      <c r="D7" s="739"/>
      <c r="E7" s="739"/>
      <c r="F7" s="739"/>
      <c r="G7" s="739"/>
      <c r="H7" s="739"/>
      <c r="I7" s="739"/>
      <c r="J7" s="739"/>
      <c r="K7" s="739"/>
      <c r="L7" s="739"/>
    </row>
    <row r="8" spans="1:31" ht="15" customHeight="1" x14ac:dyDescent="0.2">
      <c r="A8" s="739"/>
      <c r="B8" s="1172" t="s">
        <v>630</v>
      </c>
      <c r="C8" s="739"/>
      <c r="D8" s="739"/>
      <c r="E8" s="739"/>
      <c r="F8" s="739"/>
      <c r="G8" s="739"/>
      <c r="H8" s="739"/>
      <c r="I8" s="739"/>
      <c r="J8" s="739"/>
      <c r="K8" s="739"/>
      <c r="L8" s="739"/>
    </row>
    <row r="9" spans="1:31" ht="15" customHeight="1" x14ac:dyDescent="0.2">
      <c r="A9" s="739"/>
      <c r="B9" s="784" t="s">
        <v>631</v>
      </c>
      <c r="C9" s="784" t="s">
        <v>632</v>
      </c>
      <c r="D9" s="784" t="s">
        <v>727</v>
      </c>
      <c r="E9" s="739"/>
      <c r="F9" s="739"/>
      <c r="G9" s="739"/>
      <c r="H9" s="739"/>
      <c r="I9" s="739"/>
      <c r="J9" s="739"/>
      <c r="K9" s="739"/>
      <c r="L9" s="739"/>
    </row>
    <row r="10" spans="1:31" ht="15" customHeight="1" x14ac:dyDescent="0.2">
      <c r="A10" s="739"/>
      <c r="B10" s="784" t="s">
        <v>633</v>
      </c>
      <c r="C10" s="784" t="s">
        <v>632</v>
      </c>
      <c r="D10" s="784" t="s">
        <v>728</v>
      </c>
      <c r="E10" s="739"/>
      <c r="F10" s="739"/>
      <c r="G10" s="739"/>
      <c r="H10" s="739"/>
      <c r="I10" s="739"/>
      <c r="J10" s="739"/>
      <c r="K10" s="739"/>
      <c r="L10" s="739"/>
    </row>
    <row r="11" spans="1:31" ht="15" customHeight="1" x14ac:dyDescent="0.2">
      <c r="A11" s="739"/>
      <c r="B11" s="784"/>
      <c r="C11" s="784"/>
      <c r="D11" s="784" t="s">
        <v>172</v>
      </c>
      <c r="E11" s="739"/>
      <c r="F11" s="739"/>
      <c r="G11" s="739"/>
      <c r="H11" s="739"/>
      <c r="I11" s="739"/>
      <c r="J11" s="739"/>
      <c r="K11" s="739"/>
      <c r="L11" s="739"/>
    </row>
    <row r="12" spans="1:31" ht="15" customHeight="1" x14ac:dyDescent="0.2">
      <c r="A12" s="739"/>
      <c r="B12" s="784"/>
      <c r="C12" s="784"/>
      <c r="D12" s="784" t="s">
        <v>634</v>
      </c>
      <c r="E12" s="739"/>
      <c r="F12" s="739"/>
      <c r="G12" s="739"/>
      <c r="H12" s="739"/>
      <c r="I12" s="739"/>
      <c r="J12" s="739"/>
      <c r="K12" s="739"/>
      <c r="L12" s="739"/>
    </row>
    <row r="13" spans="1:31" ht="15" customHeight="1" x14ac:dyDescent="0.2">
      <c r="A13" s="739"/>
      <c r="B13" s="1126" t="s">
        <v>358</v>
      </c>
      <c r="C13" s="784" t="s">
        <v>636</v>
      </c>
      <c r="D13" s="784" t="s">
        <v>173</v>
      </c>
      <c r="E13" s="739"/>
      <c r="F13" s="739"/>
      <c r="G13" s="739"/>
      <c r="H13" s="739"/>
      <c r="I13" s="739"/>
      <c r="J13" s="739"/>
      <c r="K13" s="739"/>
      <c r="L13" s="739"/>
    </row>
    <row r="14" spans="1:31" ht="15" customHeight="1" x14ac:dyDescent="0.2">
      <c r="A14" s="739"/>
      <c r="B14" s="784" t="s">
        <v>635</v>
      </c>
      <c r="C14" s="784" t="s">
        <v>636</v>
      </c>
      <c r="D14" s="784" t="s">
        <v>70</v>
      </c>
      <c r="E14" s="739"/>
      <c r="F14" s="739"/>
      <c r="G14" s="739"/>
      <c r="H14" s="739"/>
      <c r="I14" s="739"/>
      <c r="J14" s="739"/>
      <c r="K14" s="739"/>
      <c r="L14" s="739"/>
    </row>
    <row r="15" spans="1:31" ht="15" customHeight="1" x14ac:dyDescent="0.2">
      <c r="A15" s="739"/>
      <c r="B15" s="1126" t="s">
        <v>365</v>
      </c>
      <c r="C15" s="784" t="s">
        <v>636</v>
      </c>
      <c r="D15" s="784" t="s">
        <v>174</v>
      </c>
      <c r="E15" s="739"/>
      <c r="F15" s="739"/>
      <c r="G15" s="739"/>
      <c r="H15" s="739"/>
      <c r="I15" s="739"/>
      <c r="J15" s="739"/>
      <c r="K15" s="739"/>
      <c r="L15" s="739"/>
    </row>
    <row r="16" spans="1:31" ht="15" customHeight="1" x14ac:dyDescent="0.2">
      <c r="A16" s="739"/>
      <c r="B16" s="1126" t="s">
        <v>369</v>
      </c>
      <c r="C16" s="784" t="s">
        <v>636</v>
      </c>
      <c r="D16" s="784" t="s">
        <v>296</v>
      </c>
      <c r="E16" s="739"/>
      <c r="F16" s="739"/>
      <c r="G16" s="739"/>
      <c r="H16" s="739"/>
      <c r="I16" s="739"/>
      <c r="J16" s="739"/>
      <c r="K16" s="739"/>
      <c r="L16" s="739"/>
    </row>
    <row r="17" spans="1:13" ht="15" customHeight="1" x14ac:dyDescent="0.2">
      <c r="A17" s="739"/>
      <c r="B17" s="1126" t="s">
        <v>370</v>
      </c>
      <c r="C17" s="784" t="s">
        <v>636</v>
      </c>
      <c r="D17" s="784" t="s">
        <v>322</v>
      </c>
      <c r="E17" s="739"/>
      <c r="F17" s="739"/>
      <c r="G17" s="739"/>
      <c r="H17" s="739"/>
      <c r="I17" s="739"/>
      <c r="J17" s="739"/>
      <c r="K17" s="739"/>
      <c r="L17" s="739"/>
    </row>
    <row r="18" spans="1:13" ht="15" customHeight="1" x14ac:dyDescent="0.2">
      <c r="A18" s="739"/>
      <c r="B18" s="1126" t="s">
        <v>896</v>
      </c>
      <c r="C18" s="784" t="s">
        <v>636</v>
      </c>
      <c r="D18" s="784" t="s">
        <v>691</v>
      </c>
      <c r="E18" s="739"/>
      <c r="F18" s="739"/>
      <c r="G18" s="739"/>
      <c r="H18" s="739"/>
      <c r="I18" s="739"/>
      <c r="J18" s="739"/>
      <c r="K18" s="739"/>
      <c r="L18" s="739"/>
    </row>
    <row r="19" spans="1:13" ht="15" customHeight="1" x14ac:dyDescent="0.2">
      <c r="A19" s="739"/>
      <c r="B19" s="1173"/>
      <c r="C19" s="739"/>
      <c r="D19" s="739"/>
      <c r="E19" s="739"/>
      <c r="F19" s="739"/>
      <c r="G19" s="739"/>
      <c r="H19" s="739"/>
      <c r="I19" s="739"/>
      <c r="J19" s="739"/>
      <c r="K19" s="739"/>
      <c r="L19" s="739"/>
    </row>
    <row r="20" spans="1:13" ht="24.75" customHeight="1" x14ac:dyDescent="0.2">
      <c r="A20" s="784"/>
      <c r="B20" s="1128" t="s">
        <v>323</v>
      </c>
      <c r="C20" s="1129"/>
      <c r="D20" s="1129"/>
      <c r="E20" s="1129"/>
      <c r="F20" s="1129"/>
      <c r="G20" s="1129"/>
      <c r="H20" s="1129"/>
      <c r="I20" s="1129"/>
      <c r="J20" s="1129"/>
      <c r="K20" s="1129"/>
      <c r="L20" s="1130"/>
      <c r="M20" s="785"/>
    </row>
    <row r="21" spans="1:13" ht="17.25" customHeight="1" x14ac:dyDescent="0.2">
      <c r="A21" s="784"/>
      <c r="B21" s="1131"/>
      <c r="C21" s="1132"/>
      <c r="D21" s="1132"/>
      <c r="E21" s="1132"/>
      <c r="F21" s="1132"/>
      <c r="G21" s="1121"/>
      <c r="H21" s="1121"/>
      <c r="I21" s="1174" t="s">
        <v>66</v>
      </c>
      <c r="J21" s="1132"/>
      <c r="K21" s="1132"/>
      <c r="L21" s="1135" t="s">
        <v>61</v>
      </c>
      <c r="M21" s="785"/>
    </row>
    <row r="22" spans="1:13" ht="34.5" customHeight="1" x14ac:dyDescent="0.2">
      <c r="A22" s="739"/>
      <c r="B22" s="1120" t="s">
        <v>477</v>
      </c>
      <c r="C22" s="1121"/>
      <c r="D22" s="784"/>
      <c r="E22" s="784" t="s">
        <v>723</v>
      </c>
      <c r="F22" s="784"/>
      <c r="G22" s="1121"/>
      <c r="H22" s="1121"/>
      <c r="I22" s="1174" t="s">
        <v>486</v>
      </c>
      <c r="J22" s="784"/>
      <c r="K22" s="784"/>
      <c r="L22" s="1136" t="s">
        <v>65</v>
      </c>
    </row>
    <row r="23" spans="1:13" ht="27" customHeight="1" x14ac:dyDescent="0.2">
      <c r="A23" s="739"/>
      <c r="B23" s="1120"/>
      <c r="C23" s="784"/>
      <c r="D23" s="784"/>
      <c r="E23" s="784"/>
      <c r="F23" s="784"/>
      <c r="G23" s="784"/>
      <c r="H23" s="784"/>
      <c r="I23" s="1174" t="s">
        <v>985</v>
      </c>
      <c r="J23" s="784"/>
      <c r="K23" s="784"/>
      <c r="L23" s="1121" t="s">
        <v>62</v>
      </c>
    </row>
    <row r="24" spans="1:13" ht="15" customHeight="1" x14ac:dyDescent="0.2">
      <c r="A24" s="739"/>
      <c r="B24" s="1137" t="s">
        <v>63</v>
      </c>
      <c r="C24" s="1138"/>
      <c r="D24" s="1138"/>
      <c r="E24" s="1138"/>
      <c r="F24" s="1138"/>
      <c r="G24" s="1138"/>
      <c r="H24" s="1138"/>
      <c r="I24" s="1138"/>
      <c r="J24" s="1138"/>
      <c r="K24" s="1138"/>
      <c r="L24" s="1139"/>
    </row>
    <row r="25" spans="1:13" ht="18" customHeight="1" x14ac:dyDescent="0.2">
      <c r="A25" s="739"/>
      <c r="B25" s="1121" t="s">
        <v>806</v>
      </c>
      <c r="C25" s="784"/>
      <c r="D25" s="784"/>
      <c r="E25" s="784"/>
      <c r="F25" s="784"/>
      <c r="G25" s="784"/>
      <c r="H25" s="784"/>
      <c r="I25" s="784"/>
      <c r="J25" s="784"/>
      <c r="K25" s="784"/>
      <c r="L25" s="784"/>
    </row>
    <row r="26" spans="1:13" ht="15" customHeight="1" x14ac:dyDescent="0.2">
      <c r="A26" s="739"/>
      <c r="B26" s="784" t="s">
        <v>349</v>
      </c>
      <c r="C26" s="784"/>
      <c r="D26" s="784"/>
      <c r="E26" s="784"/>
      <c r="F26" s="784"/>
      <c r="G26" s="784"/>
      <c r="H26" s="784"/>
      <c r="I26" s="784"/>
      <c r="J26" s="784"/>
      <c r="K26" s="784"/>
      <c r="L26" s="784"/>
    </row>
    <row r="27" spans="1:13" ht="15" customHeight="1" x14ac:dyDescent="0.2">
      <c r="A27" s="739"/>
      <c r="B27" s="784" t="s">
        <v>350</v>
      </c>
      <c r="C27" s="784"/>
      <c r="D27" s="784"/>
      <c r="E27" s="784"/>
      <c r="F27" s="784"/>
      <c r="G27" s="784"/>
      <c r="H27" s="784"/>
      <c r="I27" s="784"/>
      <c r="J27" s="784"/>
      <c r="K27" s="784"/>
      <c r="L27" s="784"/>
    </row>
    <row r="28" spans="1:13" ht="15" customHeight="1" x14ac:dyDescent="0.2">
      <c r="A28" s="739"/>
      <c r="B28" s="784"/>
      <c r="C28" s="784"/>
      <c r="D28" s="784"/>
      <c r="E28" s="784"/>
      <c r="F28" s="784"/>
      <c r="G28" s="784"/>
      <c r="H28" s="784"/>
      <c r="I28" s="784"/>
      <c r="J28" s="784"/>
      <c r="K28" s="784"/>
      <c r="L28" s="784"/>
    </row>
    <row r="29" spans="1:13" ht="15" customHeight="1" x14ac:dyDescent="0.2">
      <c r="A29" s="739"/>
      <c r="B29" s="784" t="s">
        <v>353</v>
      </c>
      <c r="C29" s="784"/>
      <c r="D29" s="784"/>
      <c r="E29" s="784"/>
      <c r="F29" s="784"/>
      <c r="G29" s="784" t="s">
        <v>354</v>
      </c>
      <c r="H29" s="784"/>
      <c r="I29" s="784"/>
      <c r="J29" s="784"/>
      <c r="K29" s="784"/>
      <c r="L29" s="784"/>
    </row>
    <row r="30" spans="1:13" ht="15" customHeight="1" x14ac:dyDescent="0.2">
      <c r="A30" s="739"/>
      <c r="B30" s="784"/>
      <c r="C30" s="784"/>
      <c r="D30" s="784"/>
      <c r="E30" s="784"/>
      <c r="F30" s="784"/>
      <c r="G30" s="784"/>
      <c r="H30" s="784"/>
      <c r="I30" s="784"/>
      <c r="J30" s="784"/>
      <c r="K30" s="784"/>
      <c r="L30" s="784"/>
    </row>
    <row r="31" spans="1:13" s="785" customFormat="1" ht="25.5" customHeight="1" x14ac:dyDescent="0.2">
      <c r="A31" s="784"/>
      <c r="B31" s="1121" t="s">
        <v>269</v>
      </c>
      <c r="C31" s="784"/>
      <c r="D31" s="1368"/>
      <c r="E31" s="1350"/>
      <c r="F31" s="1351"/>
      <c r="G31" s="784"/>
      <c r="H31" s="784"/>
      <c r="I31" s="784"/>
      <c r="J31" s="784"/>
      <c r="K31" s="784"/>
      <c r="L31" s="1121" t="s">
        <v>270</v>
      </c>
    </row>
    <row r="32" spans="1:13" s="785" customFormat="1" ht="10.5" customHeight="1" x14ac:dyDescent="0.2">
      <c r="A32" s="784"/>
      <c r="B32" s="1121"/>
      <c r="C32" s="784"/>
      <c r="D32" s="1121"/>
      <c r="E32" s="1121"/>
      <c r="F32" s="1121"/>
      <c r="G32" s="1121"/>
      <c r="H32" s="1121"/>
      <c r="I32" s="1121"/>
      <c r="J32" s="784"/>
      <c r="K32" s="784"/>
      <c r="L32" s="1121"/>
    </row>
    <row r="33" spans="1:31" ht="15" customHeight="1" x14ac:dyDescent="0.2">
      <c r="A33" s="739"/>
      <c r="B33" s="1120"/>
      <c r="C33" s="784"/>
      <c r="D33" s="1120" t="s">
        <v>355</v>
      </c>
      <c r="E33" s="784"/>
      <c r="F33" s="784"/>
      <c r="G33" s="784"/>
      <c r="H33" s="1120" t="s">
        <v>356</v>
      </c>
      <c r="I33" s="784"/>
      <c r="J33" s="784"/>
      <c r="K33" s="784"/>
      <c r="L33" s="784"/>
    </row>
    <row r="34" spans="1:31" ht="15" customHeight="1" x14ac:dyDescent="0.2">
      <c r="A34" s="739"/>
      <c r="B34" s="1140"/>
      <c r="C34" s="1126"/>
      <c r="D34" s="784"/>
      <c r="E34" s="784"/>
      <c r="F34" s="784"/>
      <c r="G34" s="784"/>
      <c r="H34" s="784"/>
      <c r="I34" s="784"/>
      <c r="J34" s="784"/>
      <c r="K34" s="784"/>
      <c r="L34" s="784"/>
    </row>
    <row r="35" spans="1:31" ht="15" customHeight="1" x14ac:dyDescent="0.2">
      <c r="A35" s="739"/>
      <c r="B35" s="1140"/>
      <c r="C35" s="1175" t="s">
        <v>361</v>
      </c>
      <c r="D35" s="1349"/>
      <c r="E35" s="1350"/>
      <c r="F35" s="1351"/>
      <c r="G35" s="784"/>
      <c r="H35" s="1375">
        <f>D35</f>
        <v>0</v>
      </c>
      <c r="I35" s="1376"/>
      <c r="J35" s="1377"/>
      <c r="K35" s="784"/>
      <c r="L35" s="784"/>
      <c r="N35" s="1176" t="s">
        <v>177</v>
      </c>
      <c r="O35" s="1177"/>
      <c r="P35" s="1178"/>
      <c r="Q35" s="1177"/>
      <c r="R35" s="1177"/>
      <c r="S35" s="1177"/>
      <c r="T35" s="1177"/>
      <c r="U35" s="1177"/>
      <c r="V35" s="1177"/>
      <c r="W35" s="1179"/>
      <c r="X35" s="1177"/>
      <c r="Y35" s="1177"/>
      <c r="Z35" s="1177"/>
      <c r="AA35" s="1179"/>
      <c r="AB35" s="1177"/>
      <c r="AC35" s="1177"/>
      <c r="AD35" s="1177"/>
      <c r="AE35" s="1177"/>
    </row>
    <row r="36" spans="1:31" ht="15" customHeight="1" x14ac:dyDescent="0.2">
      <c r="A36" s="739"/>
      <c r="B36" s="784"/>
      <c r="C36" s="1175" t="s">
        <v>692</v>
      </c>
      <c r="D36" s="1378"/>
      <c r="E36" s="1379"/>
      <c r="F36" s="1380"/>
      <c r="G36" s="784"/>
      <c r="H36" s="1369"/>
      <c r="I36" s="1370"/>
      <c r="J36" s="1371"/>
      <c r="K36" s="784"/>
      <c r="L36" s="784"/>
      <c r="N36" s="1180"/>
      <c r="O36" s="784"/>
      <c r="P36" s="1132"/>
      <c r="Q36" s="784"/>
      <c r="R36" s="784"/>
      <c r="S36" s="784"/>
      <c r="T36" s="784"/>
      <c r="U36" s="784"/>
      <c r="V36" s="784"/>
      <c r="W36" s="1181"/>
      <c r="X36" s="784"/>
      <c r="Y36" s="784"/>
      <c r="Z36" s="784"/>
      <c r="AA36" s="1181"/>
      <c r="AB36" s="784"/>
      <c r="AC36" s="784"/>
      <c r="AD36" s="784"/>
      <c r="AE36" s="1182" t="s">
        <v>264</v>
      </c>
    </row>
    <row r="37" spans="1:31" ht="15" customHeight="1" x14ac:dyDescent="0.2">
      <c r="A37" s="739"/>
      <c r="B37" s="1140"/>
      <c r="C37" s="1126"/>
      <c r="D37" s="784"/>
      <c r="E37" s="784"/>
      <c r="F37" s="784"/>
      <c r="G37" s="784"/>
      <c r="H37" s="784"/>
      <c r="I37" s="784"/>
      <c r="J37" s="784"/>
      <c r="K37" s="784"/>
      <c r="L37" s="784"/>
      <c r="N37" s="1183" t="s">
        <v>1003</v>
      </c>
      <c r="O37" s="784"/>
      <c r="P37" s="1132"/>
      <c r="Q37" s="784"/>
      <c r="R37" s="784"/>
      <c r="S37" s="784"/>
      <c r="T37" s="784"/>
      <c r="U37" s="784"/>
      <c r="V37" s="784"/>
      <c r="W37" s="1181"/>
      <c r="X37" s="784"/>
      <c r="Y37" s="784"/>
      <c r="Z37" s="784"/>
      <c r="AA37" s="1181"/>
      <c r="AB37" s="784"/>
      <c r="AC37" s="784"/>
      <c r="AD37" s="784"/>
      <c r="AE37" s="784"/>
    </row>
    <row r="38" spans="1:31" ht="15" customHeight="1" x14ac:dyDescent="0.2">
      <c r="A38" s="739"/>
      <c r="B38" s="1140" t="s">
        <v>357</v>
      </c>
      <c r="C38" s="1126"/>
      <c r="D38" s="784"/>
      <c r="E38" s="784"/>
      <c r="F38" s="784"/>
      <c r="G38" s="784"/>
      <c r="H38" s="784"/>
      <c r="I38" s="784"/>
      <c r="J38" s="784"/>
      <c r="K38" s="784"/>
      <c r="L38" s="784"/>
      <c r="N38" s="1181" t="s">
        <v>1001</v>
      </c>
      <c r="O38" s="784" t="s">
        <v>989</v>
      </c>
      <c r="P38" s="1365" t="s">
        <v>987</v>
      </c>
      <c r="Q38" s="1366"/>
      <c r="R38" s="1366"/>
      <c r="S38" s="1366"/>
      <c r="T38" s="1366"/>
      <c r="U38" s="1366"/>
      <c r="V38" s="1367"/>
      <c r="W38" s="1181" t="s">
        <v>988</v>
      </c>
      <c r="X38" s="1365" t="s">
        <v>993</v>
      </c>
      <c r="Y38" s="1366"/>
      <c r="Z38" s="1366"/>
      <c r="AA38" s="1366"/>
      <c r="AB38" s="1366"/>
      <c r="AC38" s="1366"/>
      <c r="AD38" s="1367"/>
      <c r="AE38" s="784"/>
    </row>
    <row r="39" spans="1:31" ht="15" customHeight="1" x14ac:dyDescent="0.2">
      <c r="A39" s="739"/>
      <c r="B39" s="1140"/>
      <c r="C39" s="1175" t="s">
        <v>693</v>
      </c>
      <c r="D39" s="1372"/>
      <c r="E39" s="1373"/>
      <c r="F39" s="1374"/>
      <c r="G39" s="784"/>
      <c r="H39" s="1349"/>
      <c r="I39" s="1350"/>
      <c r="J39" s="1351"/>
      <c r="K39" s="784"/>
      <c r="L39" s="1121" t="s">
        <v>59</v>
      </c>
      <c r="N39" s="1181" t="s">
        <v>1001</v>
      </c>
      <c r="O39" s="784" t="s">
        <v>989</v>
      </c>
      <c r="P39" s="1365" t="s">
        <v>990</v>
      </c>
      <c r="Q39" s="1366"/>
      <c r="R39" s="1367"/>
      <c r="S39" s="784" t="s">
        <v>988</v>
      </c>
      <c r="T39" s="1365" t="s">
        <v>996</v>
      </c>
      <c r="U39" s="1366"/>
      <c r="V39" s="1367"/>
      <c r="W39" s="1181" t="s">
        <v>988</v>
      </c>
      <c r="X39" s="1365" t="s">
        <v>995</v>
      </c>
      <c r="Y39" s="1366"/>
      <c r="Z39" s="1367"/>
      <c r="AA39" s="1181" t="s">
        <v>988</v>
      </c>
      <c r="AB39" s="1365" t="s">
        <v>1000</v>
      </c>
      <c r="AC39" s="1366"/>
      <c r="AD39" s="1367"/>
      <c r="AE39" s="784"/>
    </row>
    <row r="40" spans="1:31" ht="25.5" customHeight="1" x14ac:dyDescent="0.2">
      <c r="A40" s="739"/>
      <c r="B40" s="1140"/>
      <c r="C40" s="1175" t="s">
        <v>694</v>
      </c>
      <c r="D40" s="1352"/>
      <c r="E40" s="1350"/>
      <c r="F40" s="1351"/>
      <c r="G40" s="784"/>
      <c r="H40" s="1349"/>
      <c r="I40" s="1350"/>
      <c r="J40" s="1351"/>
      <c r="K40" s="784"/>
      <c r="L40" s="1184" t="s">
        <v>60</v>
      </c>
      <c r="N40" s="1181" t="s">
        <v>1001</v>
      </c>
      <c r="O40" s="784" t="s">
        <v>989</v>
      </c>
      <c r="P40" s="1181" t="s">
        <v>992</v>
      </c>
      <c r="Q40" s="1181" t="s">
        <v>164</v>
      </c>
      <c r="R40" s="1181" t="s">
        <v>991</v>
      </c>
      <c r="S40" s="1181" t="s">
        <v>988</v>
      </c>
      <c r="T40" s="1185" t="s">
        <v>267</v>
      </c>
      <c r="U40" s="1181" t="s">
        <v>164</v>
      </c>
      <c r="V40" s="1146" t="s">
        <v>266</v>
      </c>
      <c r="W40" s="1181" t="s">
        <v>988</v>
      </c>
      <c r="X40" s="1181" t="s">
        <v>994</v>
      </c>
      <c r="Y40" s="1181" t="s">
        <v>164</v>
      </c>
      <c r="Z40" s="1181" t="s">
        <v>997</v>
      </c>
      <c r="AA40" s="1181" t="s">
        <v>988</v>
      </c>
      <c r="AB40" s="1181" t="s">
        <v>998</v>
      </c>
      <c r="AC40" s="1181" t="s">
        <v>164</v>
      </c>
      <c r="AD40" s="1181" t="s">
        <v>999</v>
      </c>
      <c r="AE40" s="784"/>
    </row>
    <row r="41" spans="1:31" ht="27" customHeight="1" x14ac:dyDescent="0.2">
      <c r="A41" s="739"/>
      <c r="B41" s="784"/>
      <c r="C41" s="1175" t="s">
        <v>358</v>
      </c>
      <c r="D41" s="1186"/>
      <c r="E41" s="784" t="s">
        <v>359</v>
      </c>
      <c r="F41" s="784"/>
      <c r="G41" s="784"/>
      <c r="H41" s="1186"/>
      <c r="I41" s="784" t="s">
        <v>359</v>
      </c>
      <c r="J41" s="784"/>
      <c r="K41" s="784"/>
      <c r="L41" s="1187" t="s">
        <v>986</v>
      </c>
      <c r="N41" s="1181" t="s">
        <v>1001</v>
      </c>
      <c r="O41" s="784" t="s">
        <v>989</v>
      </c>
      <c r="P41" s="1143"/>
      <c r="Q41" s="784"/>
      <c r="R41" s="1188">
        <v>0.47</v>
      </c>
      <c r="S41" s="784"/>
      <c r="T41" s="1143"/>
      <c r="U41" s="784"/>
      <c r="V41" s="1188">
        <v>0.47</v>
      </c>
      <c r="W41" s="1181"/>
      <c r="X41" s="1143"/>
      <c r="Y41" s="784"/>
      <c r="Z41" s="1188">
        <v>0.5</v>
      </c>
      <c r="AA41" s="1181"/>
      <c r="AB41" s="1143"/>
      <c r="AC41" s="784"/>
      <c r="AD41" s="1188">
        <v>0.4</v>
      </c>
      <c r="AE41" s="1189" t="s">
        <v>265</v>
      </c>
    </row>
    <row r="42" spans="1:31" ht="15" customHeight="1" x14ac:dyDescent="0.2">
      <c r="A42" s="739"/>
      <c r="B42" s="1140"/>
      <c r="C42" s="1126"/>
      <c r="D42" s="784"/>
      <c r="E42" s="784"/>
      <c r="F42" s="784"/>
      <c r="G42" s="784"/>
      <c r="H42" s="784"/>
      <c r="I42" s="784"/>
      <c r="J42" s="784"/>
      <c r="K42" s="784"/>
      <c r="L42" s="784"/>
      <c r="N42" s="1181"/>
      <c r="O42" s="784"/>
      <c r="P42" s="784"/>
      <c r="Q42" s="784"/>
      <c r="R42" s="784"/>
      <c r="S42" s="784"/>
      <c r="T42" s="784"/>
      <c r="U42" s="784"/>
      <c r="V42" s="784"/>
      <c r="W42" s="1181"/>
      <c r="X42" s="784"/>
      <c r="Y42" s="784"/>
      <c r="Z42" s="784"/>
      <c r="AA42" s="1181"/>
      <c r="AB42" s="784"/>
      <c r="AC42" s="784"/>
      <c r="AD42" s="784"/>
      <c r="AE42" s="784"/>
    </row>
    <row r="43" spans="1:31" ht="15" customHeight="1" x14ac:dyDescent="0.2">
      <c r="A43" s="739"/>
      <c r="B43" s="1140" t="s">
        <v>360</v>
      </c>
      <c r="C43" s="1141"/>
      <c r="D43" s="784"/>
      <c r="E43" s="784"/>
      <c r="F43" s="784"/>
      <c r="G43" s="784"/>
      <c r="H43" s="784"/>
      <c r="I43" s="784"/>
      <c r="J43" s="784"/>
      <c r="K43" s="784"/>
      <c r="L43" s="784"/>
      <c r="N43" s="1181" t="s">
        <v>1001</v>
      </c>
      <c r="O43" s="784" t="s">
        <v>989</v>
      </c>
      <c r="P43" s="784">
        <f>P41*R41+T41*V41+X41*Z41+AB41*AD41</f>
        <v>0</v>
      </c>
      <c r="Q43" s="784"/>
      <c r="R43" s="1121" t="s">
        <v>1002</v>
      </c>
      <c r="S43" s="784"/>
      <c r="T43" s="784"/>
      <c r="U43" s="1121" t="s">
        <v>1004</v>
      </c>
      <c r="V43" s="784"/>
      <c r="W43" s="1181"/>
      <c r="X43" s="784"/>
      <c r="Y43" s="784"/>
      <c r="Z43" s="784"/>
      <c r="AA43" s="1181"/>
      <c r="AB43" s="784"/>
      <c r="AC43" s="784"/>
      <c r="AD43" s="784"/>
      <c r="AE43" s="784"/>
    </row>
    <row r="44" spans="1:31" ht="15" customHeight="1" x14ac:dyDescent="0.2">
      <c r="A44" s="739"/>
      <c r="B44" s="1142"/>
      <c r="C44" s="1175" t="s">
        <v>361</v>
      </c>
      <c r="D44" s="1353">
        <f>D35</f>
        <v>0</v>
      </c>
      <c r="E44" s="1354"/>
      <c r="F44" s="1355"/>
      <c r="G44" s="784"/>
      <c r="H44" s="1383">
        <f>D44</f>
        <v>0</v>
      </c>
      <c r="I44" s="1384"/>
      <c r="J44" s="1385"/>
      <c r="K44" s="784"/>
      <c r="L44" s="784" t="s">
        <v>362</v>
      </c>
      <c r="N44" s="1126"/>
      <c r="O44" s="784"/>
      <c r="P44" s="784"/>
      <c r="Q44" s="784"/>
      <c r="R44" s="784"/>
      <c r="S44" s="784"/>
      <c r="T44" s="784"/>
      <c r="U44" s="784"/>
      <c r="V44" s="784"/>
      <c r="W44" s="1181"/>
      <c r="X44" s="784"/>
      <c r="Y44" s="784"/>
      <c r="Z44" s="784"/>
      <c r="AA44" s="1181"/>
      <c r="AB44" s="784"/>
      <c r="AC44" s="784"/>
      <c r="AD44" s="784"/>
      <c r="AE44" s="784"/>
    </row>
    <row r="45" spans="1:31" ht="15" customHeight="1" x14ac:dyDescent="0.2">
      <c r="A45" s="739"/>
      <c r="B45" s="784"/>
      <c r="C45" s="1175" t="s">
        <v>363</v>
      </c>
      <c r="D45" s="1349"/>
      <c r="E45" s="1350"/>
      <c r="F45" s="1351"/>
      <c r="G45" s="784"/>
      <c r="H45" s="1383">
        <f>D45</f>
        <v>0</v>
      </c>
      <c r="I45" s="1384"/>
      <c r="J45" s="1385"/>
      <c r="K45" s="784"/>
      <c r="L45" s="784" t="s">
        <v>364</v>
      </c>
      <c r="N45" s="1183" t="s">
        <v>1005</v>
      </c>
      <c r="O45" s="784"/>
      <c r="P45" s="1132"/>
      <c r="Q45" s="784"/>
      <c r="R45" s="784"/>
      <c r="S45" s="784"/>
      <c r="T45" s="784"/>
      <c r="U45" s="784"/>
      <c r="V45" s="784"/>
      <c r="W45" s="1181"/>
      <c r="X45" s="784"/>
      <c r="Y45" s="784"/>
      <c r="Z45" s="784"/>
      <c r="AA45" s="1181"/>
      <c r="AB45" s="784"/>
      <c r="AC45" s="784"/>
      <c r="AD45" s="784"/>
      <c r="AE45" s="784"/>
    </row>
    <row r="46" spans="1:31" ht="15" customHeight="1" x14ac:dyDescent="0.2">
      <c r="A46" s="739"/>
      <c r="B46" s="784"/>
      <c r="C46" s="1175" t="s">
        <v>367</v>
      </c>
      <c r="D46" s="1349"/>
      <c r="E46" s="1350"/>
      <c r="F46" s="1351"/>
      <c r="G46" s="784"/>
      <c r="H46" s="1349"/>
      <c r="I46" s="1381"/>
      <c r="J46" s="1382"/>
      <c r="K46" s="784"/>
      <c r="L46" s="1121" t="s">
        <v>765</v>
      </c>
      <c r="N46" s="1181" t="s">
        <v>1001</v>
      </c>
      <c r="O46" s="784" t="s">
        <v>989</v>
      </c>
      <c r="P46" s="1365" t="s">
        <v>987</v>
      </c>
      <c r="Q46" s="1366"/>
      <c r="R46" s="1366"/>
      <c r="S46" s="1366"/>
      <c r="T46" s="1366"/>
      <c r="U46" s="1366"/>
      <c r="V46" s="1367"/>
      <c r="W46" s="1181" t="s">
        <v>988</v>
      </c>
      <c r="X46" s="1365" t="s">
        <v>993</v>
      </c>
      <c r="Y46" s="1366"/>
      <c r="Z46" s="1366"/>
      <c r="AA46" s="1366"/>
      <c r="AB46" s="1366"/>
      <c r="AC46" s="1366"/>
      <c r="AD46" s="1367"/>
      <c r="AE46" s="784"/>
    </row>
    <row r="47" spans="1:31" ht="15" customHeight="1" x14ac:dyDescent="0.2">
      <c r="A47" s="739"/>
      <c r="B47" s="784"/>
      <c r="C47" s="1175" t="s">
        <v>368</v>
      </c>
      <c r="D47" s="1378"/>
      <c r="E47" s="1379"/>
      <c r="F47" s="1380"/>
      <c r="G47" s="784"/>
      <c r="H47" s="1349"/>
      <c r="I47" s="1381"/>
      <c r="J47" s="1382"/>
      <c r="K47" s="784"/>
      <c r="L47" s="1121" t="s">
        <v>765</v>
      </c>
      <c r="N47" s="1181" t="s">
        <v>1001</v>
      </c>
      <c r="O47" s="784" t="s">
        <v>989</v>
      </c>
      <c r="P47" s="1365" t="s">
        <v>990</v>
      </c>
      <c r="Q47" s="1366"/>
      <c r="R47" s="1367"/>
      <c r="S47" s="784" t="s">
        <v>988</v>
      </c>
      <c r="T47" s="1365" t="s">
        <v>996</v>
      </c>
      <c r="U47" s="1366"/>
      <c r="V47" s="1367"/>
      <c r="W47" s="1181" t="s">
        <v>988</v>
      </c>
      <c r="X47" s="1365" t="s">
        <v>995</v>
      </c>
      <c r="Y47" s="1366"/>
      <c r="Z47" s="1367"/>
      <c r="AA47" s="1181" t="s">
        <v>988</v>
      </c>
      <c r="AB47" s="1365" t="s">
        <v>1000</v>
      </c>
      <c r="AC47" s="1366"/>
      <c r="AD47" s="1367"/>
      <c r="AE47" s="784"/>
    </row>
    <row r="48" spans="1:31" ht="15" customHeight="1" x14ac:dyDescent="0.2">
      <c r="A48" s="739"/>
      <c r="B48" s="784"/>
      <c r="C48" s="1141"/>
      <c r="D48" s="784"/>
      <c r="E48" s="784"/>
      <c r="F48" s="784"/>
      <c r="G48" s="784"/>
      <c r="H48" s="1132"/>
      <c r="I48" s="1132"/>
      <c r="J48" s="1132"/>
      <c r="K48" s="784"/>
      <c r="L48" s="784"/>
      <c r="N48" s="1181" t="s">
        <v>1001</v>
      </c>
      <c r="O48" s="784" t="s">
        <v>989</v>
      </c>
      <c r="P48" s="1181" t="s">
        <v>992</v>
      </c>
      <c r="Q48" s="1181" t="s">
        <v>164</v>
      </c>
      <c r="R48" s="1181" t="s">
        <v>991</v>
      </c>
      <c r="S48" s="1181" t="s">
        <v>988</v>
      </c>
      <c r="T48" s="1185" t="s">
        <v>267</v>
      </c>
      <c r="U48" s="1181" t="s">
        <v>164</v>
      </c>
      <c r="V48" s="1146" t="s">
        <v>266</v>
      </c>
      <c r="W48" s="1181" t="s">
        <v>988</v>
      </c>
      <c r="X48" s="1181" t="s">
        <v>994</v>
      </c>
      <c r="Y48" s="1181" t="s">
        <v>164</v>
      </c>
      <c r="Z48" s="1181" t="s">
        <v>997</v>
      </c>
      <c r="AA48" s="1181" t="s">
        <v>988</v>
      </c>
      <c r="AB48" s="1181" t="s">
        <v>998</v>
      </c>
      <c r="AC48" s="1181" t="s">
        <v>164</v>
      </c>
      <c r="AD48" s="1181" t="s">
        <v>999</v>
      </c>
      <c r="AE48" s="784"/>
    </row>
    <row r="49" spans="1:31" ht="15" customHeight="1" x14ac:dyDescent="0.2">
      <c r="A49" s="739"/>
      <c r="B49" s="784"/>
      <c r="C49" s="1175" t="s">
        <v>365</v>
      </c>
      <c r="D49" s="1186"/>
      <c r="E49" s="784" t="s">
        <v>359</v>
      </c>
      <c r="F49" s="784"/>
      <c r="G49" s="784"/>
      <c r="H49" s="1132">
        <f>D49</f>
        <v>0</v>
      </c>
      <c r="I49" s="784" t="s">
        <v>359</v>
      </c>
      <c r="J49" s="1132"/>
      <c r="K49" s="784"/>
      <c r="L49" s="784" t="s">
        <v>366</v>
      </c>
      <c r="N49" s="1181" t="s">
        <v>1001</v>
      </c>
      <c r="O49" s="784" t="s">
        <v>989</v>
      </c>
      <c r="P49" s="1143"/>
      <c r="Q49" s="784"/>
      <c r="R49" s="1188">
        <v>0.47</v>
      </c>
      <c r="S49" s="784"/>
      <c r="T49" s="1143"/>
      <c r="U49" s="784"/>
      <c r="V49" s="1188">
        <v>0.47</v>
      </c>
      <c r="W49" s="1181"/>
      <c r="X49" s="1143"/>
      <c r="Y49" s="784"/>
      <c r="Z49" s="1188">
        <v>0.5</v>
      </c>
      <c r="AA49" s="1181"/>
      <c r="AB49" s="1143"/>
      <c r="AC49" s="784"/>
      <c r="AD49" s="1188">
        <v>0.4</v>
      </c>
      <c r="AE49" s="784"/>
    </row>
    <row r="50" spans="1:31" ht="15" customHeight="1" x14ac:dyDescent="0.2">
      <c r="A50" s="739"/>
      <c r="B50" s="784"/>
      <c r="C50" s="1175" t="s">
        <v>369</v>
      </c>
      <c r="D50" s="1186"/>
      <c r="E50" s="784"/>
      <c r="F50" s="784"/>
      <c r="G50" s="784"/>
      <c r="H50" s="1186"/>
      <c r="I50" s="784"/>
      <c r="J50" s="784"/>
      <c r="K50" s="784"/>
      <c r="L50" s="784" t="s">
        <v>695</v>
      </c>
      <c r="N50" s="1181"/>
      <c r="O50" s="784"/>
      <c r="P50" s="784"/>
      <c r="Q50" s="784"/>
      <c r="R50" s="784"/>
      <c r="S50" s="784"/>
      <c r="T50" s="784"/>
      <c r="U50" s="784"/>
      <c r="V50" s="784"/>
      <c r="W50" s="1181"/>
      <c r="X50" s="784"/>
      <c r="Y50" s="784"/>
      <c r="Z50" s="784"/>
      <c r="AA50" s="1181"/>
      <c r="AB50" s="784"/>
      <c r="AC50" s="784"/>
      <c r="AD50" s="784"/>
      <c r="AE50" s="784"/>
    </row>
    <row r="51" spans="1:31" ht="15" customHeight="1" x14ac:dyDescent="0.2">
      <c r="A51" s="739"/>
      <c r="B51" s="784"/>
      <c r="C51" s="1175" t="s">
        <v>370</v>
      </c>
      <c r="D51" s="1190"/>
      <c r="E51" s="784"/>
      <c r="F51" s="784"/>
      <c r="G51" s="784"/>
      <c r="H51" s="1190"/>
      <c r="I51" s="784"/>
      <c r="J51" s="784"/>
      <c r="K51" s="784"/>
      <c r="L51" s="784" t="s">
        <v>695</v>
      </c>
      <c r="N51" s="1181" t="s">
        <v>1001</v>
      </c>
      <c r="O51" s="784" t="s">
        <v>989</v>
      </c>
      <c r="P51" s="784">
        <f>P49*R49+T49*V49+X49*Z49+AB49*AD49</f>
        <v>0</v>
      </c>
      <c r="Q51" s="784"/>
      <c r="R51" s="1121" t="s">
        <v>1002</v>
      </c>
      <c r="S51" s="784"/>
      <c r="T51" s="784"/>
      <c r="U51" s="1121" t="s">
        <v>1006</v>
      </c>
      <c r="V51" s="784"/>
      <c r="W51" s="1181"/>
      <c r="X51" s="784"/>
      <c r="Y51" s="784"/>
      <c r="Z51" s="784"/>
      <c r="AA51" s="1181"/>
      <c r="AB51" s="784"/>
      <c r="AC51" s="784"/>
      <c r="AD51" s="784"/>
      <c r="AE51" s="784"/>
    </row>
    <row r="52" spans="1:31" ht="15" customHeight="1" x14ac:dyDescent="0.2">
      <c r="A52" s="739"/>
      <c r="B52" s="784"/>
      <c r="C52" s="1175" t="s">
        <v>896</v>
      </c>
      <c r="D52" s="1190"/>
      <c r="E52" s="784"/>
      <c r="F52" s="784"/>
      <c r="G52" s="784"/>
      <c r="H52" s="1190"/>
      <c r="I52" s="784"/>
      <c r="J52" s="784"/>
      <c r="K52" s="784"/>
      <c r="L52" s="784" t="s">
        <v>695</v>
      </c>
      <c r="N52" s="1126"/>
      <c r="O52" s="784"/>
      <c r="P52" s="784"/>
      <c r="Q52" s="784"/>
      <c r="R52" s="784"/>
      <c r="S52" s="784"/>
      <c r="T52" s="784"/>
      <c r="U52" s="784"/>
      <c r="V52" s="784"/>
      <c r="W52" s="1181"/>
      <c r="X52" s="784"/>
      <c r="Y52" s="784"/>
      <c r="Z52" s="784"/>
      <c r="AA52" s="1181"/>
      <c r="AB52" s="784"/>
      <c r="AC52" s="784"/>
      <c r="AD52" s="784"/>
      <c r="AE52" s="784"/>
    </row>
    <row r="53" spans="1:31" ht="15" customHeight="1" x14ac:dyDescent="0.2">
      <c r="A53" s="739"/>
      <c r="B53" s="784"/>
      <c r="C53" s="784"/>
      <c r="D53" s="784"/>
      <c r="E53" s="784"/>
      <c r="F53" s="784"/>
      <c r="G53" s="784"/>
      <c r="H53" s="784"/>
      <c r="I53" s="784"/>
      <c r="J53" s="784"/>
      <c r="K53" s="784"/>
      <c r="L53" s="784"/>
      <c r="N53" s="1183" t="s">
        <v>178</v>
      </c>
      <c r="O53" s="784"/>
      <c r="P53" s="784"/>
      <c r="Q53" s="784"/>
      <c r="R53" s="784"/>
      <c r="S53" s="784"/>
      <c r="T53" s="784"/>
      <c r="U53" s="784"/>
      <c r="V53" s="784"/>
      <c r="W53" s="1181"/>
      <c r="X53" s="784"/>
      <c r="Y53" s="784"/>
      <c r="Z53" s="784"/>
      <c r="AA53" s="1181"/>
      <c r="AB53" s="784"/>
      <c r="AC53" s="784"/>
      <c r="AD53" s="784"/>
      <c r="AE53" s="784"/>
    </row>
    <row r="54" spans="1:31" ht="15" customHeight="1" x14ac:dyDescent="0.2">
      <c r="A54" s="739"/>
      <c r="B54" s="1120"/>
      <c r="C54" s="784"/>
      <c r="D54" s="784"/>
      <c r="E54" s="784"/>
      <c r="F54" s="784"/>
      <c r="G54" s="784"/>
      <c r="H54" s="784"/>
      <c r="I54" s="784"/>
      <c r="J54" s="784"/>
      <c r="K54" s="784"/>
      <c r="L54" s="784"/>
      <c r="N54" s="1126"/>
      <c r="O54" s="784"/>
      <c r="P54" s="1356"/>
      <c r="Q54" s="1357"/>
      <c r="R54" s="1357"/>
      <c r="S54" s="1357"/>
      <c r="T54" s="1357"/>
      <c r="U54" s="1357"/>
      <c r="V54" s="1357"/>
      <c r="W54" s="1357"/>
      <c r="X54" s="1357"/>
      <c r="Y54" s="1357"/>
      <c r="Z54" s="1357"/>
      <c r="AA54" s="1357"/>
      <c r="AB54" s="1357"/>
      <c r="AC54" s="1357"/>
      <c r="AD54" s="1358"/>
      <c r="AE54" s="784"/>
    </row>
    <row r="55" spans="1:31" ht="15" customHeight="1" x14ac:dyDescent="0.2">
      <c r="A55" s="739"/>
      <c r="B55" s="1120" t="s">
        <v>903</v>
      </c>
      <c r="C55" s="784"/>
      <c r="D55" s="1141" t="s">
        <v>905</v>
      </c>
      <c r="E55" s="1147">
        <f>D41+(D49*D50*(IF(AND(D51&gt;0,D51&lt;1000),D51,1))*(IF(AND(D52&gt;0,D52&lt;1000),D52,1)))</f>
        <v>0</v>
      </c>
      <c r="F55" s="784" t="s">
        <v>359</v>
      </c>
      <c r="G55" s="784"/>
      <c r="H55" s="1141" t="s">
        <v>906</v>
      </c>
      <c r="I55" s="1147">
        <f>H41+(H49*H50*(IF(AND(H51&gt;0,H51&lt;1000),H51,1))*(IF(AND(H52&gt;0,H52&lt;1000),H52,1)))</f>
        <v>0</v>
      </c>
      <c r="J55" s="784" t="s">
        <v>359</v>
      </c>
      <c r="K55" s="784"/>
      <c r="L55" s="784"/>
      <c r="N55" s="1126"/>
      <c r="O55" s="784"/>
      <c r="P55" s="1359"/>
      <c r="Q55" s="1360"/>
      <c r="R55" s="1360"/>
      <c r="S55" s="1360"/>
      <c r="T55" s="1360"/>
      <c r="U55" s="1360"/>
      <c r="V55" s="1360"/>
      <c r="W55" s="1360"/>
      <c r="X55" s="1360"/>
      <c r="Y55" s="1360"/>
      <c r="Z55" s="1360"/>
      <c r="AA55" s="1360"/>
      <c r="AB55" s="1360"/>
      <c r="AC55" s="1360"/>
      <c r="AD55" s="1361"/>
      <c r="AE55" s="784"/>
    </row>
    <row r="56" spans="1:31" ht="15" customHeight="1" x14ac:dyDescent="0.2">
      <c r="A56" s="739"/>
      <c r="B56" s="1120" t="s">
        <v>9</v>
      </c>
      <c r="C56" s="784"/>
      <c r="D56" s="1191" t="s">
        <v>481</v>
      </c>
      <c r="E56" s="1192">
        <f>(I55-E55)*3.664/20</f>
        <v>0</v>
      </c>
      <c r="F56" s="1151" t="s">
        <v>808</v>
      </c>
      <c r="G56" s="784"/>
      <c r="H56" s="784"/>
      <c r="I56" s="784"/>
      <c r="J56" s="784"/>
      <c r="K56" s="784"/>
      <c r="L56" s="784" t="s">
        <v>56</v>
      </c>
      <c r="N56" s="1126"/>
      <c r="O56" s="784"/>
      <c r="P56" s="1359"/>
      <c r="Q56" s="1360"/>
      <c r="R56" s="1360"/>
      <c r="S56" s="1360"/>
      <c r="T56" s="1360"/>
      <c r="U56" s="1360"/>
      <c r="V56" s="1360"/>
      <c r="W56" s="1360"/>
      <c r="X56" s="1360"/>
      <c r="Y56" s="1360"/>
      <c r="Z56" s="1360"/>
      <c r="AA56" s="1360"/>
      <c r="AB56" s="1360"/>
      <c r="AC56" s="1360"/>
      <c r="AD56" s="1361"/>
      <c r="AE56" s="784"/>
    </row>
    <row r="57" spans="1:31" ht="15" customHeight="1" x14ac:dyDescent="0.2">
      <c r="A57" s="739"/>
      <c r="B57" s="784"/>
      <c r="C57" s="784"/>
      <c r="D57" s="784"/>
      <c r="E57" s="784"/>
      <c r="F57" s="784"/>
      <c r="G57" s="784"/>
      <c r="H57" s="784"/>
      <c r="I57" s="784"/>
      <c r="J57" s="784"/>
      <c r="K57" s="784"/>
      <c r="L57" s="784"/>
      <c r="N57" s="1126"/>
      <c r="O57" s="784"/>
      <c r="P57" s="1362"/>
      <c r="Q57" s="1363"/>
      <c r="R57" s="1363"/>
      <c r="S57" s="1363"/>
      <c r="T57" s="1363"/>
      <c r="U57" s="1363"/>
      <c r="V57" s="1363"/>
      <c r="W57" s="1363"/>
      <c r="X57" s="1363"/>
      <c r="Y57" s="1363"/>
      <c r="Z57" s="1363"/>
      <c r="AA57" s="1363"/>
      <c r="AB57" s="1363"/>
      <c r="AC57" s="1363"/>
      <c r="AD57" s="1364"/>
      <c r="AE57" s="784"/>
    </row>
    <row r="58" spans="1:31" ht="15" customHeight="1" x14ac:dyDescent="0.2">
      <c r="A58" s="739"/>
      <c r="B58" s="1137" t="s">
        <v>64</v>
      </c>
      <c r="C58" s="1138"/>
      <c r="D58" s="1138"/>
      <c r="E58" s="1138"/>
      <c r="F58" s="1138"/>
      <c r="G58" s="1138"/>
      <c r="H58" s="1138"/>
      <c r="I58" s="1138"/>
      <c r="J58" s="1138"/>
      <c r="K58" s="1138"/>
      <c r="L58" s="1139"/>
      <c r="N58" s="1126"/>
      <c r="O58" s="784"/>
      <c r="P58" s="784"/>
      <c r="Q58" s="784"/>
      <c r="R58" s="784"/>
      <c r="S58" s="784"/>
      <c r="T58" s="784"/>
      <c r="U58" s="784"/>
      <c r="V58" s="784"/>
      <c r="W58" s="1181"/>
      <c r="X58" s="784"/>
      <c r="Y58" s="784"/>
      <c r="Z58" s="784"/>
      <c r="AA58" s="1181"/>
      <c r="AB58" s="784"/>
      <c r="AC58" s="784"/>
      <c r="AD58" s="784"/>
      <c r="AE58" s="784"/>
    </row>
    <row r="59" spans="1:31" ht="15" customHeight="1" x14ac:dyDescent="0.2">
      <c r="A59" s="739"/>
      <c r="B59" s="1121" t="s">
        <v>193</v>
      </c>
      <c r="C59" s="784"/>
      <c r="D59" s="1141"/>
      <c r="E59" s="1147"/>
      <c r="F59" s="784"/>
      <c r="G59" s="784"/>
      <c r="H59" s="1141"/>
      <c r="I59" s="1147"/>
      <c r="J59" s="784"/>
      <c r="K59" s="784"/>
      <c r="L59" s="784"/>
    </row>
    <row r="60" spans="1:31" ht="15" customHeight="1" x14ac:dyDescent="0.2">
      <c r="A60" s="739"/>
      <c r="B60" s="1121" t="s">
        <v>194</v>
      </c>
      <c r="C60" s="784"/>
      <c r="D60" s="1141"/>
      <c r="E60" s="1147"/>
      <c r="F60" s="784"/>
      <c r="G60" s="784"/>
      <c r="H60" s="1141"/>
      <c r="I60" s="1147"/>
      <c r="J60" s="784"/>
      <c r="K60" s="784"/>
      <c r="L60" s="784"/>
    </row>
    <row r="61" spans="1:31" ht="15" customHeight="1" x14ac:dyDescent="0.2">
      <c r="A61" s="739"/>
      <c r="B61" s="1120" t="s">
        <v>472</v>
      </c>
      <c r="C61" s="784"/>
      <c r="D61" s="1141"/>
      <c r="E61" s="1147"/>
      <c r="F61" s="784"/>
      <c r="G61" s="784"/>
      <c r="H61" s="1141"/>
      <c r="I61" s="1147"/>
      <c r="J61" s="784"/>
      <c r="K61" s="784"/>
      <c r="L61" s="784"/>
    </row>
    <row r="62" spans="1:31" ht="15" customHeight="1" x14ac:dyDescent="0.2">
      <c r="A62" s="739"/>
      <c r="B62" s="1124" t="s">
        <v>436</v>
      </c>
      <c r="C62" s="784"/>
      <c r="D62" s="1340"/>
      <c r="E62" s="1341"/>
      <c r="F62" s="1341"/>
      <c r="G62" s="1341"/>
      <c r="H62" s="1341"/>
      <c r="I62" s="1342"/>
      <c r="J62" s="1152" t="s">
        <v>437</v>
      </c>
      <c r="K62" s="1152" t="s">
        <v>438</v>
      </c>
      <c r="L62" s="1152" t="s">
        <v>1113</v>
      </c>
    </row>
    <row r="63" spans="1:31" ht="15" customHeight="1" x14ac:dyDescent="0.2">
      <c r="A63" s="739"/>
      <c r="B63" s="1121" t="s">
        <v>1114</v>
      </c>
      <c r="C63" s="1121"/>
      <c r="D63" s="1343"/>
      <c r="E63" s="1344"/>
      <c r="F63" s="1344"/>
      <c r="G63" s="1344"/>
      <c r="H63" s="1344"/>
      <c r="I63" s="1345"/>
      <c r="J63" s="784"/>
      <c r="K63" s="1155" t="s">
        <v>893</v>
      </c>
      <c r="L63" s="1121" t="s">
        <v>892</v>
      </c>
    </row>
    <row r="64" spans="1:31" ht="15" customHeight="1" x14ac:dyDescent="0.2">
      <c r="A64" s="739"/>
      <c r="B64" s="1121"/>
      <c r="C64" s="1121"/>
      <c r="D64" s="1346"/>
      <c r="E64" s="1347"/>
      <c r="F64" s="1347"/>
      <c r="G64" s="1347"/>
      <c r="H64" s="1347"/>
      <c r="I64" s="1348"/>
      <c r="J64" s="784"/>
      <c r="K64" s="784"/>
      <c r="L64" s="1121" t="s">
        <v>1121</v>
      </c>
    </row>
    <row r="65" spans="1:12" ht="15" customHeight="1" x14ac:dyDescent="0.2">
      <c r="A65" s="739"/>
      <c r="B65" s="1121"/>
      <c r="C65" s="1121"/>
      <c r="D65" s="1346"/>
      <c r="E65" s="1347"/>
      <c r="F65" s="1347"/>
      <c r="G65" s="1347"/>
      <c r="H65" s="1347"/>
      <c r="I65" s="1348"/>
      <c r="J65" s="784"/>
      <c r="K65" s="784"/>
      <c r="L65" s="1121" t="s">
        <v>894</v>
      </c>
    </row>
    <row r="66" spans="1:12" ht="15" customHeight="1" x14ac:dyDescent="0.2">
      <c r="A66" s="739"/>
      <c r="B66" s="1121"/>
      <c r="C66" s="1121"/>
      <c r="D66" s="1346"/>
      <c r="E66" s="1347"/>
      <c r="F66" s="1347"/>
      <c r="G66" s="1347"/>
      <c r="H66" s="1347"/>
      <c r="I66" s="1348"/>
      <c r="J66" s="1193"/>
      <c r="K66" s="784"/>
      <c r="L66" s="784"/>
    </row>
    <row r="67" spans="1:12" ht="15" customHeight="1" x14ac:dyDescent="0.2">
      <c r="A67" s="739"/>
      <c r="B67" s="1121"/>
      <c r="C67" s="1121"/>
      <c r="D67" s="1337"/>
      <c r="E67" s="1338"/>
      <c r="F67" s="1338"/>
      <c r="G67" s="1338"/>
      <c r="H67" s="1338"/>
      <c r="I67" s="1339"/>
      <c r="J67" s="784"/>
      <c r="K67" s="784"/>
      <c r="L67" s="784"/>
    </row>
    <row r="68" spans="1:12" ht="15" customHeight="1" x14ac:dyDescent="0.2">
      <c r="A68" s="739"/>
      <c r="B68" s="1120"/>
      <c r="C68" s="784"/>
      <c r="D68" s="1141"/>
      <c r="E68" s="1147"/>
      <c r="F68" s="784"/>
      <c r="G68" s="784"/>
      <c r="H68" s="1141"/>
      <c r="I68" s="1147"/>
      <c r="J68" s="784"/>
      <c r="K68" s="784"/>
      <c r="L68" s="784"/>
    </row>
    <row r="69" spans="1:12" ht="15" customHeight="1" x14ac:dyDescent="0.2">
      <c r="A69" s="739"/>
      <c r="B69" s="1120" t="s">
        <v>1027</v>
      </c>
      <c r="C69" s="784"/>
      <c r="D69" s="1141"/>
      <c r="E69" s="1147"/>
      <c r="F69" s="784"/>
      <c r="G69" s="784"/>
      <c r="H69" s="1141"/>
      <c r="I69" s="1147"/>
      <c r="J69" s="784"/>
      <c r="K69" s="784"/>
      <c r="L69" s="784"/>
    </row>
    <row r="70" spans="1:12" ht="15" customHeight="1" x14ac:dyDescent="0.2">
      <c r="A70" s="739"/>
      <c r="B70" s="1121" t="s">
        <v>984</v>
      </c>
      <c r="C70" s="784"/>
      <c r="D70" s="1141"/>
      <c r="E70" s="1147"/>
      <c r="F70" s="784"/>
      <c r="G70" s="784"/>
      <c r="H70" s="1141"/>
      <c r="I70" s="1147"/>
      <c r="J70" s="784"/>
      <c r="K70" s="784"/>
      <c r="L70" s="784"/>
    </row>
    <row r="71" spans="1:12" ht="15" customHeight="1" x14ac:dyDescent="0.2">
      <c r="A71" s="739"/>
      <c r="B71" s="1121" t="s">
        <v>1029</v>
      </c>
      <c r="C71" s="784"/>
      <c r="D71" s="1141"/>
      <c r="E71" s="1147"/>
      <c r="F71" s="784"/>
      <c r="G71" s="784"/>
      <c r="H71" s="1153" t="s">
        <v>1028</v>
      </c>
      <c r="I71" s="1147"/>
      <c r="J71" s="784"/>
      <c r="K71" s="784"/>
      <c r="L71" s="784"/>
    </row>
    <row r="72" spans="1:12" ht="15" customHeight="1" x14ac:dyDescent="0.2">
      <c r="A72" s="739"/>
      <c r="B72" s="1120"/>
      <c r="C72" s="784"/>
      <c r="D72" s="1141"/>
      <c r="E72" s="1147"/>
      <c r="F72" s="784"/>
      <c r="G72" s="784"/>
      <c r="H72" s="1141"/>
      <c r="I72" s="1147"/>
      <c r="J72" s="784"/>
      <c r="K72" s="784"/>
      <c r="L72" s="784"/>
    </row>
    <row r="73" spans="1:12" ht="15" customHeight="1" x14ac:dyDescent="0.2">
      <c r="A73" s="739"/>
      <c r="B73" s="1154" t="s">
        <v>1116</v>
      </c>
      <c r="C73" s="784"/>
      <c r="D73" s="1141"/>
      <c r="E73" s="1147"/>
      <c r="F73" s="784"/>
      <c r="G73" s="784"/>
      <c r="H73" s="1141"/>
      <c r="I73" s="1147"/>
      <c r="J73" s="784"/>
      <c r="K73" s="784"/>
      <c r="L73" s="784"/>
    </row>
    <row r="74" spans="1:12" ht="15" customHeight="1" x14ac:dyDescent="0.2">
      <c r="A74" s="739"/>
      <c r="B74" s="1121" t="s">
        <v>1117</v>
      </c>
      <c r="C74" s="784"/>
      <c r="D74" s="1141"/>
      <c r="E74" s="1147"/>
      <c r="F74" s="784"/>
      <c r="G74" s="784"/>
      <c r="H74" s="1141"/>
      <c r="I74" s="1147"/>
      <c r="J74" s="784"/>
      <c r="K74" s="784"/>
      <c r="L74" s="784"/>
    </row>
    <row r="75" spans="1:12" ht="15" customHeight="1" x14ac:dyDescent="0.2">
      <c r="A75" s="739"/>
      <c r="B75" s="1120"/>
      <c r="C75" s="1155" t="s">
        <v>1118</v>
      </c>
      <c r="D75" s="1141"/>
      <c r="E75" s="1194"/>
      <c r="F75" s="784"/>
      <c r="G75" s="1157" t="s">
        <v>431</v>
      </c>
      <c r="H75" s="1157" t="s">
        <v>432</v>
      </c>
      <c r="I75" s="1147"/>
      <c r="J75" s="784"/>
      <c r="K75" s="784"/>
      <c r="L75" s="784"/>
    </row>
    <row r="76" spans="1:12" ht="15" customHeight="1" x14ac:dyDescent="0.2">
      <c r="A76" s="739"/>
      <c r="B76" s="1120"/>
      <c r="C76" s="1155" t="s">
        <v>465</v>
      </c>
      <c r="D76" s="1141"/>
      <c r="E76" s="1195"/>
      <c r="F76" s="784"/>
      <c r="G76" s="1157" t="s">
        <v>431</v>
      </c>
      <c r="H76" s="1157" t="s">
        <v>432</v>
      </c>
      <c r="I76" s="1147"/>
      <c r="J76" s="784"/>
      <c r="K76" s="784"/>
      <c r="L76" s="784"/>
    </row>
    <row r="77" spans="1:12" ht="15" customHeight="1" x14ac:dyDescent="0.2">
      <c r="A77" s="739"/>
      <c r="B77" s="1120"/>
      <c r="C77" s="1155" t="s">
        <v>1119</v>
      </c>
      <c r="D77" s="1141"/>
      <c r="E77" s="1156"/>
      <c r="F77" s="784"/>
      <c r="G77" s="1157" t="s">
        <v>431</v>
      </c>
      <c r="H77" s="1157" t="s">
        <v>432</v>
      </c>
      <c r="I77" s="1147"/>
      <c r="J77" s="784"/>
      <c r="K77" s="784"/>
      <c r="L77" s="784"/>
    </row>
    <row r="78" spans="1:12" ht="15" customHeight="1" x14ac:dyDescent="0.2">
      <c r="A78" s="739"/>
      <c r="B78" s="1120"/>
      <c r="C78" s="1155" t="s">
        <v>1120</v>
      </c>
      <c r="D78" s="1141"/>
      <c r="E78" s="1156"/>
      <c r="F78" s="784"/>
      <c r="G78" s="1157" t="s">
        <v>431</v>
      </c>
      <c r="H78" s="1157" t="s">
        <v>432</v>
      </c>
      <c r="I78" s="1147"/>
      <c r="J78" s="784"/>
      <c r="K78" s="784"/>
      <c r="L78" s="784"/>
    </row>
    <row r="79" spans="1:12" ht="15" customHeight="1" x14ac:dyDescent="0.2">
      <c r="A79" s="739"/>
      <c r="B79" s="1120"/>
      <c r="C79" s="1121"/>
      <c r="D79" s="1141"/>
      <c r="E79" s="1147"/>
      <c r="F79" s="784"/>
      <c r="G79" s="784"/>
      <c r="H79" s="1141"/>
      <c r="I79" s="1147"/>
      <c r="J79" s="784"/>
      <c r="K79" s="784"/>
      <c r="L79" s="784"/>
    </row>
    <row r="80" spans="1:12" ht="15" customHeight="1" x14ac:dyDescent="0.2">
      <c r="A80" s="739"/>
      <c r="B80" s="1120" t="s">
        <v>1085</v>
      </c>
      <c r="C80" s="784"/>
      <c r="D80" s="1146" t="s">
        <v>478</v>
      </c>
      <c r="E80" s="1158"/>
      <c r="F80" s="784" t="s">
        <v>359</v>
      </c>
      <c r="G80" s="784"/>
      <c r="H80" s="1146" t="s">
        <v>479</v>
      </c>
      <c r="I80" s="1158"/>
      <c r="J80" s="784" t="s">
        <v>359</v>
      </c>
      <c r="K80" s="784"/>
      <c r="L80" s="1121" t="s">
        <v>468</v>
      </c>
    </row>
    <row r="81" spans="1:12" ht="15" customHeight="1" x14ac:dyDescent="0.2">
      <c r="A81" s="739"/>
      <c r="B81" s="1120" t="s">
        <v>1084</v>
      </c>
      <c r="C81" s="784"/>
      <c r="D81" s="1146" t="s">
        <v>1087</v>
      </c>
      <c r="E81" s="1158"/>
      <c r="F81" s="784" t="s">
        <v>359</v>
      </c>
      <c r="G81" s="784"/>
      <c r="H81" s="1146" t="s">
        <v>1086</v>
      </c>
      <c r="I81" s="1158"/>
      <c r="J81" s="784" t="s">
        <v>359</v>
      </c>
      <c r="K81" s="784"/>
      <c r="L81" s="1121" t="s">
        <v>468</v>
      </c>
    </row>
    <row r="82" spans="1:12" ht="15" customHeight="1" x14ac:dyDescent="0.2">
      <c r="A82" s="739"/>
      <c r="B82" s="1120"/>
      <c r="C82" s="1121"/>
      <c r="D82" s="1141" t="s">
        <v>905</v>
      </c>
      <c r="E82" s="1147">
        <f>E80+E81</f>
        <v>0</v>
      </c>
      <c r="F82" s="784" t="s">
        <v>359</v>
      </c>
      <c r="G82" s="784"/>
      <c r="H82" s="1141" t="s">
        <v>906</v>
      </c>
      <c r="I82" s="1147">
        <f>I80+I81</f>
        <v>0</v>
      </c>
      <c r="J82" s="784" t="s">
        <v>359</v>
      </c>
      <c r="K82" s="784"/>
      <c r="L82" s="784"/>
    </row>
    <row r="83" spans="1:12" ht="15" customHeight="1" x14ac:dyDescent="0.2">
      <c r="A83" s="739"/>
      <c r="B83" s="1120" t="s">
        <v>9</v>
      </c>
      <c r="C83" s="784"/>
      <c r="D83" s="1149" t="s">
        <v>480</v>
      </c>
      <c r="E83" s="1150">
        <f>(I82-E82)*3.664/20</f>
        <v>0</v>
      </c>
      <c r="F83" s="1151" t="s">
        <v>808</v>
      </c>
      <c r="G83" s="784"/>
      <c r="H83" s="1141"/>
      <c r="I83" s="1147"/>
      <c r="J83" s="784"/>
      <c r="K83" s="784"/>
      <c r="L83" s="784" t="s">
        <v>56</v>
      </c>
    </row>
    <row r="84" spans="1:12" ht="15" customHeight="1" x14ac:dyDescent="0.2">
      <c r="A84" s="739"/>
      <c r="B84" s="1120"/>
      <c r="C84" s="1121"/>
      <c r="D84" s="1141"/>
      <c r="E84" s="1147"/>
      <c r="F84" s="784"/>
      <c r="G84" s="784"/>
      <c r="H84" s="1141"/>
      <c r="I84" s="1147"/>
      <c r="J84" s="784"/>
      <c r="K84" s="784"/>
      <c r="L84" s="784"/>
    </row>
    <row r="85" spans="1:12" ht="15" customHeight="1" x14ac:dyDescent="0.2">
      <c r="A85" s="739"/>
      <c r="B85" s="1120"/>
      <c r="C85" s="1121"/>
      <c r="D85" s="1141"/>
      <c r="E85" s="1147"/>
      <c r="F85" s="784"/>
      <c r="G85" s="784"/>
      <c r="H85" s="1141"/>
      <c r="I85" s="1147"/>
      <c r="J85" s="784"/>
      <c r="K85" s="784"/>
      <c r="L85" s="784"/>
    </row>
    <row r="86" spans="1:12" ht="15" customHeight="1" x14ac:dyDescent="0.2">
      <c r="A86" s="739"/>
      <c r="B86" s="1159" t="s">
        <v>1088</v>
      </c>
      <c r="C86" s="1160"/>
      <c r="D86" s="1160"/>
      <c r="E86" s="1196" t="str">
        <f>IF(E22=I21,B24,IF(E22=I22,B58,IF(E22=I23,B58,B24)))</f>
        <v>Option 1. Default calculation (no actual and acurate data are available)</v>
      </c>
      <c r="F86" s="1196"/>
      <c r="G86" s="1196"/>
      <c r="H86" s="1196"/>
      <c r="I86" s="1197"/>
      <c r="J86" s="1197">
        <f>IF(E22=I21,E56,IF(E22=I22,E83,IF(E22=I23,E83,E56)))</f>
        <v>0</v>
      </c>
      <c r="K86" s="1163" t="s">
        <v>8</v>
      </c>
      <c r="L86" s="1198"/>
    </row>
    <row r="87" spans="1:12" ht="15" customHeight="1" x14ac:dyDescent="0.2">
      <c r="A87" s="739"/>
      <c r="B87" s="784"/>
      <c r="C87" s="784"/>
      <c r="D87" s="784"/>
      <c r="E87" s="784"/>
      <c r="F87" s="784"/>
      <c r="G87" s="784"/>
      <c r="H87" s="784"/>
      <c r="I87" s="784"/>
      <c r="J87" s="784"/>
      <c r="K87" s="784"/>
      <c r="L87" s="784"/>
    </row>
    <row r="88" spans="1:12" ht="15" customHeight="1" x14ac:dyDescent="0.2">
      <c r="A88" s="739"/>
      <c r="B88" s="784"/>
      <c r="C88" s="784"/>
      <c r="D88" s="784"/>
      <c r="E88" s="784"/>
      <c r="F88" s="784"/>
      <c r="G88" s="784"/>
      <c r="H88" s="784"/>
      <c r="I88" s="784"/>
      <c r="J88" s="1199"/>
      <c r="K88" s="784"/>
      <c r="L88" s="784"/>
    </row>
    <row r="89" spans="1:12" x14ac:dyDescent="0.2">
      <c r="A89" s="739"/>
      <c r="B89" s="784"/>
      <c r="C89" s="784"/>
      <c r="D89" s="784"/>
      <c r="E89" s="784"/>
      <c r="F89" s="784"/>
      <c r="G89" s="784"/>
      <c r="H89" s="784"/>
      <c r="I89" s="784"/>
      <c r="J89" s="784"/>
      <c r="K89" s="784"/>
      <c r="L89" s="784"/>
    </row>
    <row r="90" spans="1:12" x14ac:dyDescent="0.2">
      <c r="A90" s="634"/>
      <c r="B90" s="785"/>
      <c r="C90" s="785"/>
      <c r="D90" s="785"/>
      <c r="E90" s="785"/>
      <c r="F90" s="785"/>
      <c r="G90" s="785"/>
      <c r="H90" s="785"/>
      <c r="I90" s="785"/>
      <c r="J90" s="785"/>
      <c r="K90" s="785"/>
      <c r="L90" s="785"/>
    </row>
    <row r="91" spans="1:12" x14ac:dyDescent="0.2">
      <c r="A91" s="634"/>
      <c r="B91" s="634"/>
      <c r="C91" s="634"/>
      <c r="D91" s="634"/>
      <c r="E91" s="634"/>
      <c r="F91" s="634"/>
      <c r="G91" s="634"/>
      <c r="H91" s="634"/>
      <c r="I91" s="634"/>
      <c r="J91" s="634"/>
      <c r="K91" s="634"/>
      <c r="L91" s="634"/>
    </row>
    <row r="92" spans="1:12" x14ac:dyDescent="0.2">
      <c r="A92" s="634"/>
      <c r="B92" s="634"/>
      <c r="C92" s="634"/>
      <c r="D92" s="634"/>
      <c r="E92" s="634"/>
      <c r="F92" s="634"/>
      <c r="G92" s="634"/>
      <c r="H92" s="634"/>
      <c r="I92" s="634"/>
      <c r="J92" s="634"/>
      <c r="K92" s="634"/>
      <c r="L92" s="634"/>
    </row>
    <row r="93" spans="1:12" x14ac:dyDescent="0.2">
      <c r="A93" s="634"/>
      <c r="B93" s="634"/>
      <c r="C93" s="634"/>
      <c r="D93" s="634"/>
      <c r="E93" s="634"/>
      <c r="F93" s="634"/>
      <c r="G93" s="634"/>
      <c r="H93" s="634"/>
      <c r="I93" s="634"/>
      <c r="J93" s="634"/>
      <c r="K93" s="634"/>
      <c r="L93" s="634"/>
    </row>
    <row r="94" spans="1:12" x14ac:dyDescent="0.2">
      <c r="A94" s="634"/>
      <c r="B94" s="634"/>
      <c r="C94" s="634"/>
      <c r="D94" s="634"/>
      <c r="E94" s="634"/>
      <c r="F94" s="634"/>
      <c r="G94" s="634"/>
      <c r="H94" s="634"/>
      <c r="I94" s="634"/>
      <c r="J94" s="634"/>
      <c r="K94" s="634"/>
      <c r="L94" s="634"/>
    </row>
    <row r="95" spans="1:12" x14ac:dyDescent="0.2">
      <c r="A95" s="634"/>
      <c r="B95" s="634"/>
      <c r="C95" s="634"/>
      <c r="D95" s="634"/>
      <c r="E95" s="634"/>
      <c r="F95" s="634"/>
      <c r="G95" s="634"/>
      <c r="H95" s="634"/>
      <c r="I95" s="634"/>
      <c r="J95" s="634"/>
      <c r="K95" s="634"/>
      <c r="L95" s="634"/>
    </row>
    <row r="96" spans="1:12" x14ac:dyDescent="0.2">
      <c r="A96" s="634"/>
      <c r="B96" s="634"/>
      <c r="C96" s="634"/>
      <c r="D96" s="634"/>
      <c r="E96" s="634"/>
      <c r="F96" s="634"/>
      <c r="G96" s="634"/>
      <c r="H96" s="634"/>
      <c r="I96" s="634"/>
      <c r="J96" s="634"/>
      <c r="K96" s="634"/>
      <c r="L96" s="634"/>
    </row>
    <row r="97" spans="1:12" x14ac:dyDescent="0.2">
      <c r="A97" s="634"/>
      <c r="B97" s="634"/>
      <c r="C97" s="634"/>
      <c r="D97" s="634"/>
      <c r="E97" s="634"/>
      <c r="F97" s="634"/>
      <c r="G97" s="634"/>
      <c r="H97" s="634"/>
      <c r="I97" s="634"/>
      <c r="J97" s="634"/>
      <c r="K97" s="634"/>
      <c r="L97" s="634"/>
    </row>
    <row r="98" spans="1:12" x14ac:dyDescent="0.2">
      <c r="A98" s="634"/>
      <c r="B98" s="634"/>
      <c r="C98" s="634"/>
      <c r="D98" s="634"/>
      <c r="E98" s="634"/>
      <c r="F98" s="634"/>
      <c r="G98" s="634"/>
      <c r="H98" s="634"/>
      <c r="I98" s="634"/>
      <c r="J98" s="634"/>
      <c r="K98" s="634"/>
      <c r="L98" s="634"/>
    </row>
    <row r="99" spans="1:12" x14ac:dyDescent="0.2">
      <c r="A99" s="634"/>
      <c r="B99" s="634"/>
      <c r="C99" s="634"/>
      <c r="D99" s="634"/>
      <c r="E99" s="634"/>
      <c r="F99" s="634"/>
      <c r="G99" s="634"/>
      <c r="H99" s="634"/>
      <c r="I99" s="634"/>
      <c r="J99" s="634"/>
      <c r="K99" s="634"/>
      <c r="L99" s="634"/>
    </row>
    <row r="100" spans="1:12" x14ac:dyDescent="0.2">
      <c r="A100" s="634"/>
      <c r="B100" s="634"/>
      <c r="C100" s="634"/>
      <c r="D100" s="634"/>
      <c r="E100" s="634"/>
      <c r="F100" s="634"/>
      <c r="G100" s="634"/>
      <c r="H100" s="634"/>
      <c r="I100" s="634"/>
      <c r="J100" s="634"/>
      <c r="K100" s="634"/>
      <c r="L100" s="634"/>
    </row>
  </sheetData>
  <sheetProtection insertColumns="0" insertRows="0" deleteColumns="0" deleteRows="0"/>
  <customSheetViews>
    <customSheetView guid="{AD88818B-9F97-4B1E-9426-0DECE603685E}" scale="80" showGridLines="0" showRuler="0">
      <selection activeCell="L18" sqref="L18"/>
      <pageMargins left="0.75" right="0.75" top="1" bottom="1" header="0.5" footer="0.5"/>
      <pageSetup paperSize="9" orientation="portrait"/>
      <headerFooter alignWithMargins="0"/>
    </customSheetView>
    <customSheetView guid="{7EB5D807-CE20-46E2-AEE6-2C193E010EA4}" scale="80" showGridLines="0" showRuler="0">
      <selection activeCell="L18" sqref="L18"/>
      <pageMargins left="0.75" right="0.75" top="1" bottom="1" header="0.5" footer="0.5"/>
      <pageSetup paperSize="9" orientation="portrait"/>
      <headerFooter alignWithMargins="0"/>
    </customSheetView>
  </customSheetViews>
  <mergeCells count="36">
    <mergeCell ref="D47:F47"/>
    <mergeCell ref="H46:J46"/>
    <mergeCell ref="H47:J47"/>
    <mergeCell ref="H44:J44"/>
    <mergeCell ref="H45:J45"/>
    <mergeCell ref="D45:F45"/>
    <mergeCell ref="D31:F31"/>
    <mergeCell ref="P38:V38"/>
    <mergeCell ref="X38:AD38"/>
    <mergeCell ref="P39:R39"/>
    <mergeCell ref="T39:V39"/>
    <mergeCell ref="H36:J36"/>
    <mergeCell ref="D39:F39"/>
    <mergeCell ref="X39:Z39"/>
    <mergeCell ref="AB39:AD39"/>
    <mergeCell ref="D35:F35"/>
    <mergeCell ref="H35:J35"/>
    <mergeCell ref="D36:F36"/>
    <mergeCell ref="P54:AD57"/>
    <mergeCell ref="X46:AD46"/>
    <mergeCell ref="P46:V46"/>
    <mergeCell ref="X47:Z47"/>
    <mergeCell ref="AB47:AD47"/>
    <mergeCell ref="P47:R47"/>
    <mergeCell ref="T47:V47"/>
    <mergeCell ref="D46:F46"/>
    <mergeCell ref="D40:F40"/>
    <mergeCell ref="H39:J39"/>
    <mergeCell ref="H40:J40"/>
    <mergeCell ref="D44:F44"/>
    <mergeCell ref="D67:I67"/>
    <mergeCell ref="D62:I62"/>
    <mergeCell ref="D63:I63"/>
    <mergeCell ref="D64:I64"/>
    <mergeCell ref="D65:I65"/>
    <mergeCell ref="D66:I66"/>
  </mergeCells>
  <phoneticPr fontId="27" type="noConversion"/>
  <dataValidations count="5">
    <dataValidation type="list" allowBlank="1" showInputMessage="1" showErrorMessage="1" sqref="D62:I62" xr:uid="{00000000-0002-0000-0500-000000000000}">
      <formula1>$J$62:$L$62</formula1>
    </dataValidation>
    <dataValidation type="list" allowBlank="1" showInputMessage="1" showErrorMessage="1" sqref="E78" xr:uid="{00000000-0002-0000-0500-000001000000}">
      <formula1>$G$78:$H$78</formula1>
    </dataValidation>
    <dataValidation type="list" allowBlank="1" showInputMessage="1" showErrorMessage="1" sqref="E75" xr:uid="{00000000-0002-0000-0500-000002000000}">
      <formula1>$G$75:$H$75</formula1>
    </dataValidation>
    <dataValidation type="list" allowBlank="1" showInputMessage="1" showErrorMessage="1" sqref="E76" xr:uid="{00000000-0002-0000-0500-000003000000}">
      <formula1>$G$76:$H$76</formula1>
    </dataValidation>
    <dataValidation type="list" allowBlank="1" showInputMessage="1" showErrorMessage="1" sqref="E77" xr:uid="{00000000-0002-0000-0500-000004000000}">
      <formula1>$G$77:$H$77</formula1>
    </dataValidation>
  </dataValidations>
  <hyperlinks>
    <hyperlink ref="G5:L5" r:id="rId1" display="Commission Decision of 10 June 2010 on guidelines for the calculation of land use carbon stocks for the purpose of Annex V of Directive 2009/28/EC" xr:uid="{00000000-0004-0000-0500-000000000000}"/>
    <hyperlink ref="F5:K5" r:id="rId2" display="Commission Decision of 10 June 2010 on guidelines for the calculation of land use carbon stocks for the purpose of Annex V of Directive 2009/28/EC" xr:uid="{00000000-0004-0000-0500-000001000000}"/>
    <hyperlink ref="H71" r:id="rId3" xr:uid="{00000000-0004-0000-0500-000002000000}"/>
  </hyperlinks>
  <pageMargins left="0.75" right="0.75" top="1" bottom="1" header="0.5" footer="0.5"/>
  <pageSetup paperSize="9" orientation="portrait"/>
  <headerFooter alignWithMargins="0"/>
  <drawing r:id="rId4"/>
  <legacyDrawing r:id="rId5"/>
  <controls>
    <mc:AlternateContent xmlns:mc="http://schemas.openxmlformats.org/markup-compatibility/2006">
      <mc:Choice Requires="x14">
        <control shapeId="25827" r:id="rId6" name="ComboBox1">
          <controlPr locked="0" defaultSize="0" autoLine="0" linkedCell="E22" listFillRange="I21:I23" r:id="rId7">
            <anchor moveWithCells="1">
              <from>
                <xdr:col>3</xdr:col>
                <xdr:colOff>742950</xdr:colOff>
                <xdr:row>20</xdr:row>
                <xdr:rowOff>200025</xdr:rowOff>
              </from>
              <to>
                <xdr:col>7</xdr:col>
                <xdr:colOff>219075</xdr:colOff>
                <xdr:row>22</xdr:row>
                <xdr:rowOff>9525</xdr:rowOff>
              </to>
            </anchor>
          </controlPr>
        </control>
      </mc:Choice>
      <mc:Fallback>
        <control shapeId="25827" r:id="rId6" name="ComboBox1"/>
      </mc:Fallback>
    </mc:AlternateContent>
    <mc:AlternateContent xmlns:mc="http://schemas.openxmlformats.org/markup-compatibility/2006">
      <mc:Choice Requires="x14">
        <control shapeId="26061" r:id="rId8" name="Label 461">
          <controlPr defaultSize="0" autoFill="0" autoLine="0" autoPict="0" macro="[0]!GoToAbout">
            <anchor moveWithCells="1" sizeWithCells="1">
              <from>
                <xdr:col>11</xdr:col>
                <xdr:colOff>2952750</xdr:colOff>
                <xdr:row>0</xdr:row>
                <xdr:rowOff>800100</xdr:rowOff>
              </from>
              <to>
                <xdr:col>11</xdr:col>
                <xdr:colOff>3819525</xdr:colOff>
                <xdr:row>0</xdr:row>
                <xdr:rowOff>1295400</xdr:rowOff>
              </to>
            </anchor>
          </controlPr>
        </control>
      </mc:Choice>
    </mc:AlternateContent>
    <mc:AlternateContent xmlns:mc="http://schemas.openxmlformats.org/markup-compatibility/2006">
      <mc:Choice Requires="x14">
        <control shapeId="26062" r:id="rId9" name="Label 462">
          <controlPr defaultSize="0" autoFill="0" autoLine="0" autoPict="0" macro="[0]!GoToDirectory">
            <anchor moveWithCells="1" sizeWithCells="1">
              <from>
                <xdr:col>11</xdr:col>
                <xdr:colOff>3895725</xdr:colOff>
                <xdr:row>0</xdr:row>
                <xdr:rowOff>800100</xdr:rowOff>
              </from>
              <to>
                <xdr:col>11</xdr:col>
                <xdr:colOff>4895850</xdr:colOff>
                <xdr:row>0</xdr:row>
                <xdr:rowOff>1295400</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Esca"/>
  <dimension ref="A1:Q94"/>
  <sheetViews>
    <sheetView showGridLines="0" topLeftCell="A19" zoomScale="80" zoomScaleNormal="100" workbookViewId="0">
      <selection activeCell="A2" sqref="A2"/>
    </sheetView>
  </sheetViews>
  <sheetFormatPr baseColWidth="10" defaultColWidth="9.140625" defaultRowHeight="12.75" x14ac:dyDescent="0.2"/>
  <cols>
    <col min="1" max="1" width="2" style="360" customWidth="1"/>
    <col min="2" max="2" width="18.140625" style="786" customWidth="1"/>
    <col min="3" max="3" width="20.85546875" style="786" customWidth="1"/>
    <col min="4" max="4" width="11.5703125" style="786" customWidth="1"/>
    <col min="5" max="5" width="12.85546875" style="786" customWidth="1"/>
    <col min="6" max="6" width="11.42578125" style="786" customWidth="1"/>
    <col min="7" max="7" width="5.7109375" style="786" customWidth="1"/>
    <col min="8" max="10" width="11.42578125" style="786" customWidth="1"/>
    <col min="11" max="11" width="5.7109375" style="786" customWidth="1"/>
    <col min="12" max="12" width="90" style="786" customWidth="1"/>
    <col min="13" max="17" width="9.140625" style="634"/>
    <col min="18" max="16384" width="9.140625" style="360"/>
  </cols>
  <sheetData>
    <row r="1" spans="1:17" ht="111.75" customHeight="1" x14ac:dyDescent="0.2">
      <c r="A1" s="1313"/>
      <c r="B1" s="1312"/>
      <c r="C1" s="1312"/>
      <c r="D1" s="1312"/>
      <c r="E1" s="1312"/>
      <c r="F1" s="1312"/>
      <c r="G1" s="1312"/>
      <c r="H1" s="1312"/>
      <c r="I1" s="1312"/>
      <c r="J1" s="1312"/>
      <c r="K1" s="1312"/>
      <c r="L1" s="1312"/>
      <c r="M1" s="1313"/>
    </row>
    <row r="2" spans="1:17" s="1119" customFormat="1" ht="27.75" customHeight="1" x14ac:dyDescent="0.2">
      <c r="A2" s="794" t="s">
        <v>764</v>
      </c>
      <c r="B2" s="1113"/>
      <c r="C2" s="1114"/>
      <c r="D2" s="1114"/>
      <c r="E2" s="1114"/>
      <c r="F2" s="1115"/>
      <c r="G2" s="1116"/>
      <c r="H2" s="1117"/>
      <c r="I2" s="1118"/>
      <c r="J2" s="1116"/>
      <c r="K2" s="1117"/>
      <c r="L2" s="1118" t="str">
        <f>About!D2</f>
        <v>Version 4d for Testing</v>
      </c>
      <c r="M2" s="634"/>
      <c r="N2" s="634"/>
      <c r="O2" s="634"/>
      <c r="P2" s="361"/>
      <c r="Q2" s="361"/>
    </row>
    <row r="3" spans="1:17" ht="15" customHeight="1" x14ac:dyDescent="0.2">
      <c r="A3" s="739"/>
      <c r="B3" s="1120"/>
      <c r="C3" s="784"/>
      <c r="D3" s="784"/>
      <c r="E3" s="784"/>
      <c r="F3" s="784"/>
      <c r="G3" s="784"/>
      <c r="H3" s="784"/>
      <c r="I3" s="784"/>
      <c r="J3" s="784"/>
      <c r="K3" s="784"/>
      <c r="L3" s="784"/>
    </row>
    <row r="4" spans="1:17" ht="15" customHeight="1" x14ac:dyDescent="0.2">
      <c r="A4" s="739"/>
      <c r="B4" s="1120" t="s">
        <v>433</v>
      </c>
      <c r="C4" s="784"/>
      <c r="D4" s="784"/>
      <c r="E4" s="784"/>
      <c r="F4" s="784"/>
      <c r="G4" s="784"/>
      <c r="H4" s="784"/>
      <c r="I4" s="784"/>
      <c r="J4" s="784"/>
      <c r="K4" s="784"/>
      <c r="L4" s="784"/>
    </row>
    <row r="5" spans="1:17" ht="15" customHeight="1" x14ac:dyDescent="0.2">
      <c r="A5" s="739"/>
      <c r="B5" s="1121" t="s">
        <v>805</v>
      </c>
      <c r="C5" s="784"/>
      <c r="D5" s="784"/>
      <c r="E5" s="784"/>
      <c r="F5" s="784"/>
      <c r="G5" s="784"/>
      <c r="H5" s="784"/>
      <c r="I5" s="784"/>
      <c r="J5" s="784"/>
      <c r="K5" s="784"/>
      <c r="L5" s="784"/>
    </row>
    <row r="6" spans="1:17" ht="15" customHeight="1" x14ac:dyDescent="0.2">
      <c r="A6" s="739"/>
      <c r="B6" s="1121" t="s">
        <v>298</v>
      </c>
      <c r="C6" s="784"/>
      <c r="D6" s="784"/>
      <c r="E6" s="784"/>
      <c r="F6" s="784"/>
      <c r="G6" s="784"/>
      <c r="H6" s="784"/>
      <c r="I6" s="784"/>
      <c r="J6" s="784"/>
      <c r="K6" s="784"/>
      <c r="L6" s="784"/>
    </row>
    <row r="7" spans="1:17" ht="15" customHeight="1" x14ac:dyDescent="0.2">
      <c r="A7" s="739"/>
      <c r="B7" s="1122"/>
      <c r="C7" s="784"/>
      <c r="D7" s="784"/>
      <c r="E7" s="784"/>
      <c r="F7" s="784"/>
      <c r="G7" s="784"/>
      <c r="H7" s="784"/>
      <c r="I7" s="784"/>
      <c r="J7" s="784"/>
      <c r="K7" s="784"/>
      <c r="L7" s="784"/>
    </row>
    <row r="8" spans="1:17" ht="15" customHeight="1" x14ac:dyDescent="0.2">
      <c r="A8" s="739"/>
      <c r="B8" s="1121" t="s">
        <v>909</v>
      </c>
      <c r="C8" s="784"/>
      <c r="D8" s="784"/>
      <c r="E8" s="784"/>
      <c r="F8" s="1123" t="s">
        <v>910</v>
      </c>
      <c r="G8" s="1123"/>
      <c r="H8" s="1123"/>
      <c r="I8" s="1123"/>
      <c r="J8" s="1123"/>
      <c r="K8" s="1123"/>
      <c r="L8" s="1123"/>
    </row>
    <row r="9" spans="1:17" ht="15" customHeight="1" x14ac:dyDescent="0.2">
      <c r="A9" s="739"/>
      <c r="B9" s="784"/>
      <c r="C9" s="784"/>
      <c r="D9" s="784" t="s">
        <v>726</v>
      </c>
      <c r="E9" s="784"/>
      <c r="F9" s="784"/>
      <c r="G9" s="784"/>
      <c r="H9" s="784"/>
      <c r="I9" s="784"/>
      <c r="J9" s="784"/>
      <c r="K9" s="784"/>
      <c r="L9" s="784"/>
    </row>
    <row r="10" spans="1:17" ht="15" customHeight="1" x14ac:dyDescent="0.2">
      <c r="A10" s="739"/>
      <c r="B10" s="1121" t="s">
        <v>434</v>
      </c>
      <c r="C10" s="784"/>
      <c r="D10" s="784"/>
      <c r="E10" s="784"/>
      <c r="F10" s="784"/>
      <c r="G10" s="784"/>
      <c r="H10" s="784"/>
      <c r="I10" s="784"/>
      <c r="J10" s="784"/>
      <c r="K10" s="784"/>
      <c r="L10" s="784"/>
    </row>
    <row r="11" spans="1:17" ht="15" customHeight="1" x14ac:dyDescent="0.2">
      <c r="A11" s="739"/>
      <c r="B11" s="1124" t="s">
        <v>435</v>
      </c>
      <c r="C11" s="784"/>
      <c r="D11" s="784"/>
      <c r="E11" s="784"/>
      <c r="F11" s="784"/>
      <c r="G11" s="784"/>
      <c r="H11" s="784"/>
      <c r="I11" s="784"/>
      <c r="J11" s="784"/>
      <c r="K11" s="784"/>
      <c r="L11" s="784"/>
    </row>
    <row r="12" spans="1:17" ht="15" customHeight="1" x14ac:dyDescent="0.2">
      <c r="A12" s="739"/>
      <c r="B12" s="1121" t="s">
        <v>469</v>
      </c>
      <c r="C12" s="784"/>
      <c r="D12" s="784"/>
      <c r="E12" s="784"/>
      <c r="F12" s="784"/>
      <c r="G12" s="784"/>
      <c r="H12" s="784"/>
      <c r="I12" s="784"/>
      <c r="J12" s="784"/>
      <c r="K12" s="784"/>
      <c r="L12" s="784"/>
    </row>
    <row r="13" spans="1:17" ht="15" customHeight="1" x14ac:dyDescent="0.2">
      <c r="A13" s="739"/>
      <c r="B13" s="1122"/>
      <c r="C13" s="784"/>
      <c r="D13" s="784"/>
      <c r="E13" s="784"/>
      <c r="F13" s="784"/>
      <c r="G13" s="784"/>
      <c r="H13" s="784"/>
      <c r="I13" s="784"/>
      <c r="J13" s="784"/>
      <c r="K13" s="784"/>
      <c r="L13" s="784"/>
    </row>
    <row r="14" spans="1:17" ht="15" customHeight="1" x14ac:dyDescent="0.2">
      <c r="A14" s="739"/>
      <c r="B14" s="1120" t="s">
        <v>630</v>
      </c>
      <c r="C14" s="784"/>
      <c r="D14" s="784"/>
      <c r="E14" s="784"/>
      <c r="F14" s="784"/>
      <c r="G14" s="784"/>
      <c r="H14" s="784"/>
      <c r="I14" s="784"/>
      <c r="J14" s="784"/>
      <c r="K14" s="784"/>
      <c r="L14" s="784"/>
    </row>
    <row r="15" spans="1:17" ht="15" customHeight="1" x14ac:dyDescent="0.2">
      <c r="A15" s="739"/>
      <c r="B15" s="1121" t="s">
        <v>475</v>
      </c>
      <c r="C15" s="784" t="s">
        <v>632</v>
      </c>
      <c r="D15" s="1121" t="s">
        <v>625</v>
      </c>
      <c r="E15" s="784"/>
      <c r="F15" s="784"/>
      <c r="G15" s="784"/>
      <c r="H15" s="784"/>
      <c r="I15" s="784"/>
      <c r="J15" s="784"/>
      <c r="K15" s="784"/>
      <c r="L15" s="784"/>
    </row>
    <row r="16" spans="1:17" ht="15" customHeight="1" x14ac:dyDescent="0.2">
      <c r="A16" s="739"/>
      <c r="B16" s="1121" t="s">
        <v>476</v>
      </c>
      <c r="C16" s="784" t="s">
        <v>632</v>
      </c>
      <c r="D16" s="1121" t="s">
        <v>295</v>
      </c>
      <c r="E16" s="784"/>
      <c r="F16" s="784"/>
      <c r="G16" s="784"/>
      <c r="H16" s="784"/>
      <c r="I16" s="784"/>
      <c r="J16" s="784"/>
      <c r="K16" s="784"/>
      <c r="L16" s="784"/>
      <c r="M16" s="639"/>
    </row>
    <row r="17" spans="1:17" ht="15" customHeight="1" x14ac:dyDescent="0.2">
      <c r="A17" s="739"/>
      <c r="B17" s="784" t="s">
        <v>1089</v>
      </c>
      <c r="C17" s="784"/>
      <c r="D17" s="784" t="s">
        <v>1090</v>
      </c>
      <c r="E17" s="784"/>
      <c r="F17" s="784"/>
      <c r="G17" s="784"/>
      <c r="H17" s="784"/>
      <c r="I17" s="784"/>
      <c r="J17" s="784"/>
      <c r="K17" s="784"/>
      <c r="L17" s="784"/>
    </row>
    <row r="18" spans="1:17" ht="15" customHeight="1" x14ac:dyDescent="0.2">
      <c r="A18" s="739"/>
      <c r="B18" s="784"/>
      <c r="C18" s="784"/>
      <c r="D18" s="1125" t="s">
        <v>1122</v>
      </c>
      <c r="E18" s="784"/>
      <c r="F18" s="784"/>
      <c r="G18" s="784"/>
      <c r="H18" s="784"/>
      <c r="I18" s="784"/>
      <c r="J18" s="784"/>
      <c r="K18" s="784"/>
      <c r="L18" s="784"/>
    </row>
    <row r="19" spans="1:17" ht="15" customHeight="1" x14ac:dyDescent="0.2">
      <c r="A19" s="739"/>
      <c r="B19" s="784"/>
      <c r="C19" s="784"/>
      <c r="D19" s="1125" t="s">
        <v>722</v>
      </c>
      <c r="E19" s="784"/>
      <c r="F19" s="784"/>
      <c r="G19" s="784"/>
      <c r="H19" s="784"/>
      <c r="I19" s="784"/>
      <c r="J19" s="784"/>
      <c r="K19" s="784"/>
      <c r="L19" s="784"/>
    </row>
    <row r="20" spans="1:17" ht="15" customHeight="1" x14ac:dyDescent="0.2">
      <c r="A20" s="739"/>
      <c r="B20" s="1126" t="s">
        <v>369</v>
      </c>
      <c r="C20" s="784" t="s">
        <v>636</v>
      </c>
      <c r="D20" s="784" t="s">
        <v>296</v>
      </c>
      <c r="E20" s="784"/>
      <c r="F20" s="784"/>
      <c r="G20" s="784"/>
      <c r="H20" s="784"/>
      <c r="I20" s="784"/>
      <c r="J20" s="784"/>
      <c r="K20" s="784"/>
      <c r="L20" s="784"/>
    </row>
    <row r="21" spans="1:17" ht="15" customHeight="1" x14ac:dyDescent="0.2">
      <c r="A21" s="739"/>
      <c r="B21" s="1126" t="s">
        <v>370</v>
      </c>
      <c r="C21" s="784" t="s">
        <v>636</v>
      </c>
      <c r="D21" s="784" t="s">
        <v>322</v>
      </c>
      <c r="E21" s="784"/>
      <c r="F21" s="784"/>
      <c r="G21" s="784"/>
      <c r="H21" s="784"/>
      <c r="I21" s="784"/>
      <c r="J21" s="784"/>
      <c r="K21" s="784"/>
      <c r="L21" s="784"/>
    </row>
    <row r="22" spans="1:17" ht="15" customHeight="1" x14ac:dyDescent="0.2">
      <c r="A22" s="739"/>
      <c r="B22" s="1126" t="s">
        <v>896</v>
      </c>
      <c r="C22" s="784" t="s">
        <v>636</v>
      </c>
      <c r="D22" s="784" t="s">
        <v>691</v>
      </c>
      <c r="E22" s="784"/>
      <c r="F22" s="784"/>
      <c r="G22" s="784"/>
      <c r="H22" s="784"/>
      <c r="I22" s="784"/>
      <c r="J22" s="784"/>
      <c r="K22" s="784"/>
      <c r="L22" s="784"/>
    </row>
    <row r="23" spans="1:17" ht="15" customHeight="1" x14ac:dyDescent="0.2">
      <c r="A23" s="739"/>
      <c r="B23" s="1126"/>
      <c r="C23" s="784"/>
      <c r="D23" s="1127"/>
      <c r="E23" s="784"/>
      <c r="F23" s="784"/>
      <c r="G23" s="784"/>
      <c r="H23" s="784"/>
      <c r="I23" s="784"/>
      <c r="J23" s="784"/>
      <c r="K23" s="784"/>
      <c r="L23" s="784"/>
    </row>
    <row r="24" spans="1:17" s="786" customFormat="1" ht="24.75" customHeight="1" x14ac:dyDescent="0.2">
      <c r="A24" s="784"/>
      <c r="B24" s="1128" t="s">
        <v>323</v>
      </c>
      <c r="C24" s="1129"/>
      <c r="D24" s="1129"/>
      <c r="E24" s="1129"/>
      <c r="F24" s="1129"/>
      <c r="G24" s="1129"/>
      <c r="H24" s="1129"/>
      <c r="I24" s="1129"/>
      <c r="J24" s="1129"/>
      <c r="K24" s="1129"/>
      <c r="L24" s="1130"/>
      <c r="M24" s="785"/>
      <c r="N24" s="785"/>
      <c r="O24" s="785"/>
      <c r="P24" s="785"/>
      <c r="Q24" s="785"/>
    </row>
    <row r="25" spans="1:17" s="786" customFormat="1" ht="15.75" customHeight="1" x14ac:dyDescent="0.2">
      <c r="A25" s="784"/>
      <c r="B25" s="1131"/>
      <c r="C25" s="1132"/>
      <c r="D25" s="1132"/>
      <c r="E25" s="1132"/>
      <c r="F25" s="1132"/>
      <c r="G25" s="1132"/>
      <c r="H25" s="1133"/>
      <c r="I25" s="1134" t="s">
        <v>66</v>
      </c>
      <c r="J25" s="1132"/>
      <c r="K25" s="1132"/>
      <c r="L25" s="1135" t="s">
        <v>61</v>
      </c>
      <c r="M25" s="785"/>
      <c r="N25" s="785"/>
      <c r="O25" s="785"/>
      <c r="P25" s="785"/>
      <c r="Q25" s="785"/>
    </row>
    <row r="26" spans="1:17" ht="18.75" customHeight="1" x14ac:dyDescent="0.2">
      <c r="A26" s="739"/>
      <c r="B26" s="1120"/>
      <c r="C26" s="1121" t="s">
        <v>477</v>
      </c>
      <c r="D26" s="784"/>
      <c r="E26" s="784"/>
      <c r="F26" s="1391"/>
      <c r="G26" s="1392"/>
      <c r="H26" s="1393"/>
      <c r="I26" s="1134" t="s">
        <v>486</v>
      </c>
      <c r="J26" s="784"/>
      <c r="K26" s="784"/>
      <c r="L26" s="1136" t="s">
        <v>1026</v>
      </c>
    </row>
    <row r="27" spans="1:17" ht="22.5" customHeight="1" x14ac:dyDescent="0.2">
      <c r="A27" s="739"/>
      <c r="B27" s="1120"/>
      <c r="C27" s="784"/>
      <c r="D27" s="784"/>
      <c r="E27" s="784"/>
      <c r="F27" s="784"/>
      <c r="G27" s="784"/>
      <c r="H27" s="784"/>
      <c r="I27" s="1134" t="s">
        <v>985</v>
      </c>
      <c r="J27" s="784"/>
      <c r="K27" s="784"/>
      <c r="L27" s="1121" t="s">
        <v>62</v>
      </c>
    </row>
    <row r="28" spans="1:17" ht="15" customHeight="1" x14ac:dyDescent="0.2">
      <c r="A28" s="739"/>
      <c r="B28" s="1137" t="s">
        <v>297</v>
      </c>
      <c r="C28" s="1138"/>
      <c r="D28" s="1138"/>
      <c r="E28" s="1138"/>
      <c r="F28" s="1138"/>
      <c r="G28" s="1138"/>
      <c r="H28" s="1138"/>
      <c r="I28" s="1138"/>
      <c r="J28" s="1138"/>
      <c r="K28" s="1138"/>
      <c r="L28" s="1139"/>
    </row>
    <row r="29" spans="1:17" ht="15" customHeight="1" x14ac:dyDescent="0.2">
      <c r="A29" s="739"/>
      <c r="B29" s="1121" t="s">
        <v>806</v>
      </c>
      <c r="C29" s="784"/>
      <c r="D29" s="784"/>
      <c r="E29" s="784"/>
      <c r="F29" s="784"/>
      <c r="G29" s="784"/>
      <c r="H29" s="784"/>
      <c r="I29" s="784"/>
      <c r="J29" s="784"/>
      <c r="K29" s="784"/>
      <c r="L29" s="784"/>
    </row>
    <row r="30" spans="1:17" ht="15" customHeight="1" x14ac:dyDescent="0.2">
      <c r="A30" s="739"/>
      <c r="B30" s="784" t="s">
        <v>349</v>
      </c>
      <c r="C30" s="784"/>
      <c r="D30" s="784"/>
      <c r="E30" s="784"/>
      <c r="F30" s="784"/>
      <c r="G30" s="784"/>
      <c r="H30" s="784"/>
      <c r="I30" s="784"/>
      <c r="J30" s="784"/>
      <c r="K30" s="784"/>
      <c r="L30" s="784"/>
    </row>
    <row r="31" spans="1:17" ht="15" customHeight="1" x14ac:dyDescent="0.2">
      <c r="A31" s="739"/>
      <c r="B31" s="784" t="s">
        <v>350</v>
      </c>
      <c r="C31" s="784"/>
      <c r="D31" s="784"/>
      <c r="E31" s="784"/>
      <c r="F31" s="784"/>
      <c r="G31" s="784"/>
      <c r="H31" s="784"/>
      <c r="I31" s="784"/>
      <c r="J31" s="784"/>
      <c r="K31" s="784"/>
      <c r="L31" s="784"/>
    </row>
    <row r="32" spans="1:17" ht="15" customHeight="1" x14ac:dyDescent="0.2">
      <c r="A32" s="739"/>
      <c r="B32" s="784"/>
      <c r="C32" s="784"/>
      <c r="D32" s="784"/>
      <c r="E32" s="784"/>
      <c r="F32" s="784"/>
      <c r="G32" s="784"/>
      <c r="H32" s="784"/>
      <c r="I32" s="784"/>
      <c r="J32" s="784"/>
      <c r="K32" s="784"/>
      <c r="L32" s="784"/>
    </row>
    <row r="33" spans="1:12" ht="15" customHeight="1" x14ac:dyDescent="0.2">
      <c r="A33" s="739"/>
      <c r="B33" s="1121" t="s">
        <v>474</v>
      </c>
      <c r="C33" s="784"/>
      <c r="D33" s="784"/>
      <c r="E33" s="784"/>
      <c r="F33" s="784"/>
      <c r="G33" s="1121" t="s">
        <v>473</v>
      </c>
      <c r="H33" s="784"/>
      <c r="I33" s="784"/>
      <c r="J33" s="784"/>
      <c r="K33" s="784"/>
      <c r="L33" s="784"/>
    </row>
    <row r="34" spans="1:12" ht="15" customHeight="1" x14ac:dyDescent="0.2">
      <c r="A34" s="739"/>
      <c r="B34" s="1121" t="s">
        <v>470</v>
      </c>
      <c r="C34" s="784"/>
      <c r="D34" s="784"/>
      <c r="E34" s="784"/>
      <c r="F34" s="784"/>
      <c r="G34" s="784"/>
      <c r="H34" s="784"/>
      <c r="I34" s="784"/>
      <c r="J34" s="784"/>
      <c r="K34" s="784"/>
      <c r="L34" s="784"/>
    </row>
    <row r="35" spans="1:12" ht="8.25" customHeight="1" x14ac:dyDescent="0.2">
      <c r="A35" s="739"/>
      <c r="B35" s="1122"/>
      <c r="C35" s="784"/>
      <c r="D35" s="784"/>
      <c r="E35" s="784"/>
      <c r="F35" s="784"/>
      <c r="G35" s="784"/>
      <c r="H35" s="784"/>
      <c r="I35" s="784"/>
      <c r="J35" s="784"/>
      <c r="K35" s="784"/>
      <c r="L35" s="784"/>
    </row>
    <row r="36" spans="1:12" s="785" customFormat="1" ht="25.5" customHeight="1" x14ac:dyDescent="0.2">
      <c r="A36" s="784"/>
      <c r="B36" s="1121" t="s">
        <v>271</v>
      </c>
      <c r="C36" s="784"/>
      <c r="D36" s="1387"/>
      <c r="E36" s="1388"/>
      <c r="F36" s="1389"/>
      <c r="G36" s="784"/>
      <c r="H36" s="784"/>
      <c r="I36" s="784"/>
      <c r="J36" s="784"/>
      <c r="K36" s="784"/>
      <c r="L36" s="1121" t="s">
        <v>272</v>
      </c>
    </row>
    <row r="37" spans="1:12" s="785" customFormat="1" ht="33.75" customHeight="1" x14ac:dyDescent="0.2">
      <c r="A37" s="784"/>
      <c r="B37" s="1120"/>
      <c r="C37" s="784"/>
      <c r="D37" s="1120" t="s">
        <v>355</v>
      </c>
      <c r="E37" s="784"/>
      <c r="F37" s="784"/>
      <c r="G37" s="784"/>
      <c r="H37" s="1120" t="s">
        <v>356</v>
      </c>
      <c r="I37" s="784"/>
      <c r="J37" s="784"/>
      <c r="K37" s="784"/>
      <c r="L37" s="784"/>
    </row>
    <row r="38" spans="1:12" ht="3" customHeight="1" x14ac:dyDescent="0.2">
      <c r="A38" s="739"/>
      <c r="B38" s="1140"/>
      <c r="C38" s="1126"/>
      <c r="D38" s="784"/>
      <c r="E38" s="784"/>
      <c r="F38" s="784"/>
      <c r="G38" s="784"/>
      <c r="H38" s="1386"/>
      <c r="I38" s="1386"/>
      <c r="J38" s="1386"/>
      <c r="K38" s="784"/>
      <c r="L38" s="784"/>
    </row>
    <row r="39" spans="1:12" ht="15" customHeight="1" x14ac:dyDescent="0.2">
      <c r="A39" s="739"/>
      <c r="B39" s="1140" t="s">
        <v>360</v>
      </c>
      <c r="C39" s="1141"/>
      <c r="D39" s="784"/>
      <c r="E39" s="784"/>
      <c r="F39" s="784"/>
      <c r="G39" s="784"/>
      <c r="H39" s="784"/>
      <c r="I39" s="784"/>
      <c r="J39" s="784"/>
      <c r="K39" s="784"/>
      <c r="L39" s="784"/>
    </row>
    <row r="40" spans="1:12" ht="15" customHeight="1" x14ac:dyDescent="0.2">
      <c r="A40" s="739"/>
      <c r="B40" s="1142"/>
      <c r="C40" s="1141" t="s">
        <v>361</v>
      </c>
      <c r="D40" s="1387"/>
      <c r="E40" s="1388"/>
      <c r="F40" s="1389"/>
      <c r="G40" s="784"/>
      <c r="H40" s="1375">
        <f>D40</f>
        <v>0</v>
      </c>
      <c r="I40" s="1376"/>
      <c r="J40" s="1377"/>
      <c r="K40" s="784"/>
      <c r="L40" s="784" t="s">
        <v>362</v>
      </c>
    </row>
    <row r="41" spans="1:12" ht="15" customHeight="1" x14ac:dyDescent="0.2">
      <c r="A41" s="739"/>
      <c r="B41" s="784"/>
      <c r="C41" s="1141" t="s">
        <v>363</v>
      </c>
      <c r="D41" s="1390"/>
      <c r="E41" s="1388"/>
      <c r="F41" s="1389"/>
      <c r="G41" s="784"/>
      <c r="H41" s="1375">
        <f>D41</f>
        <v>0</v>
      </c>
      <c r="I41" s="1376"/>
      <c r="J41" s="1377"/>
      <c r="K41" s="784"/>
      <c r="L41" s="784" t="s">
        <v>364</v>
      </c>
    </row>
    <row r="42" spans="1:12" ht="15" customHeight="1" x14ac:dyDescent="0.2">
      <c r="A42" s="739"/>
      <c r="B42" s="784"/>
      <c r="C42" s="1141" t="s">
        <v>367</v>
      </c>
      <c r="D42" s="1387"/>
      <c r="E42" s="1388"/>
      <c r="F42" s="1389"/>
      <c r="G42" s="784"/>
      <c r="H42" s="1390"/>
      <c r="I42" s="1388"/>
      <c r="J42" s="1389"/>
      <c r="K42" s="784"/>
      <c r="L42" s="1121" t="s">
        <v>765</v>
      </c>
    </row>
    <row r="43" spans="1:12" ht="15" customHeight="1" x14ac:dyDescent="0.2">
      <c r="A43" s="739"/>
      <c r="B43" s="784"/>
      <c r="C43" s="1141" t="s">
        <v>368</v>
      </c>
      <c r="D43" s="1387"/>
      <c r="E43" s="1388"/>
      <c r="F43" s="1389"/>
      <c r="G43" s="784"/>
      <c r="H43" s="1390"/>
      <c r="I43" s="1388"/>
      <c r="J43" s="1389"/>
      <c r="K43" s="784"/>
      <c r="L43" s="1121" t="s">
        <v>765</v>
      </c>
    </row>
    <row r="44" spans="1:12" ht="15" customHeight="1" x14ac:dyDescent="0.2">
      <c r="A44" s="739"/>
      <c r="B44" s="784"/>
      <c r="C44" s="1141"/>
      <c r="D44" s="784"/>
      <c r="E44" s="784"/>
      <c r="F44" s="784"/>
      <c r="G44" s="784"/>
      <c r="H44" s="1132"/>
      <c r="I44" s="1132"/>
      <c r="J44" s="1132"/>
      <c r="K44" s="784"/>
      <c r="L44" s="784"/>
    </row>
    <row r="45" spans="1:12" ht="15" customHeight="1" x14ac:dyDescent="0.2">
      <c r="A45" s="739"/>
      <c r="B45" s="784"/>
      <c r="C45" s="1141" t="s">
        <v>365</v>
      </c>
      <c r="D45" s="1143"/>
      <c r="E45" s="784" t="s">
        <v>359</v>
      </c>
      <c r="F45" s="784"/>
      <c r="G45" s="784"/>
      <c r="H45" s="1144">
        <f>D45</f>
        <v>0</v>
      </c>
      <c r="I45" s="784" t="s">
        <v>359</v>
      </c>
      <c r="J45" s="1132"/>
      <c r="K45" s="784"/>
      <c r="L45" s="784" t="s">
        <v>366</v>
      </c>
    </row>
    <row r="46" spans="1:12" ht="15" customHeight="1" x14ac:dyDescent="0.2">
      <c r="A46" s="739"/>
      <c r="B46" s="784"/>
      <c r="C46" s="1141" t="s">
        <v>369</v>
      </c>
      <c r="D46" s="1143"/>
      <c r="E46" s="784"/>
      <c r="F46" s="784"/>
      <c r="G46" s="784"/>
      <c r="H46" s="1144">
        <f>D46</f>
        <v>0</v>
      </c>
      <c r="I46" s="784"/>
      <c r="J46" s="784"/>
      <c r="K46" s="784"/>
      <c r="L46" s="784" t="s">
        <v>695</v>
      </c>
    </row>
    <row r="47" spans="1:12" ht="15" customHeight="1" x14ac:dyDescent="0.2">
      <c r="A47" s="739"/>
      <c r="B47" s="784"/>
      <c r="C47" s="1141" t="s">
        <v>370</v>
      </c>
      <c r="D47" s="1145"/>
      <c r="E47" s="784"/>
      <c r="F47" s="784"/>
      <c r="G47" s="784"/>
      <c r="H47" s="1145"/>
      <c r="I47" s="784"/>
      <c r="J47" s="784"/>
      <c r="K47" s="784"/>
      <c r="L47" s="784" t="s">
        <v>695</v>
      </c>
    </row>
    <row r="48" spans="1:12" ht="15" customHeight="1" x14ac:dyDescent="0.2">
      <c r="A48" s="739"/>
      <c r="B48" s="784"/>
      <c r="C48" s="1141" t="s">
        <v>896</v>
      </c>
      <c r="D48" s="1145"/>
      <c r="E48" s="784"/>
      <c r="F48" s="784"/>
      <c r="G48" s="784"/>
      <c r="H48" s="1145"/>
      <c r="I48" s="784"/>
      <c r="J48" s="784"/>
      <c r="K48" s="784"/>
      <c r="L48" s="784" t="s">
        <v>695</v>
      </c>
    </row>
    <row r="49" spans="1:12" ht="15" customHeight="1" x14ac:dyDescent="0.2">
      <c r="A49" s="739"/>
      <c r="B49" s="784"/>
      <c r="C49" s="784"/>
      <c r="D49" s="784"/>
      <c r="E49" s="784"/>
      <c r="F49" s="784"/>
      <c r="G49" s="784"/>
      <c r="H49" s="784"/>
      <c r="I49" s="784"/>
      <c r="J49" s="784"/>
      <c r="K49" s="784"/>
      <c r="L49" s="784"/>
    </row>
    <row r="50" spans="1:12" ht="15" customHeight="1" x14ac:dyDescent="0.2">
      <c r="A50" s="739"/>
      <c r="B50" s="1120"/>
      <c r="C50" s="784"/>
      <c r="D50" s="784"/>
      <c r="E50" s="784"/>
      <c r="F50" s="784"/>
      <c r="G50" s="784"/>
      <c r="H50" s="784"/>
      <c r="I50" s="784"/>
      <c r="J50" s="784"/>
      <c r="K50" s="784"/>
      <c r="L50" s="784"/>
    </row>
    <row r="51" spans="1:12" ht="15" customHeight="1" x14ac:dyDescent="0.2">
      <c r="A51" s="739"/>
      <c r="B51" s="1120" t="s">
        <v>903</v>
      </c>
      <c r="C51" s="784"/>
      <c r="D51" s="1146" t="s">
        <v>478</v>
      </c>
      <c r="E51" s="1147">
        <f>(D45*D46*(IF(AND(D47&gt;0,D47&lt;1000),D47,1))*(IF(AND(D48&gt;0,D48&lt;1000),D48,1)))</f>
        <v>0</v>
      </c>
      <c r="F51" s="784" t="s">
        <v>359</v>
      </c>
      <c r="G51" s="784"/>
      <c r="H51" s="1146" t="s">
        <v>479</v>
      </c>
      <c r="I51" s="1148">
        <f>(H45*H46*(IF(AND(H47&gt;0,H47&lt;1000),H47,1))*(IF(AND(H48&gt;0,H48&lt;1000),H48,1)))</f>
        <v>0</v>
      </c>
      <c r="J51" s="784" t="s">
        <v>359</v>
      </c>
      <c r="K51" s="784"/>
      <c r="L51" s="784"/>
    </row>
    <row r="52" spans="1:12" ht="15" customHeight="1" x14ac:dyDescent="0.2">
      <c r="A52" s="739"/>
      <c r="B52" s="1120" t="s">
        <v>807</v>
      </c>
      <c r="C52" s="784"/>
      <c r="D52" s="1149" t="s">
        <v>482</v>
      </c>
      <c r="E52" s="1150">
        <f>-(I51-E51)*3.664/20</f>
        <v>0</v>
      </c>
      <c r="F52" s="1151" t="s">
        <v>808</v>
      </c>
      <c r="G52" s="784"/>
      <c r="H52" s="1141"/>
      <c r="I52" s="1147"/>
      <c r="J52" s="784"/>
      <c r="K52" s="784"/>
      <c r="L52" s="784" t="s">
        <v>55</v>
      </c>
    </row>
    <row r="53" spans="1:12" ht="15" customHeight="1" x14ac:dyDescent="0.2">
      <c r="A53" s="739"/>
      <c r="B53" s="1120"/>
      <c r="C53" s="784"/>
      <c r="D53" s="1141"/>
      <c r="E53" s="1147"/>
      <c r="F53" s="784"/>
      <c r="G53" s="784"/>
      <c r="H53" s="1141"/>
      <c r="I53" s="1147"/>
      <c r="J53" s="784"/>
      <c r="K53" s="784"/>
      <c r="L53" s="784"/>
    </row>
    <row r="54" spans="1:12" ht="15" customHeight="1" x14ac:dyDescent="0.2">
      <c r="A54" s="739"/>
      <c r="B54" s="1137" t="s">
        <v>268</v>
      </c>
      <c r="C54" s="1138"/>
      <c r="D54" s="1138"/>
      <c r="E54" s="1138"/>
      <c r="F54" s="1138"/>
      <c r="G54" s="1138"/>
      <c r="H54" s="1138"/>
      <c r="I54" s="1138"/>
      <c r="J54" s="1138"/>
      <c r="K54" s="1138"/>
      <c r="L54" s="1139"/>
    </row>
    <row r="55" spans="1:12" ht="15" customHeight="1" x14ac:dyDescent="0.2">
      <c r="A55" s="739"/>
      <c r="B55" s="1121" t="s">
        <v>471</v>
      </c>
      <c r="C55" s="784"/>
      <c r="D55" s="1141"/>
      <c r="E55" s="1147"/>
      <c r="F55" s="784"/>
      <c r="G55" s="784"/>
      <c r="H55" s="1141"/>
      <c r="I55" s="1147"/>
      <c r="J55" s="784"/>
      <c r="K55" s="784"/>
      <c r="L55" s="784"/>
    </row>
    <row r="56" spans="1:12" ht="15" customHeight="1" x14ac:dyDescent="0.2">
      <c r="A56" s="739"/>
      <c r="B56" s="1121"/>
      <c r="C56" s="784"/>
      <c r="D56" s="1141"/>
      <c r="E56" s="1147"/>
      <c r="F56" s="784"/>
      <c r="G56" s="784"/>
      <c r="H56" s="1141"/>
      <c r="I56" s="1147"/>
      <c r="J56" s="784"/>
      <c r="K56" s="784"/>
      <c r="L56" s="784"/>
    </row>
    <row r="57" spans="1:12" ht="15" customHeight="1" x14ac:dyDescent="0.2">
      <c r="A57" s="739"/>
      <c r="B57" s="1120" t="s">
        <v>472</v>
      </c>
      <c r="C57" s="784"/>
      <c r="D57" s="1141"/>
      <c r="E57" s="1147"/>
      <c r="F57" s="784"/>
      <c r="G57" s="784"/>
      <c r="H57" s="1141"/>
      <c r="I57" s="1147"/>
      <c r="J57" s="784"/>
      <c r="K57" s="784"/>
      <c r="L57" s="784"/>
    </row>
    <row r="58" spans="1:12" ht="15" customHeight="1" x14ac:dyDescent="0.2">
      <c r="A58" s="739"/>
      <c r="B58" s="1124" t="s">
        <v>436</v>
      </c>
      <c r="C58" s="784"/>
      <c r="D58" s="1340"/>
      <c r="E58" s="1341"/>
      <c r="F58" s="1341"/>
      <c r="G58" s="1341"/>
      <c r="H58" s="1341"/>
      <c r="I58" s="1342"/>
      <c r="J58" s="1152" t="s">
        <v>437</v>
      </c>
      <c r="K58" s="1152" t="s">
        <v>438</v>
      </c>
      <c r="L58" s="1152" t="s">
        <v>1113</v>
      </c>
    </row>
    <row r="59" spans="1:12" ht="15" customHeight="1" x14ac:dyDescent="0.2">
      <c r="A59" s="739"/>
      <c r="B59" s="1121" t="s">
        <v>1114</v>
      </c>
      <c r="C59" s="1121"/>
      <c r="D59" s="1343"/>
      <c r="E59" s="1344"/>
      <c r="F59" s="1344"/>
      <c r="G59" s="1344"/>
      <c r="H59" s="1344"/>
      <c r="I59" s="1345"/>
      <c r="J59" s="784"/>
      <c r="K59" s="1121" t="s">
        <v>1115</v>
      </c>
      <c r="L59" s="1121" t="s">
        <v>466</v>
      </c>
    </row>
    <row r="60" spans="1:12" ht="15" customHeight="1" x14ac:dyDescent="0.2">
      <c r="A60" s="739"/>
      <c r="B60" s="1121"/>
      <c r="C60" s="1121"/>
      <c r="D60" s="1346"/>
      <c r="E60" s="1347"/>
      <c r="F60" s="1347"/>
      <c r="G60" s="1347"/>
      <c r="H60" s="1347"/>
      <c r="I60" s="1348"/>
      <c r="J60" s="784"/>
      <c r="K60" s="784"/>
      <c r="L60" s="1121" t="s">
        <v>1121</v>
      </c>
    </row>
    <row r="61" spans="1:12" ht="15" customHeight="1" x14ac:dyDescent="0.2">
      <c r="A61" s="739"/>
      <c r="B61" s="1121"/>
      <c r="C61" s="1121"/>
      <c r="D61" s="1346"/>
      <c r="E61" s="1347"/>
      <c r="F61" s="1347"/>
      <c r="G61" s="1347"/>
      <c r="H61" s="1347"/>
      <c r="I61" s="1348"/>
      <c r="J61" s="784"/>
      <c r="K61" s="784"/>
      <c r="L61" s="1121" t="s">
        <v>467</v>
      </c>
    </row>
    <row r="62" spans="1:12" ht="15" customHeight="1" x14ac:dyDescent="0.2">
      <c r="A62" s="739"/>
      <c r="B62" s="1121"/>
      <c r="C62" s="1121"/>
      <c r="D62" s="1346"/>
      <c r="E62" s="1347"/>
      <c r="F62" s="1347"/>
      <c r="G62" s="1347"/>
      <c r="H62" s="1347"/>
      <c r="I62" s="1348"/>
      <c r="J62" s="784"/>
      <c r="K62" s="784"/>
      <c r="L62" s="784"/>
    </row>
    <row r="63" spans="1:12" ht="15" customHeight="1" x14ac:dyDescent="0.2">
      <c r="A63" s="739"/>
      <c r="B63" s="1121"/>
      <c r="C63" s="1121"/>
      <c r="D63" s="1337"/>
      <c r="E63" s="1338"/>
      <c r="F63" s="1338"/>
      <c r="G63" s="1338"/>
      <c r="H63" s="1338"/>
      <c r="I63" s="1339"/>
      <c r="J63" s="784"/>
      <c r="K63" s="784"/>
      <c r="L63" s="784"/>
    </row>
    <row r="64" spans="1:12" ht="15" customHeight="1" x14ac:dyDescent="0.2">
      <c r="A64" s="739"/>
      <c r="B64" s="1120"/>
      <c r="C64" s="784"/>
      <c r="D64" s="1141"/>
      <c r="E64" s="1147"/>
      <c r="F64" s="784"/>
      <c r="G64" s="784"/>
      <c r="H64" s="1141"/>
      <c r="I64" s="1147"/>
      <c r="J64" s="784"/>
      <c r="K64" s="784"/>
      <c r="L64" s="784"/>
    </row>
    <row r="65" spans="1:12" ht="15" customHeight="1" x14ac:dyDescent="0.2">
      <c r="A65" s="739"/>
      <c r="B65" s="1120" t="s">
        <v>1027</v>
      </c>
      <c r="C65" s="784"/>
      <c r="D65" s="1141"/>
      <c r="E65" s="1147"/>
      <c r="F65" s="784"/>
      <c r="G65" s="784"/>
      <c r="H65" s="1141"/>
      <c r="I65" s="1147"/>
      <c r="J65" s="784"/>
      <c r="K65" s="784"/>
      <c r="L65" s="784"/>
    </row>
    <row r="66" spans="1:12" ht="15" customHeight="1" x14ac:dyDescent="0.2">
      <c r="A66" s="739"/>
      <c r="B66" s="1121" t="s">
        <v>984</v>
      </c>
      <c r="C66" s="784"/>
      <c r="D66" s="1141"/>
      <c r="E66" s="1147"/>
      <c r="F66" s="784"/>
      <c r="G66" s="784"/>
      <c r="H66" s="1141"/>
      <c r="I66" s="1147"/>
      <c r="J66" s="784"/>
      <c r="K66" s="784"/>
      <c r="L66" s="784"/>
    </row>
    <row r="67" spans="1:12" ht="15" customHeight="1" x14ac:dyDescent="0.2">
      <c r="A67" s="739"/>
      <c r="B67" s="1121" t="s">
        <v>1029</v>
      </c>
      <c r="C67" s="784"/>
      <c r="D67" s="1141"/>
      <c r="E67" s="1147"/>
      <c r="F67" s="784"/>
      <c r="G67" s="784"/>
      <c r="H67" s="1153" t="s">
        <v>1028</v>
      </c>
      <c r="I67" s="1147"/>
      <c r="J67" s="784"/>
      <c r="K67" s="784"/>
      <c r="L67" s="784"/>
    </row>
    <row r="68" spans="1:12" ht="15" customHeight="1" x14ac:dyDescent="0.2">
      <c r="A68" s="739"/>
      <c r="B68" s="1120"/>
      <c r="C68" s="784"/>
      <c r="D68" s="1141"/>
      <c r="E68" s="1147"/>
      <c r="F68" s="784"/>
      <c r="G68" s="784"/>
      <c r="H68" s="1141"/>
      <c r="I68" s="1147"/>
      <c r="J68" s="784"/>
      <c r="K68" s="784"/>
      <c r="L68" s="784"/>
    </row>
    <row r="69" spans="1:12" ht="15" customHeight="1" x14ac:dyDescent="0.2">
      <c r="A69" s="739"/>
      <c r="B69" s="1154" t="s">
        <v>1116</v>
      </c>
      <c r="C69" s="784"/>
      <c r="D69" s="1141"/>
      <c r="E69" s="1147"/>
      <c r="F69" s="784"/>
      <c r="G69" s="784"/>
      <c r="H69" s="1141"/>
      <c r="I69" s="1147"/>
      <c r="J69" s="784"/>
      <c r="K69" s="784"/>
      <c r="L69" s="784"/>
    </row>
    <row r="70" spans="1:12" ht="15" customHeight="1" x14ac:dyDescent="0.2">
      <c r="A70" s="739"/>
      <c r="B70" s="1121" t="s">
        <v>1117</v>
      </c>
      <c r="C70" s="784"/>
      <c r="D70" s="1141"/>
      <c r="E70" s="1147"/>
      <c r="F70" s="784"/>
      <c r="G70" s="784"/>
      <c r="H70" s="1141"/>
      <c r="I70" s="1147"/>
      <c r="J70" s="784"/>
      <c r="K70" s="784"/>
      <c r="L70" s="784"/>
    </row>
    <row r="71" spans="1:12" ht="15" customHeight="1" x14ac:dyDescent="0.2">
      <c r="A71" s="739"/>
      <c r="B71" s="1120"/>
      <c r="C71" s="1155" t="s">
        <v>1118</v>
      </c>
      <c r="D71" s="1141"/>
      <c r="E71" s="1156"/>
      <c r="F71" s="784"/>
      <c r="G71" s="1157" t="s">
        <v>431</v>
      </c>
      <c r="H71" s="1157" t="s">
        <v>432</v>
      </c>
      <c r="I71" s="1147"/>
      <c r="J71" s="784"/>
      <c r="K71" s="784"/>
      <c r="L71" s="784"/>
    </row>
    <row r="72" spans="1:12" ht="15" customHeight="1" x14ac:dyDescent="0.2">
      <c r="A72" s="739"/>
      <c r="B72" s="1120"/>
      <c r="C72" s="1155" t="s">
        <v>465</v>
      </c>
      <c r="D72" s="1141"/>
      <c r="E72" s="1156"/>
      <c r="F72" s="784"/>
      <c r="G72" s="1157" t="s">
        <v>431</v>
      </c>
      <c r="H72" s="1157" t="s">
        <v>432</v>
      </c>
      <c r="I72" s="1147"/>
      <c r="J72" s="784"/>
      <c r="K72" s="784"/>
      <c r="L72" s="784"/>
    </row>
    <row r="73" spans="1:12" ht="15" customHeight="1" x14ac:dyDescent="0.2">
      <c r="A73" s="739"/>
      <c r="B73" s="1120"/>
      <c r="C73" s="1155" t="s">
        <v>1119</v>
      </c>
      <c r="D73" s="1141"/>
      <c r="E73" s="1156"/>
      <c r="F73" s="784"/>
      <c r="G73" s="1157" t="s">
        <v>431</v>
      </c>
      <c r="H73" s="1157" t="s">
        <v>432</v>
      </c>
      <c r="I73" s="1147"/>
      <c r="J73" s="784"/>
      <c r="K73" s="784"/>
      <c r="L73" s="784"/>
    </row>
    <row r="74" spans="1:12" ht="15" customHeight="1" x14ac:dyDescent="0.2">
      <c r="A74" s="739"/>
      <c r="B74" s="1120"/>
      <c r="C74" s="1155" t="s">
        <v>1120</v>
      </c>
      <c r="D74" s="1141"/>
      <c r="E74" s="1156"/>
      <c r="F74" s="784"/>
      <c r="G74" s="1157" t="s">
        <v>431</v>
      </c>
      <c r="H74" s="1157" t="s">
        <v>432</v>
      </c>
      <c r="I74" s="1147"/>
      <c r="J74" s="784"/>
      <c r="K74" s="784"/>
      <c r="L74" s="784"/>
    </row>
    <row r="75" spans="1:12" ht="15" customHeight="1" x14ac:dyDescent="0.2">
      <c r="A75" s="739"/>
      <c r="B75" s="1120"/>
      <c r="C75" s="1121"/>
      <c r="D75" s="1141"/>
      <c r="E75" s="1147"/>
      <c r="F75" s="784"/>
      <c r="G75" s="784"/>
      <c r="H75" s="1141"/>
      <c r="I75" s="1147"/>
      <c r="J75" s="784"/>
      <c r="K75" s="784"/>
      <c r="L75" s="784"/>
    </row>
    <row r="76" spans="1:12" ht="15" customHeight="1" x14ac:dyDescent="0.2">
      <c r="A76" s="739"/>
      <c r="B76" s="1120" t="s">
        <v>903</v>
      </c>
      <c r="C76" s="784"/>
      <c r="D76" s="1146" t="s">
        <v>478</v>
      </c>
      <c r="E76" s="1158"/>
      <c r="F76" s="784" t="s">
        <v>359</v>
      </c>
      <c r="G76" s="784"/>
      <c r="H76" s="1146" t="s">
        <v>479</v>
      </c>
      <c r="I76" s="1158"/>
      <c r="J76" s="784" t="s">
        <v>359</v>
      </c>
      <c r="K76" s="784"/>
      <c r="L76" s="1121" t="s">
        <v>468</v>
      </c>
    </row>
    <row r="77" spans="1:12" ht="15" customHeight="1" x14ac:dyDescent="0.2">
      <c r="A77" s="739"/>
      <c r="B77" s="1120" t="s">
        <v>807</v>
      </c>
      <c r="C77" s="784"/>
      <c r="D77" s="1149" t="s">
        <v>482</v>
      </c>
      <c r="E77" s="1150">
        <f>-(I76-E76)*3.664/20</f>
        <v>0</v>
      </c>
      <c r="F77" s="1151" t="s">
        <v>808</v>
      </c>
      <c r="G77" s="784"/>
      <c r="H77" s="1141"/>
      <c r="I77" s="1147"/>
      <c r="J77" s="784"/>
      <c r="K77" s="784"/>
      <c r="L77" s="784" t="s">
        <v>55</v>
      </c>
    </row>
    <row r="78" spans="1:12" ht="15" customHeight="1" x14ac:dyDescent="0.2">
      <c r="A78" s="739"/>
      <c r="B78" s="1120"/>
      <c r="C78" s="1121"/>
      <c r="D78" s="1141"/>
      <c r="E78" s="1147"/>
      <c r="F78" s="784"/>
      <c r="G78" s="784"/>
      <c r="H78" s="1141"/>
      <c r="I78" s="1147"/>
      <c r="J78" s="784"/>
      <c r="K78" s="784"/>
      <c r="L78" s="784"/>
    </row>
    <row r="79" spans="1:12" ht="15" customHeight="1" x14ac:dyDescent="0.2">
      <c r="A79" s="739"/>
      <c r="B79" s="1120"/>
      <c r="C79" s="1121"/>
      <c r="D79" s="1141"/>
      <c r="E79" s="1147"/>
      <c r="F79" s="784"/>
      <c r="G79" s="784"/>
      <c r="H79" s="1141"/>
      <c r="I79" s="1147"/>
      <c r="J79" s="784"/>
      <c r="K79" s="784"/>
      <c r="L79" s="784"/>
    </row>
    <row r="80" spans="1:12" ht="15" customHeight="1" x14ac:dyDescent="0.2">
      <c r="A80" s="739"/>
      <c r="B80" s="1120"/>
      <c r="C80" s="1121"/>
      <c r="D80" s="1141"/>
      <c r="E80" s="1147"/>
      <c r="F80" s="784"/>
      <c r="G80" s="784"/>
      <c r="H80" s="1141"/>
      <c r="I80" s="1147"/>
      <c r="J80" s="784"/>
      <c r="K80" s="784"/>
      <c r="L80" s="784"/>
    </row>
    <row r="81" spans="1:12" ht="15" customHeight="1" x14ac:dyDescent="0.2">
      <c r="A81" s="739"/>
      <c r="B81" s="1159" t="s">
        <v>273</v>
      </c>
      <c r="C81" s="1160"/>
      <c r="D81" s="1160"/>
      <c r="E81" s="1161" t="str">
        <f>IF(F26=I25,B28,IF(F26=I26,B54,IF(F26=I27,B54,B28)))</f>
        <v>Option 1. Default calculation (no actual and accurate data are available)</v>
      </c>
      <c r="F81" s="1160"/>
      <c r="G81" s="1160"/>
      <c r="H81" s="1160"/>
      <c r="I81" s="1162"/>
      <c r="J81" s="1162">
        <f>IF(F26=I25,E52,IF(F26=I26,E77,IF(F26=I27,E77,E52)))</f>
        <v>0</v>
      </c>
      <c r="K81" s="1163" t="s">
        <v>8</v>
      </c>
      <c r="L81" s="1164"/>
    </row>
    <row r="82" spans="1:12" ht="15" customHeight="1" x14ac:dyDescent="0.2">
      <c r="A82" s="739"/>
      <c r="B82" s="1120"/>
      <c r="C82" s="1121"/>
      <c r="D82" s="1141"/>
      <c r="E82" s="1147"/>
      <c r="F82" s="784"/>
      <c r="G82" s="784"/>
      <c r="H82" s="1141"/>
      <c r="I82" s="1147"/>
      <c r="J82" s="784"/>
      <c r="K82" s="784"/>
      <c r="L82" s="784"/>
    </row>
    <row r="83" spans="1:12" x14ac:dyDescent="0.2">
      <c r="A83" s="739"/>
      <c r="B83" s="784"/>
      <c r="C83" s="784"/>
      <c r="D83" s="784"/>
      <c r="E83" s="784"/>
      <c r="F83" s="784"/>
      <c r="G83" s="784"/>
      <c r="H83" s="784"/>
      <c r="I83" s="784"/>
      <c r="J83" s="784"/>
      <c r="K83" s="784"/>
      <c r="L83" s="784"/>
    </row>
    <row r="84" spans="1:12" x14ac:dyDescent="0.2">
      <c r="A84" s="634"/>
      <c r="B84" s="785"/>
      <c r="C84" s="785"/>
      <c r="D84" s="785"/>
      <c r="E84" s="785"/>
      <c r="F84" s="785"/>
      <c r="G84" s="785"/>
      <c r="H84" s="785"/>
      <c r="I84" s="785"/>
      <c r="J84" s="785"/>
      <c r="K84" s="785"/>
      <c r="L84" s="785"/>
    </row>
    <row r="85" spans="1:12" x14ac:dyDescent="0.2">
      <c r="A85" s="634"/>
      <c r="B85" s="785"/>
      <c r="C85" s="785"/>
      <c r="D85" s="785"/>
      <c r="E85" s="785"/>
      <c r="F85" s="785"/>
      <c r="G85" s="785"/>
      <c r="H85" s="785"/>
      <c r="I85" s="785"/>
      <c r="J85" s="785"/>
      <c r="K85" s="785"/>
      <c r="L85" s="785"/>
    </row>
    <row r="86" spans="1:12" x14ac:dyDescent="0.2">
      <c r="A86" s="634"/>
      <c r="B86" s="785"/>
      <c r="C86" s="785"/>
      <c r="D86" s="785"/>
      <c r="E86" s="785"/>
      <c r="F86" s="785"/>
      <c r="G86" s="785"/>
      <c r="H86" s="785"/>
      <c r="I86" s="785"/>
      <c r="J86" s="785"/>
      <c r="K86" s="785"/>
      <c r="L86" s="785"/>
    </row>
    <row r="87" spans="1:12" x14ac:dyDescent="0.2">
      <c r="A87" s="634"/>
      <c r="B87" s="785"/>
      <c r="C87" s="785"/>
      <c r="D87" s="785"/>
      <c r="E87" s="785"/>
      <c r="F87" s="785"/>
      <c r="G87" s="785"/>
      <c r="H87" s="785"/>
      <c r="I87" s="785"/>
      <c r="J87" s="785"/>
      <c r="K87" s="785"/>
      <c r="L87" s="785"/>
    </row>
    <row r="88" spans="1:12" x14ac:dyDescent="0.2">
      <c r="A88" s="634"/>
      <c r="B88" s="785"/>
      <c r="C88" s="785"/>
      <c r="D88" s="785"/>
      <c r="E88" s="785"/>
      <c r="F88" s="785"/>
      <c r="G88" s="785"/>
      <c r="H88" s="785"/>
      <c r="I88" s="785"/>
      <c r="J88" s="785"/>
      <c r="K88" s="785"/>
      <c r="L88" s="785"/>
    </row>
    <row r="89" spans="1:12" x14ac:dyDescent="0.2">
      <c r="A89" s="634"/>
      <c r="B89" s="785"/>
      <c r="C89" s="785"/>
      <c r="D89" s="785"/>
      <c r="E89" s="785"/>
      <c r="F89" s="785"/>
      <c r="G89" s="785"/>
      <c r="H89" s="785"/>
      <c r="I89" s="785"/>
      <c r="J89" s="785"/>
      <c r="K89" s="785"/>
      <c r="L89" s="785"/>
    </row>
    <row r="90" spans="1:12" x14ac:dyDescent="0.2">
      <c r="A90" s="634"/>
      <c r="B90" s="785"/>
      <c r="C90" s="785"/>
      <c r="D90" s="785"/>
      <c r="E90" s="785"/>
      <c r="F90" s="785"/>
      <c r="G90" s="785"/>
      <c r="H90" s="785"/>
      <c r="I90" s="785"/>
      <c r="J90" s="785"/>
      <c r="K90" s="785"/>
      <c r="L90" s="785"/>
    </row>
    <row r="91" spans="1:12" x14ac:dyDescent="0.2">
      <c r="A91" s="634"/>
      <c r="B91" s="785"/>
      <c r="C91" s="785"/>
      <c r="D91" s="785"/>
      <c r="E91" s="785"/>
      <c r="F91" s="785"/>
      <c r="G91" s="785"/>
      <c r="H91" s="785"/>
      <c r="I91" s="785"/>
      <c r="J91" s="785"/>
      <c r="K91" s="785"/>
      <c r="L91" s="785"/>
    </row>
    <row r="92" spans="1:12" x14ac:dyDescent="0.2">
      <c r="A92" s="634"/>
      <c r="B92" s="785"/>
      <c r="C92" s="785"/>
      <c r="D92" s="785"/>
      <c r="E92" s="785"/>
      <c r="F92" s="785"/>
      <c r="G92" s="785"/>
      <c r="H92" s="785"/>
      <c r="I92" s="785"/>
      <c r="J92" s="785"/>
      <c r="K92" s="785"/>
      <c r="L92" s="785"/>
    </row>
    <row r="93" spans="1:12" x14ac:dyDescent="0.2">
      <c r="A93" s="634"/>
      <c r="B93" s="785"/>
      <c r="C93" s="785"/>
      <c r="D93" s="785"/>
      <c r="E93" s="785"/>
      <c r="F93" s="785"/>
      <c r="G93" s="785"/>
      <c r="H93" s="785"/>
      <c r="I93" s="785"/>
      <c r="J93" s="785"/>
      <c r="K93" s="785"/>
      <c r="L93" s="785"/>
    </row>
    <row r="94" spans="1:12" x14ac:dyDescent="0.2">
      <c r="A94" s="634"/>
      <c r="B94" s="785"/>
      <c r="C94" s="785"/>
      <c r="D94" s="785"/>
      <c r="E94" s="785"/>
      <c r="F94" s="785"/>
      <c r="G94" s="785"/>
      <c r="H94" s="785"/>
      <c r="I94" s="785"/>
      <c r="J94" s="785"/>
      <c r="K94" s="785"/>
      <c r="L94" s="785"/>
    </row>
  </sheetData>
  <sheetProtection insertColumns="0" insertRows="0" deleteColumns="0" deleteRows="0"/>
  <customSheetViews>
    <customSheetView guid="{AD88818B-9F97-4B1E-9426-0DECE603685E}" scale="80" showGridLines="0" showRuler="0">
      <selection activeCell="M6" sqref="M6"/>
      <pageMargins left="0.75" right="0.75" top="1" bottom="1" header="0.5" footer="0.5"/>
      <pageSetup paperSize="9" orientation="portrait"/>
      <headerFooter alignWithMargins="0"/>
    </customSheetView>
    <customSheetView guid="{7EB5D807-CE20-46E2-AEE6-2C193E010EA4}" scale="80" showGridLines="0" showRuler="0">
      <selection activeCell="M6" sqref="M6"/>
      <pageMargins left="0.75" right="0.75" top="1" bottom="1" header="0.5" footer="0.5"/>
      <pageSetup paperSize="9" orientation="portrait"/>
      <headerFooter alignWithMargins="0"/>
    </customSheetView>
  </customSheetViews>
  <mergeCells count="17">
    <mergeCell ref="F26:H26"/>
    <mergeCell ref="D36:F36"/>
    <mergeCell ref="D62:I62"/>
    <mergeCell ref="D63:I63"/>
    <mergeCell ref="D60:I60"/>
    <mergeCell ref="D61:I61"/>
    <mergeCell ref="D59:I59"/>
    <mergeCell ref="H40:J40"/>
    <mergeCell ref="D41:F41"/>
    <mergeCell ref="H41:J41"/>
    <mergeCell ref="H38:J38"/>
    <mergeCell ref="D40:F40"/>
    <mergeCell ref="D58:I58"/>
    <mergeCell ref="D42:F42"/>
    <mergeCell ref="H42:J42"/>
    <mergeCell ref="D43:F43"/>
    <mergeCell ref="H43:J43"/>
  </mergeCells>
  <phoneticPr fontId="92" type="noConversion"/>
  <dataValidations count="6">
    <dataValidation type="list" allowBlank="1" showInputMessage="1" showErrorMessage="1" sqref="E71" xr:uid="{00000000-0002-0000-0600-000000000000}">
      <formula1>$G$71:$H$71</formula1>
    </dataValidation>
    <dataValidation type="list" allowBlank="1" showInputMessage="1" showErrorMessage="1" sqref="D58:I58" xr:uid="{00000000-0002-0000-0600-000001000000}">
      <formula1>$J$58:$L$58</formula1>
    </dataValidation>
    <dataValidation type="list" allowBlank="1" showInputMessage="1" showErrorMessage="1" sqref="F26:H26" xr:uid="{00000000-0002-0000-0600-000002000000}">
      <formula1>$I$25:$I$27</formula1>
    </dataValidation>
    <dataValidation type="list" allowBlank="1" showInputMessage="1" showErrorMessage="1" sqref="E72" xr:uid="{00000000-0002-0000-0600-000003000000}">
      <formula1>$G$72:$H$72</formula1>
    </dataValidation>
    <dataValidation type="list" allowBlank="1" showInputMessage="1" showErrorMessage="1" sqref="E73" xr:uid="{00000000-0002-0000-0600-000004000000}">
      <formula1>$G$73:$H$73</formula1>
    </dataValidation>
    <dataValidation type="list" allowBlank="1" showInputMessage="1" showErrorMessage="1" sqref="E74" xr:uid="{00000000-0002-0000-0600-000005000000}">
      <formula1>$G$74:$H$74</formula1>
    </dataValidation>
  </dataValidations>
  <hyperlinks>
    <hyperlink ref="F8:K8" r:id="rId1" display="Commission Decision of 10 June 2010 on guidelines for the calculation of land use carbon stocks for the purpose of Annex V of Directive 2009/28/EC" xr:uid="{00000000-0004-0000-0600-000000000000}"/>
    <hyperlink ref="G8:L8" r:id="rId2" display="Commission Decision of 10 June 2010 on guidelines for the calculation of land use carbon stocks for the purpose of Annex V of Directive 2009/28/EC" xr:uid="{00000000-0004-0000-0600-000001000000}"/>
    <hyperlink ref="H67" r:id="rId3" xr:uid="{00000000-0004-0000-0600-000002000000}"/>
  </hyperlinks>
  <pageMargins left="0.75" right="0.75" top="1" bottom="1" header="0.5" footer="0.5"/>
  <pageSetup paperSize="9" orientation="portrait"/>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38290" r:id="rId6" name="Label 402">
              <controlPr defaultSize="0" autoFill="0" autoLine="0" autoPict="0" macro="[0]!GoToAbout">
                <anchor moveWithCells="1" sizeWithCells="1">
                  <from>
                    <xdr:col>11</xdr:col>
                    <xdr:colOff>2838450</xdr:colOff>
                    <xdr:row>0</xdr:row>
                    <xdr:rowOff>800100</xdr:rowOff>
                  </from>
                  <to>
                    <xdr:col>11</xdr:col>
                    <xdr:colOff>3705225</xdr:colOff>
                    <xdr:row>0</xdr:row>
                    <xdr:rowOff>1295400</xdr:rowOff>
                  </to>
                </anchor>
              </controlPr>
            </control>
          </mc:Choice>
        </mc:AlternateContent>
        <mc:AlternateContent xmlns:mc="http://schemas.openxmlformats.org/markup-compatibility/2006">
          <mc:Choice Requires="x14">
            <control shapeId="38291" r:id="rId7" name="Label 403">
              <controlPr defaultSize="0" autoFill="0" autoLine="0" autoPict="0" macro="[0]!GoToDirectory">
                <anchor moveWithCells="1" sizeWithCells="1">
                  <from>
                    <xdr:col>11</xdr:col>
                    <xdr:colOff>3771900</xdr:colOff>
                    <xdr:row>0</xdr:row>
                    <xdr:rowOff>800100</xdr:rowOff>
                  </from>
                  <to>
                    <xdr:col>11</xdr:col>
                    <xdr:colOff>4772025</xdr:colOff>
                    <xdr:row>0</xdr:row>
                    <xdr:rowOff>1295400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N2O">
    <pageSetUpPr fitToPage="1"/>
  </sheetPr>
  <dimension ref="A1:AH119"/>
  <sheetViews>
    <sheetView showGridLines="0" topLeftCell="A88" zoomScale="80" workbookViewId="0">
      <selection activeCell="A2" sqref="A2"/>
    </sheetView>
  </sheetViews>
  <sheetFormatPr baseColWidth="10" defaultRowHeight="12.75" x14ac:dyDescent="0.2"/>
  <cols>
    <col min="1" max="1" width="51.140625" style="1096" customWidth="1"/>
    <col min="2" max="2" width="16.85546875" style="1096" customWidth="1"/>
    <col min="3" max="3" width="15" style="1096" customWidth="1"/>
    <col min="4" max="4" width="12.28515625" style="1096" customWidth="1"/>
    <col min="5" max="5" width="8.42578125" style="1096" customWidth="1"/>
    <col min="6" max="6" width="14.5703125" style="1096" customWidth="1"/>
    <col min="7" max="7" width="17.5703125" style="1096" customWidth="1"/>
    <col min="8" max="8" width="9" style="1096" customWidth="1"/>
    <col min="9" max="9" width="12.140625" style="1096" customWidth="1"/>
    <col min="10" max="10" width="8.5703125" style="1096" customWidth="1"/>
    <col min="11" max="11" width="12" style="1096" customWidth="1"/>
    <col min="12" max="12" width="11.42578125" style="1096" customWidth="1"/>
    <col min="13" max="13" width="11.28515625" style="1096" customWidth="1"/>
    <col min="14" max="14" width="13.7109375" style="1096" customWidth="1"/>
    <col min="15" max="15" width="21" style="1096" customWidth="1"/>
    <col min="16" max="16" width="13.5703125" style="1096" customWidth="1"/>
    <col min="17" max="17" width="11.42578125" style="1096" customWidth="1"/>
    <col min="18" max="18" width="13.7109375" style="1096" customWidth="1"/>
    <col min="19" max="20" width="11.42578125" style="1096" customWidth="1"/>
    <col min="21" max="21" width="17.28515625" style="1096" customWidth="1"/>
    <col min="22" max="24" width="11.42578125" style="1096" customWidth="1"/>
    <col min="25" max="25" width="12.5703125" style="1096" customWidth="1"/>
    <col min="26" max="26" width="30.85546875" style="1096" customWidth="1"/>
    <col min="27" max="29" width="11.42578125" style="1096" customWidth="1"/>
    <col min="30" max="30" width="12.85546875" style="1097" customWidth="1"/>
    <col min="31" max="32" width="11.42578125" style="1097" customWidth="1"/>
    <col min="33" max="33" width="19.85546875" style="1097" customWidth="1"/>
    <col min="34" max="256" width="9.140625" style="1097" customWidth="1"/>
    <col min="257" max="16384" width="11.42578125" style="1097"/>
  </cols>
  <sheetData>
    <row r="1" spans="1:29" s="360" customFormat="1" ht="103.5" customHeight="1" x14ac:dyDescent="0.2">
      <c r="A1" s="1312"/>
      <c r="B1" s="1312"/>
      <c r="C1" s="1312"/>
      <c r="D1" s="1312"/>
      <c r="E1" s="1312"/>
      <c r="F1" s="1312"/>
      <c r="G1" s="1312"/>
      <c r="H1" s="1312"/>
      <c r="I1" s="1312"/>
      <c r="J1" s="1312"/>
      <c r="K1" s="1312"/>
      <c r="L1" s="1312"/>
      <c r="M1" s="1312"/>
      <c r="N1" s="1312"/>
      <c r="O1" s="785"/>
      <c r="P1" s="785"/>
      <c r="Q1" s="785"/>
      <c r="R1" s="785"/>
      <c r="S1" s="786"/>
      <c r="T1" s="786"/>
      <c r="U1" s="786"/>
      <c r="V1" s="786"/>
      <c r="W1" s="786"/>
      <c r="X1" s="786"/>
      <c r="Y1" s="786"/>
      <c r="Z1" s="786"/>
      <c r="AA1" s="786"/>
      <c r="AB1" s="786"/>
      <c r="AC1" s="786"/>
    </row>
    <row r="2" spans="1:29" s="361" customFormat="1" ht="27.75" customHeight="1" x14ac:dyDescent="0.2">
      <c r="A2" s="787" t="s">
        <v>289</v>
      </c>
      <c r="B2" s="788"/>
      <c r="C2" s="789"/>
      <c r="D2" s="789"/>
      <c r="E2" s="789"/>
      <c r="F2" s="790"/>
      <c r="G2" s="791"/>
      <c r="H2" s="792"/>
      <c r="I2" s="793"/>
      <c r="J2" s="794"/>
      <c r="K2" s="794"/>
      <c r="L2" s="794"/>
      <c r="M2" s="795" t="str">
        <f>About!D2</f>
        <v>Version 4d for Testing</v>
      </c>
      <c r="N2" s="796"/>
      <c r="O2" s="785"/>
      <c r="P2" s="785"/>
      <c r="Q2" s="797"/>
      <c r="R2" s="797"/>
      <c r="S2" s="797"/>
      <c r="T2" s="797"/>
      <c r="U2" s="797"/>
      <c r="V2" s="797"/>
      <c r="W2" s="797"/>
      <c r="X2" s="797"/>
      <c r="Y2" s="797"/>
      <c r="Z2" s="797"/>
      <c r="AA2" s="797"/>
      <c r="AB2" s="797"/>
      <c r="AC2" s="797"/>
    </row>
    <row r="3" spans="1:29" s="796" customFormat="1" ht="28.5" customHeight="1" x14ac:dyDescent="0.3">
      <c r="A3" s="798" t="s">
        <v>290</v>
      </c>
      <c r="B3" s="497"/>
      <c r="C3" s="799"/>
      <c r="D3" s="800"/>
      <c r="E3" s="800"/>
      <c r="F3" s="800"/>
      <c r="G3" s="800"/>
      <c r="H3" s="800"/>
      <c r="I3" s="801"/>
    </row>
    <row r="4" spans="1:29" s="634" customFormat="1" ht="15" customHeight="1" x14ac:dyDescent="0.2">
      <c r="A4" s="802" t="s">
        <v>1135</v>
      </c>
      <c r="B4" s="803"/>
      <c r="C4" s="804"/>
      <c r="D4" s="803"/>
      <c r="E4" s="803"/>
      <c r="F4" s="803"/>
      <c r="G4" s="805"/>
      <c r="H4" s="800"/>
      <c r="I4" s="801"/>
      <c r="J4" s="360"/>
      <c r="K4" s="360"/>
      <c r="L4" s="360"/>
      <c r="M4" s="360"/>
      <c r="N4" s="785"/>
      <c r="O4" s="785"/>
      <c r="P4" s="785"/>
      <c r="Q4" s="785"/>
      <c r="R4" s="785"/>
      <c r="S4" s="785"/>
      <c r="T4" s="785"/>
      <c r="U4" s="785"/>
      <c r="V4" s="785"/>
      <c r="W4" s="785"/>
      <c r="X4" s="785"/>
      <c r="Y4" s="785"/>
      <c r="Z4" s="785"/>
      <c r="AA4" s="785"/>
      <c r="AB4" s="785"/>
      <c r="AC4" s="785"/>
    </row>
    <row r="5" spans="1:29" s="634" customFormat="1" ht="15" customHeight="1" x14ac:dyDescent="0.2">
      <c r="A5" s="806" t="s">
        <v>615</v>
      </c>
      <c r="B5" s="803"/>
      <c r="C5" s="804"/>
      <c r="D5" s="803"/>
      <c r="E5" s="803"/>
      <c r="F5" s="803"/>
      <c r="G5" s="805"/>
      <c r="H5" s="805"/>
      <c r="I5" s="807"/>
      <c r="J5" s="785"/>
      <c r="K5" s="785"/>
      <c r="L5" s="808"/>
      <c r="M5" s="808"/>
      <c r="N5" s="785"/>
      <c r="O5" s="785"/>
      <c r="P5" s="785"/>
      <c r="Q5" s="785"/>
      <c r="R5" s="785"/>
      <c r="S5" s="785"/>
      <c r="T5" s="785"/>
      <c r="U5" s="785"/>
      <c r="V5" s="785"/>
      <c r="W5" s="785"/>
      <c r="X5" s="785"/>
      <c r="Y5" s="785"/>
      <c r="Z5" s="785"/>
      <c r="AA5" s="785"/>
      <c r="AB5" s="785"/>
      <c r="AC5" s="785"/>
    </row>
    <row r="6" spans="1:29" s="634" customFormat="1" ht="29.25" customHeight="1" x14ac:dyDescent="0.2">
      <c r="A6" s="809" t="s">
        <v>797</v>
      </c>
      <c r="B6" s="810"/>
      <c r="C6" s="810"/>
      <c r="D6" s="810"/>
      <c r="E6" s="810"/>
      <c r="F6" s="810"/>
      <c r="G6" s="810"/>
      <c r="H6" s="805"/>
      <c r="I6" s="807"/>
      <c r="J6" s="785"/>
      <c r="K6" s="785"/>
      <c r="L6" s="808"/>
      <c r="M6" s="808"/>
      <c r="N6" s="785"/>
      <c r="O6" s="785"/>
      <c r="P6" s="785"/>
      <c r="Q6" s="785"/>
      <c r="R6" s="785"/>
      <c r="S6" s="785"/>
      <c r="T6" s="785"/>
      <c r="U6" s="785"/>
      <c r="V6" s="785"/>
      <c r="W6" s="785"/>
      <c r="X6" s="785"/>
      <c r="Y6" s="785"/>
      <c r="Z6" s="785"/>
      <c r="AA6" s="785"/>
      <c r="AB6" s="785"/>
      <c r="AC6" s="785"/>
    </row>
    <row r="7" spans="1:29" s="634" customFormat="1" ht="34.5" customHeight="1" x14ac:dyDescent="0.2">
      <c r="A7" s="1412" t="s">
        <v>891</v>
      </c>
      <c r="B7" s="1413"/>
      <c r="C7" s="1413"/>
      <c r="D7" s="1413"/>
      <c r="E7" s="1413"/>
      <c r="F7" s="1413"/>
      <c r="G7" s="1413"/>
      <c r="H7" s="805"/>
      <c r="I7" s="807"/>
      <c r="J7" s="785"/>
      <c r="K7" s="785"/>
      <c r="L7" s="808"/>
      <c r="M7" s="808"/>
      <c r="N7" s="785"/>
      <c r="O7" s="785"/>
      <c r="P7" s="785"/>
      <c r="Q7" s="785"/>
      <c r="R7" s="785"/>
      <c r="S7" s="785"/>
      <c r="T7" s="785"/>
      <c r="U7" s="785"/>
      <c r="V7" s="785"/>
      <c r="W7" s="785"/>
      <c r="X7" s="785"/>
      <c r="Y7" s="785"/>
      <c r="Z7" s="785"/>
      <c r="AA7" s="785"/>
      <c r="AB7" s="785"/>
      <c r="AC7" s="785"/>
    </row>
    <row r="8" spans="1:29" s="634" customFormat="1" ht="20.25" customHeight="1" x14ac:dyDescent="0.2">
      <c r="A8" s="1405" t="s">
        <v>463</v>
      </c>
      <c r="B8" s="1406"/>
      <c r="C8" s="1406"/>
      <c r="D8" s="1406"/>
      <c r="E8" s="1406"/>
      <c r="F8" s="1406"/>
      <c r="G8" s="1406"/>
      <c r="H8" s="805"/>
      <c r="I8" s="807"/>
      <c r="J8" s="785"/>
      <c r="K8" s="785"/>
      <c r="L8" s="808"/>
      <c r="M8" s="808"/>
      <c r="N8" s="785"/>
      <c r="O8" s="785"/>
      <c r="P8" s="785"/>
      <c r="Q8" s="785"/>
      <c r="R8" s="785"/>
      <c r="S8" s="785"/>
      <c r="T8" s="785"/>
      <c r="U8" s="785"/>
      <c r="V8" s="785"/>
      <c r="W8" s="785"/>
      <c r="X8" s="785"/>
      <c r="Y8" s="785"/>
      <c r="Z8" s="785"/>
      <c r="AA8" s="785"/>
      <c r="AB8" s="785"/>
      <c r="AC8" s="785"/>
    </row>
    <row r="9" spans="1:29" s="634" customFormat="1" ht="34.5" customHeight="1" x14ac:dyDescent="0.2">
      <c r="A9" s="1412" t="s">
        <v>464</v>
      </c>
      <c r="B9" s="1413"/>
      <c r="C9" s="1413"/>
      <c r="D9" s="1413"/>
      <c r="E9" s="1413"/>
      <c r="F9" s="1413"/>
      <c r="G9" s="1413"/>
      <c r="H9" s="805"/>
      <c r="I9" s="807"/>
      <c r="J9" s="785"/>
      <c r="K9" s="785"/>
      <c r="L9" s="808"/>
      <c r="M9" s="808"/>
      <c r="N9" s="785"/>
      <c r="O9" s="785"/>
      <c r="P9" s="785"/>
      <c r="Q9" s="785"/>
      <c r="R9" s="785"/>
      <c r="S9" s="785"/>
      <c r="T9" s="785"/>
      <c r="U9" s="785"/>
      <c r="V9" s="785"/>
      <c r="W9" s="785"/>
      <c r="X9" s="785"/>
      <c r="Y9" s="785"/>
      <c r="Z9" s="785"/>
      <c r="AA9" s="785"/>
      <c r="AB9" s="785"/>
      <c r="AC9" s="785"/>
    </row>
    <row r="10" spans="1:29" s="634" customFormat="1" ht="28.5" customHeight="1" x14ac:dyDescent="0.2">
      <c r="A10" s="1412" t="s">
        <v>911</v>
      </c>
      <c r="B10" s="1413"/>
      <c r="C10" s="1413"/>
      <c r="D10" s="1413"/>
      <c r="E10" s="1413"/>
      <c r="F10" s="1413"/>
      <c r="G10" s="1413"/>
      <c r="H10" s="805"/>
      <c r="I10" s="807"/>
      <c r="J10" s="785"/>
      <c r="K10" s="785"/>
      <c r="L10" s="808"/>
      <c r="M10" s="808"/>
      <c r="N10" s="785"/>
      <c r="O10" s="785"/>
      <c r="P10" s="785"/>
      <c r="Q10" s="785"/>
      <c r="R10" s="785"/>
      <c r="S10" s="785"/>
      <c r="T10" s="785"/>
      <c r="U10" s="785"/>
      <c r="V10" s="785"/>
      <c r="W10" s="785"/>
      <c r="X10" s="785"/>
      <c r="Y10" s="785"/>
      <c r="Z10" s="785"/>
      <c r="AA10" s="785"/>
      <c r="AB10" s="785"/>
      <c r="AC10" s="785"/>
    </row>
    <row r="11" spans="1:29" s="634" customFormat="1" ht="21" customHeight="1" x14ac:dyDescent="0.2">
      <c r="A11" s="1412" t="s">
        <v>425</v>
      </c>
      <c r="B11" s="1413"/>
      <c r="C11" s="1413"/>
      <c r="D11" s="1413"/>
      <c r="E11" s="1413"/>
      <c r="F11" s="1413"/>
      <c r="G11" s="1413"/>
      <c r="H11" s="805"/>
      <c r="I11" s="807"/>
      <c r="J11" s="785"/>
      <c r="K11" s="785"/>
      <c r="L11" s="808"/>
      <c r="M11" s="808"/>
      <c r="N11" s="785"/>
      <c r="O11" s="785"/>
      <c r="P11" s="785"/>
      <c r="Q11" s="785"/>
      <c r="R11" s="785"/>
      <c r="S11" s="785"/>
      <c r="T11" s="785"/>
      <c r="U11" s="785"/>
      <c r="V11" s="785"/>
      <c r="W11" s="785"/>
      <c r="X11" s="785"/>
      <c r="Y11" s="785"/>
      <c r="Z11" s="785"/>
      <c r="AA11" s="785"/>
      <c r="AB11" s="785"/>
      <c r="AC11" s="785"/>
    </row>
    <row r="12" spans="1:29" s="634" customFormat="1" ht="31.5" customHeight="1" x14ac:dyDescent="0.2">
      <c r="A12" s="1412" t="s">
        <v>426</v>
      </c>
      <c r="B12" s="1413"/>
      <c r="C12" s="1413"/>
      <c r="D12" s="1413"/>
      <c r="E12" s="1413"/>
      <c r="F12" s="1413"/>
      <c r="G12" s="1413"/>
      <c r="H12" s="811"/>
      <c r="I12" s="807"/>
      <c r="J12" s="785"/>
      <c r="K12" s="785"/>
      <c r="L12" s="812"/>
      <c r="M12" s="812"/>
      <c r="N12" s="812"/>
      <c r="O12" s="812"/>
      <c r="P12" s="812"/>
      <c r="Q12" s="785"/>
      <c r="R12" s="785"/>
      <c r="S12" s="785"/>
      <c r="T12" s="785"/>
      <c r="U12" s="785"/>
      <c r="V12" s="785"/>
      <c r="W12" s="785"/>
      <c r="X12" s="785"/>
      <c r="Y12" s="785"/>
      <c r="Z12" s="785"/>
      <c r="AA12" s="785"/>
      <c r="AB12" s="785"/>
      <c r="AC12" s="785"/>
    </row>
    <row r="13" spans="1:29" s="634" customFormat="1" ht="59.25" customHeight="1" x14ac:dyDescent="0.2">
      <c r="A13" s="1412" t="s">
        <v>327</v>
      </c>
      <c r="B13" s="1413"/>
      <c r="C13" s="1413"/>
      <c r="D13" s="1413"/>
      <c r="E13" s="1413"/>
      <c r="F13" s="1413"/>
      <c r="G13" s="1413"/>
      <c r="H13" s="805"/>
      <c r="I13" s="807"/>
      <c r="J13" s="785"/>
      <c r="K13" s="785"/>
      <c r="L13" s="808"/>
      <c r="M13" s="808"/>
      <c r="N13" s="785"/>
      <c r="O13" s="785"/>
      <c r="P13" s="785"/>
      <c r="Q13" s="785"/>
      <c r="R13" s="785"/>
      <c r="S13" s="785"/>
      <c r="T13" s="785"/>
      <c r="U13" s="785"/>
      <c r="V13" s="785"/>
      <c r="W13" s="785"/>
      <c r="X13" s="785"/>
      <c r="Y13" s="785"/>
      <c r="Z13" s="785"/>
      <c r="AA13" s="785"/>
      <c r="AB13" s="785"/>
      <c r="AC13" s="785"/>
    </row>
    <row r="14" spans="1:29" s="634" customFormat="1" ht="50.25" customHeight="1" x14ac:dyDescent="0.2">
      <c r="A14" s="1412" t="s">
        <v>427</v>
      </c>
      <c r="B14" s="1413"/>
      <c r="C14" s="1413"/>
      <c r="D14" s="1413"/>
      <c r="E14" s="1413"/>
      <c r="F14" s="1413"/>
      <c r="G14" s="1413"/>
      <c r="H14" s="805"/>
      <c r="I14" s="807"/>
      <c r="J14" s="785"/>
      <c r="K14" s="785"/>
      <c r="L14" s="808"/>
      <c r="M14" s="808"/>
      <c r="N14" s="785"/>
      <c r="O14" s="785"/>
      <c r="P14" s="785"/>
      <c r="Q14" s="785"/>
      <c r="R14" s="785"/>
      <c r="S14" s="785"/>
      <c r="T14" s="785"/>
      <c r="U14" s="785"/>
      <c r="V14" s="785"/>
      <c r="W14" s="785"/>
      <c r="X14" s="785"/>
      <c r="Y14" s="785"/>
      <c r="Z14" s="785"/>
      <c r="AA14" s="785"/>
      <c r="AB14" s="785"/>
      <c r="AC14" s="785"/>
    </row>
    <row r="15" spans="1:29" s="634" customFormat="1" ht="41.25" customHeight="1" x14ac:dyDescent="0.2">
      <c r="A15" s="1412" t="s">
        <v>784</v>
      </c>
      <c r="B15" s="1413"/>
      <c r="C15" s="1413"/>
      <c r="D15" s="1413"/>
      <c r="E15" s="1413"/>
      <c r="F15" s="1413"/>
      <c r="G15" s="1413"/>
      <c r="H15" s="805"/>
      <c r="I15" s="807"/>
      <c r="J15" s="785"/>
      <c r="K15" s="785"/>
      <c r="L15" s="808"/>
      <c r="M15" s="808"/>
      <c r="N15" s="785"/>
      <c r="O15" s="785"/>
      <c r="P15" s="785"/>
      <c r="Q15" s="785"/>
      <c r="R15" s="785"/>
      <c r="S15" s="785"/>
      <c r="T15" s="785"/>
      <c r="U15" s="785"/>
      <c r="V15" s="785"/>
      <c r="W15" s="785"/>
      <c r="X15" s="785"/>
      <c r="Y15" s="785"/>
      <c r="Z15" s="785"/>
      <c r="AA15" s="785"/>
      <c r="AB15" s="785"/>
      <c r="AC15" s="785"/>
    </row>
    <row r="16" spans="1:29" s="634" customFormat="1" ht="19.5" customHeight="1" x14ac:dyDescent="0.2">
      <c r="A16" s="1405" t="s">
        <v>400</v>
      </c>
      <c r="B16" s="1406"/>
      <c r="C16" s="1406"/>
      <c r="D16" s="1406"/>
      <c r="E16" s="1406"/>
      <c r="F16" s="1406"/>
      <c r="G16" s="1406"/>
      <c r="H16" s="805"/>
      <c r="I16" s="807"/>
      <c r="J16" s="785"/>
      <c r="K16" s="785"/>
      <c r="L16" s="808"/>
      <c r="M16" s="808"/>
      <c r="N16" s="785"/>
      <c r="O16" s="785"/>
      <c r="P16" s="785"/>
      <c r="Q16" s="785"/>
      <c r="R16" s="785"/>
      <c r="S16" s="785"/>
      <c r="T16" s="785"/>
      <c r="U16" s="785"/>
      <c r="V16" s="785"/>
      <c r="W16" s="785"/>
      <c r="X16" s="785"/>
      <c r="Y16" s="785"/>
      <c r="Z16" s="785"/>
      <c r="AA16" s="785"/>
      <c r="AB16" s="785"/>
      <c r="AC16" s="785"/>
    </row>
    <row r="17" spans="1:29" s="634" customFormat="1" ht="28.5" customHeight="1" x14ac:dyDescent="0.2">
      <c r="A17" s="1407" t="s">
        <v>791</v>
      </c>
      <c r="B17" s="1408"/>
      <c r="C17" s="1408"/>
      <c r="D17" s="1408"/>
      <c r="E17" s="1408"/>
      <c r="F17" s="1408"/>
      <c r="G17" s="1408"/>
      <c r="H17" s="813"/>
      <c r="I17" s="814"/>
      <c r="J17" s="785"/>
      <c r="K17" s="785"/>
      <c r="L17" s="808"/>
      <c r="M17" s="808"/>
      <c r="N17" s="785"/>
      <c r="O17" s="785"/>
      <c r="P17" s="785"/>
      <c r="Q17" s="785"/>
      <c r="R17" s="785"/>
      <c r="S17" s="785"/>
      <c r="T17" s="785"/>
      <c r="U17" s="785"/>
      <c r="V17" s="785"/>
      <c r="W17" s="785"/>
      <c r="X17" s="785"/>
      <c r="Y17" s="785"/>
      <c r="Z17" s="785"/>
      <c r="AA17" s="785"/>
      <c r="AB17" s="785"/>
      <c r="AC17" s="785"/>
    </row>
    <row r="18" spans="1:29" s="361" customFormat="1" ht="15.75" customHeight="1" x14ac:dyDescent="0.2">
      <c r="A18" s="815"/>
      <c r="B18" s="815"/>
      <c r="C18" s="816"/>
      <c r="D18" s="817"/>
      <c r="E18" s="817"/>
      <c r="F18" s="817"/>
      <c r="G18" s="818"/>
      <c r="H18" s="819"/>
      <c r="I18" s="797"/>
      <c r="J18" s="820"/>
      <c r="K18" s="819"/>
      <c r="L18" s="797"/>
      <c r="M18" s="820"/>
      <c r="N18" s="785"/>
      <c r="O18" s="785"/>
      <c r="P18" s="785"/>
      <c r="Q18" s="797"/>
      <c r="R18" s="797"/>
      <c r="S18" s="797"/>
      <c r="T18" s="797"/>
      <c r="U18" s="797"/>
      <c r="V18" s="797"/>
      <c r="W18" s="797"/>
      <c r="X18" s="797"/>
      <c r="Y18" s="797"/>
      <c r="Z18" s="797"/>
      <c r="AA18" s="797"/>
      <c r="AB18" s="797"/>
      <c r="AC18" s="797"/>
    </row>
    <row r="19" spans="1:29" s="827" customFormat="1" ht="20.25" customHeight="1" x14ac:dyDescent="0.2">
      <c r="A19" s="821" t="s">
        <v>1011</v>
      </c>
      <c r="B19" s="822"/>
      <c r="C19" s="823"/>
      <c r="D19" s="823"/>
      <c r="E19" s="824"/>
      <c r="F19" s="823"/>
      <c r="G19" s="823"/>
      <c r="H19" s="823"/>
      <c r="I19" s="825"/>
      <c r="J19" s="826"/>
      <c r="K19" s="826"/>
      <c r="L19" s="826"/>
      <c r="M19" s="826"/>
      <c r="N19" s="826"/>
      <c r="O19" s="826"/>
      <c r="P19" s="826"/>
      <c r="Q19" s="826"/>
      <c r="R19" s="826"/>
      <c r="S19" s="826"/>
      <c r="T19" s="826"/>
      <c r="U19" s="826"/>
      <c r="V19" s="826"/>
      <c r="W19" s="826"/>
      <c r="X19" s="826"/>
      <c r="Y19" s="826"/>
      <c r="Z19" s="826"/>
      <c r="AA19" s="826"/>
      <c r="AB19" s="826"/>
      <c r="AC19" s="826"/>
    </row>
    <row r="20" spans="1:29" s="827" customFormat="1" ht="27" customHeight="1" x14ac:dyDescent="0.2">
      <c r="A20" s="828" t="s">
        <v>1012</v>
      </c>
      <c r="B20" s="829"/>
      <c r="C20" s="830"/>
      <c r="D20" s="830"/>
      <c r="E20" s="830"/>
      <c r="F20" s="830"/>
      <c r="G20" s="830"/>
      <c r="H20" s="830"/>
      <c r="I20" s="831"/>
      <c r="J20" s="826"/>
      <c r="K20" s="826"/>
      <c r="L20" s="826"/>
      <c r="M20" s="826"/>
      <c r="N20" s="826"/>
      <c r="O20" s="826"/>
      <c r="P20" s="826"/>
      <c r="Q20" s="826"/>
      <c r="R20" s="826"/>
      <c r="S20" s="826"/>
      <c r="T20" s="826"/>
      <c r="U20" s="826"/>
      <c r="V20" s="826"/>
      <c r="W20" s="826"/>
      <c r="X20" s="826"/>
      <c r="Y20" s="826"/>
      <c r="Z20" s="826"/>
      <c r="AA20" s="826"/>
      <c r="AB20" s="826"/>
      <c r="AC20" s="826"/>
    </row>
    <row r="21" spans="1:29" s="827" customFormat="1" ht="15.75" customHeight="1" x14ac:dyDescent="0.2">
      <c r="A21" s="832" t="s">
        <v>283</v>
      </c>
      <c r="B21" s="833"/>
      <c r="C21" s="834"/>
      <c r="D21" s="835"/>
      <c r="E21" s="835"/>
      <c r="F21" s="835"/>
      <c r="G21" s="836"/>
      <c r="H21" s="835"/>
      <c r="I21" s="837"/>
      <c r="J21" s="826"/>
      <c r="K21" s="838" t="s">
        <v>611</v>
      </c>
      <c r="L21" s="839"/>
      <c r="M21" s="839"/>
      <c r="N21" s="839"/>
      <c r="O21" s="839"/>
      <c r="P21" s="839"/>
      <c r="Q21" s="839"/>
      <c r="R21" s="839"/>
      <c r="S21" s="839" t="s">
        <v>598</v>
      </c>
      <c r="T21" s="839" t="s">
        <v>599</v>
      </c>
      <c r="U21" s="839" t="s">
        <v>602</v>
      </c>
      <c r="V21" s="840" t="s">
        <v>603</v>
      </c>
      <c r="W21" s="826"/>
      <c r="X21" s="826"/>
      <c r="Y21" s="826"/>
      <c r="Z21" s="826"/>
      <c r="AA21" s="826"/>
      <c r="AB21" s="826"/>
      <c r="AC21" s="826"/>
    </row>
    <row r="22" spans="1:29" s="855" customFormat="1" ht="63.75" customHeight="1" x14ac:dyDescent="0.2">
      <c r="A22" s="841"/>
      <c r="B22" s="842" t="s">
        <v>1013</v>
      </c>
      <c r="C22" s="843"/>
      <c r="D22" s="844"/>
      <c r="E22" s="845"/>
      <c r="F22" s="846" t="s">
        <v>284</v>
      </c>
      <c r="G22" s="847"/>
      <c r="H22" s="845"/>
      <c r="I22" s="848"/>
      <c r="J22" s="849"/>
      <c r="K22" s="850" t="s">
        <v>1098</v>
      </c>
      <c r="L22" s="851" t="s">
        <v>1034</v>
      </c>
      <c r="M22" s="851" t="s">
        <v>535</v>
      </c>
      <c r="N22" s="851" t="s">
        <v>520</v>
      </c>
      <c r="O22" s="851" t="s">
        <v>512</v>
      </c>
      <c r="P22" s="851" t="s">
        <v>701</v>
      </c>
      <c r="Q22" s="851" t="s">
        <v>1041</v>
      </c>
      <c r="R22" s="851" t="s">
        <v>1014</v>
      </c>
      <c r="S22" s="852"/>
      <c r="T22" s="852"/>
      <c r="U22" s="852"/>
      <c r="V22" s="853"/>
      <c r="W22" s="854"/>
      <c r="X22" s="854"/>
      <c r="Y22" s="854"/>
      <c r="Z22" s="854"/>
      <c r="AA22" s="854"/>
      <c r="AB22" s="854"/>
      <c r="AC22" s="854"/>
    </row>
    <row r="23" spans="1:29" s="639" customFormat="1" ht="15.75" x14ac:dyDescent="0.2">
      <c r="A23" s="856"/>
      <c r="B23" s="857" t="s">
        <v>1015</v>
      </c>
      <c r="C23" s="858"/>
      <c r="D23" s="859" t="s">
        <v>420</v>
      </c>
      <c r="E23" s="860"/>
      <c r="F23" s="861" t="s">
        <v>30</v>
      </c>
      <c r="G23" s="862" t="s">
        <v>285</v>
      </c>
      <c r="H23" s="845"/>
      <c r="I23" s="863"/>
      <c r="J23" s="864"/>
      <c r="K23" s="865"/>
      <c r="L23" s="866"/>
      <c r="M23" s="866"/>
      <c r="N23" s="866"/>
      <c r="O23" s="866"/>
      <c r="P23" s="866"/>
      <c r="Q23" s="866"/>
      <c r="R23" s="866"/>
      <c r="S23" s="866"/>
      <c r="T23" s="866"/>
      <c r="U23" s="866"/>
      <c r="V23" s="867"/>
      <c r="W23" s="868"/>
      <c r="X23" s="868"/>
      <c r="Y23" s="868"/>
      <c r="Z23" s="868"/>
      <c r="AA23" s="868"/>
      <c r="AB23" s="868"/>
      <c r="AC23" s="868"/>
    </row>
    <row r="24" spans="1:29" s="639" customFormat="1" x14ac:dyDescent="0.2">
      <c r="A24" s="856"/>
      <c r="B24" s="857" t="s">
        <v>1016</v>
      </c>
      <c r="C24" s="869"/>
      <c r="D24" s="870"/>
      <c r="E24" s="860"/>
      <c r="F24" s="871" t="s">
        <v>31</v>
      </c>
      <c r="G24" s="872" t="s">
        <v>286</v>
      </c>
      <c r="H24" s="845"/>
      <c r="I24" s="863"/>
      <c r="J24" s="864"/>
      <c r="K24" s="864"/>
      <c r="L24" s="868"/>
      <c r="M24" s="868"/>
      <c r="N24" s="868"/>
      <c r="O24" s="868"/>
      <c r="P24" s="868"/>
      <c r="Q24" s="868"/>
      <c r="R24" s="868"/>
      <c r="S24" s="868"/>
      <c r="T24" s="868"/>
      <c r="U24" s="868"/>
      <c r="V24" s="868"/>
      <c r="W24" s="868"/>
      <c r="X24" s="868"/>
      <c r="Y24" s="868"/>
      <c r="Z24" s="868"/>
      <c r="AA24" s="868"/>
      <c r="AB24" s="868"/>
      <c r="AC24" s="868"/>
    </row>
    <row r="25" spans="1:29" s="639" customFormat="1" ht="15.75" x14ac:dyDescent="0.2">
      <c r="A25" s="856"/>
      <c r="B25" s="857" t="s">
        <v>1017</v>
      </c>
      <c r="C25" s="873">
        <f>C23*(1-C24)</f>
        <v>0</v>
      </c>
      <c r="D25" s="859" t="s">
        <v>421</v>
      </c>
      <c r="E25" s="833"/>
      <c r="F25" s="871" t="s">
        <v>792</v>
      </c>
      <c r="G25" s="872" t="s">
        <v>287</v>
      </c>
      <c r="H25" s="845"/>
      <c r="I25" s="874"/>
      <c r="J25" s="868"/>
      <c r="K25" s="868"/>
      <c r="L25" s="868"/>
      <c r="M25" s="868"/>
      <c r="N25" s="868"/>
      <c r="O25" s="868"/>
      <c r="P25" s="868"/>
      <c r="Q25" s="868"/>
      <c r="R25" s="868"/>
      <c r="S25" s="868"/>
      <c r="T25" s="868"/>
      <c r="U25" s="868"/>
      <c r="V25" s="868"/>
      <c r="W25" s="868"/>
      <c r="X25" s="868"/>
      <c r="Y25" s="868"/>
      <c r="Z25" s="868"/>
      <c r="AA25" s="868"/>
      <c r="AB25" s="868"/>
      <c r="AC25" s="868"/>
    </row>
    <row r="26" spans="1:29" s="639" customFormat="1" ht="15.75" x14ac:dyDescent="0.2">
      <c r="A26" s="856"/>
      <c r="B26" s="857" t="str">
        <f>IF(C22&lt;&gt;"Palm","Straw yield (removed from the field)","")</f>
        <v>Straw yield (removed from the field)</v>
      </c>
      <c r="C26" s="843"/>
      <c r="D26" s="859" t="str">
        <f>IF(C22&lt;&gt;"Palm","kg dm/ha/year","")</f>
        <v>kg dm/ha/year</v>
      </c>
      <c r="E26" s="833"/>
      <c r="F26" s="875" t="s">
        <v>291</v>
      </c>
      <c r="G26" s="876" t="s">
        <v>288</v>
      </c>
      <c r="H26" s="845"/>
      <c r="I26" s="874"/>
      <c r="J26" s="868"/>
      <c r="K26" s="868"/>
      <c r="L26" s="868"/>
      <c r="M26" s="868"/>
      <c r="N26" s="868"/>
      <c r="O26" s="868"/>
      <c r="P26" s="868"/>
      <c r="Q26" s="868"/>
      <c r="R26" s="868"/>
      <c r="S26" s="868"/>
      <c r="T26" s="868"/>
      <c r="U26" s="868"/>
      <c r="V26" s="868"/>
      <c r="W26" s="868"/>
      <c r="X26" s="868"/>
      <c r="Y26" s="868"/>
      <c r="Z26" s="868"/>
      <c r="AA26" s="868"/>
      <c r="AB26" s="868"/>
      <c r="AC26" s="868"/>
    </row>
    <row r="27" spans="1:29" s="881" customFormat="1" x14ac:dyDescent="0.2">
      <c r="A27" s="856"/>
      <c r="B27" s="857"/>
      <c r="C27" s="851"/>
      <c r="D27" s="859"/>
      <c r="E27" s="877"/>
      <c r="F27" s="877"/>
      <c r="G27" s="878"/>
      <c r="H27" s="845"/>
      <c r="I27" s="879"/>
      <c r="J27" s="880"/>
      <c r="K27" s="880"/>
      <c r="L27" s="880"/>
      <c r="M27" s="880"/>
      <c r="N27" s="880"/>
      <c r="O27" s="880"/>
      <c r="P27" s="880"/>
      <c r="Q27" s="880"/>
      <c r="R27" s="880"/>
      <c r="S27" s="880"/>
      <c r="T27" s="880"/>
      <c r="U27" s="880"/>
      <c r="V27" s="880"/>
      <c r="W27" s="880"/>
      <c r="X27" s="880"/>
      <c r="Y27" s="880"/>
      <c r="Z27" s="880"/>
      <c r="AA27" s="880"/>
      <c r="AB27" s="880"/>
      <c r="AC27" s="880"/>
    </row>
    <row r="28" spans="1:29" s="639" customFormat="1" ht="40.5" customHeight="1" x14ac:dyDescent="0.2">
      <c r="A28" s="882"/>
      <c r="B28" s="857" t="s">
        <v>786</v>
      </c>
      <c r="C28" s="843" t="s">
        <v>156</v>
      </c>
      <c r="D28" s="877"/>
      <c r="E28" s="1409" t="s">
        <v>328</v>
      </c>
      <c r="F28" s="1409"/>
      <c r="G28" s="1409"/>
      <c r="H28" s="1409"/>
      <c r="I28" s="1410"/>
      <c r="J28" s="868"/>
      <c r="K28" s="826" t="s">
        <v>156</v>
      </c>
      <c r="L28" s="826" t="s">
        <v>431</v>
      </c>
      <c r="M28" s="826" t="s">
        <v>432</v>
      </c>
      <c r="N28" s="868"/>
      <c r="O28" s="868"/>
      <c r="P28" s="868"/>
      <c r="Q28" s="868"/>
      <c r="R28" s="868"/>
      <c r="S28" s="868"/>
      <c r="T28" s="868"/>
      <c r="U28" s="868"/>
      <c r="V28" s="868"/>
      <c r="W28" s="868"/>
      <c r="X28" s="868"/>
      <c r="Y28" s="868"/>
      <c r="Z28" s="868"/>
      <c r="AA28" s="868"/>
      <c r="AB28" s="868"/>
      <c r="AC28" s="868"/>
    </row>
    <row r="29" spans="1:29" s="639" customFormat="1" ht="18.75" customHeight="1" x14ac:dyDescent="0.2">
      <c r="A29" s="883"/>
      <c r="B29" s="884"/>
      <c r="C29" s="833"/>
      <c r="D29" s="833"/>
      <c r="E29" s="885" t="s">
        <v>787</v>
      </c>
      <c r="F29" s="833"/>
      <c r="G29" s="833"/>
      <c r="H29" s="833"/>
      <c r="I29" s="879"/>
      <c r="J29" s="868"/>
      <c r="K29" s="868"/>
      <c r="L29" s="868"/>
      <c r="M29" s="868"/>
      <c r="N29" s="868"/>
      <c r="O29" s="868"/>
      <c r="P29" s="868"/>
      <c r="Q29" s="868"/>
      <c r="R29" s="868"/>
      <c r="S29" s="868"/>
      <c r="T29" s="868"/>
      <c r="U29" s="868"/>
      <c r="V29" s="868"/>
      <c r="W29" s="868"/>
      <c r="X29" s="868"/>
      <c r="Y29" s="868"/>
      <c r="Z29" s="868"/>
      <c r="AA29" s="868"/>
      <c r="AB29" s="868"/>
      <c r="AC29" s="868"/>
    </row>
    <row r="30" spans="1:29" s="639" customFormat="1" ht="18.75" customHeight="1" x14ac:dyDescent="0.2">
      <c r="A30" s="886" t="s">
        <v>622</v>
      </c>
      <c r="B30" s="887"/>
      <c r="C30" s="829"/>
      <c r="D30" s="829"/>
      <c r="E30" s="888"/>
      <c r="F30" s="829"/>
      <c r="G30" s="829"/>
      <c r="H30" s="829"/>
      <c r="I30" s="889"/>
      <c r="J30" s="868"/>
      <c r="K30" s="868"/>
      <c r="L30" s="868"/>
      <c r="M30" s="868"/>
      <c r="N30" s="868"/>
      <c r="O30" s="868"/>
      <c r="P30" s="868"/>
      <c r="Q30" s="868"/>
      <c r="R30" s="868"/>
      <c r="S30" s="868"/>
      <c r="T30" s="868"/>
      <c r="U30" s="868"/>
      <c r="V30" s="868"/>
      <c r="W30" s="868"/>
      <c r="X30" s="868"/>
      <c r="Y30" s="868"/>
      <c r="Z30" s="868"/>
      <c r="AA30" s="868"/>
      <c r="AB30" s="868"/>
      <c r="AC30" s="868"/>
    </row>
    <row r="31" spans="1:29" s="639" customFormat="1" ht="18.75" customHeight="1" x14ac:dyDescent="0.2">
      <c r="A31" s="883"/>
      <c r="B31" s="857" t="s">
        <v>618</v>
      </c>
      <c r="C31" s="890" t="s">
        <v>13</v>
      </c>
      <c r="D31" s="833"/>
      <c r="E31" s="885"/>
      <c r="F31" s="833" t="s">
        <v>10</v>
      </c>
      <c r="G31" s="833"/>
      <c r="H31" s="833"/>
      <c r="I31" s="879"/>
      <c r="J31" s="891" t="s">
        <v>13</v>
      </c>
      <c r="K31" s="826" t="s">
        <v>620</v>
      </c>
      <c r="L31" s="826" t="s">
        <v>619</v>
      </c>
      <c r="M31" s="826" t="s">
        <v>621</v>
      </c>
      <c r="N31" s="826" t="s">
        <v>623</v>
      </c>
      <c r="O31" s="826" t="s">
        <v>624</v>
      </c>
      <c r="P31" s="868"/>
      <c r="Q31" s="868"/>
      <c r="R31" s="868"/>
      <c r="S31" s="868"/>
      <c r="T31" s="868"/>
      <c r="U31" s="868"/>
      <c r="V31" s="868"/>
      <c r="W31" s="868"/>
      <c r="X31" s="868"/>
      <c r="Y31" s="868"/>
      <c r="Z31" s="868"/>
      <c r="AA31" s="868"/>
      <c r="AB31" s="868"/>
      <c r="AC31" s="868"/>
    </row>
    <row r="32" spans="1:29" s="639" customFormat="1" x14ac:dyDescent="0.2">
      <c r="A32" s="856"/>
      <c r="B32" s="857" t="s">
        <v>1018</v>
      </c>
      <c r="C32" s="843"/>
      <c r="D32" s="859" t="s">
        <v>180</v>
      </c>
      <c r="E32" s="833"/>
      <c r="F32" s="892" t="s">
        <v>617</v>
      </c>
      <c r="G32" s="833"/>
      <c r="H32" s="833"/>
      <c r="I32" s="874"/>
      <c r="J32" s="868"/>
      <c r="K32" s="868"/>
      <c r="L32" s="868"/>
      <c r="M32" s="868"/>
      <c r="N32" s="868"/>
      <c r="O32" s="868"/>
      <c r="P32" s="868"/>
      <c r="Q32" s="868"/>
      <c r="R32" s="868"/>
      <c r="S32" s="868"/>
      <c r="T32" s="868"/>
      <c r="U32" s="868"/>
      <c r="V32" s="868"/>
      <c r="W32" s="868"/>
      <c r="X32" s="868"/>
      <c r="Y32" s="868"/>
      <c r="Z32" s="868"/>
      <c r="AA32" s="868"/>
      <c r="AB32" s="868"/>
      <c r="AC32" s="868"/>
    </row>
    <row r="33" spans="1:29" s="639" customFormat="1" ht="23.25" customHeight="1" x14ac:dyDescent="0.2">
      <c r="A33" s="883"/>
      <c r="B33" s="884"/>
      <c r="C33" s="833"/>
      <c r="D33" s="833"/>
      <c r="E33" s="833"/>
      <c r="F33" s="893" t="s">
        <v>566</v>
      </c>
      <c r="G33" s="833"/>
      <c r="H33" s="833"/>
      <c r="I33" s="879"/>
      <c r="J33" s="868"/>
      <c r="K33" s="868"/>
      <c r="L33" s="868"/>
      <c r="M33" s="868"/>
      <c r="N33" s="868"/>
      <c r="O33" s="868"/>
      <c r="P33" s="868"/>
      <c r="Q33" s="868"/>
      <c r="R33" s="868"/>
      <c r="S33" s="868"/>
      <c r="T33" s="868"/>
      <c r="U33" s="868"/>
      <c r="V33" s="868"/>
      <c r="W33" s="868"/>
      <c r="X33" s="868"/>
      <c r="Y33" s="868"/>
      <c r="Z33" s="868"/>
      <c r="AA33" s="868"/>
      <c r="AB33" s="868"/>
      <c r="AC33" s="868"/>
    </row>
    <row r="34" spans="1:29" s="639" customFormat="1" ht="18.75" customHeight="1" x14ac:dyDescent="0.2">
      <c r="A34" s="883"/>
      <c r="B34" s="884"/>
      <c r="C34" s="833"/>
      <c r="D34" s="833"/>
      <c r="E34" s="885" t="s">
        <v>564</v>
      </c>
      <c r="F34" s="892"/>
      <c r="G34" s="833"/>
      <c r="H34" s="833"/>
      <c r="I34" s="879"/>
      <c r="J34" s="868"/>
      <c r="K34" s="868"/>
      <c r="L34" s="868"/>
      <c r="M34" s="868"/>
      <c r="N34" s="868"/>
      <c r="O34" s="868"/>
      <c r="P34" s="868"/>
      <c r="Q34" s="868"/>
      <c r="R34" s="868"/>
      <c r="S34" s="868"/>
      <c r="T34" s="868"/>
      <c r="U34" s="868"/>
      <c r="V34" s="868"/>
      <c r="W34" s="868"/>
      <c r="X34" s="868"/>
      <c r="Y34" s="868"/>
      <c r="Z34" s="868"/>
      <c r="AA34" s="868"/>
      <c r="AB34" s="868"/>
      <c r="AC34" s="868"/>
    </row>
    <row r="35" spans="1:29" s="639" customFormat="1" ht="18.75" customHeight="1" x14ac:dyDescent="0.2">
      <c r="A35" s="894"/>
      <c r="B35" s="895"/>
      <c r="C35" s="896"/>
      <c r="D35" s="896"/>
      <c r="E35" s="885" t="s">
        <v>565</v>
      </c>
      <c r="F35" s="897"/>
      <c r="G35" s="896"/>
      <c r="H35" s="896"/>
      <c r="I35" s="898"/>
      <c r="J35" s="868"/>
      <c r="K35" s="868"/>
      <c r="L35" s="868"/>
      <c r="M35" s="868"/>
      <c r="N35" s="868"/>
      <c r="O35" s="868"/>
      <c r="P35" s="868"/>
      <c r="Q35" s="868"/>
      <c r="R35" s="868"/>
      <c r="S35" s="868"/>
      <c r="T35" s="868"/>
      <c r="U35" s="868"/>
      <c r="V35" s="868"/>
      <c r="W35" s="868"/>
      <c r="X35" s="868"/>
      <c r="Y35" s="868"/>
      <c r="Z35" s="868"/>
      <c r="AA35" s="868"/>
      <c r="AB35" s="868"/>
      <c r="AC35" s="868"/>
    </row>
    <row r="36" spans="1:29" s="639" customFormat="1" ht="23.25" customHeight="1" x14ac:dyDescent="0.2">
      <c r="A36" s="886" t="s">
        <v>793</v>
      </c>
      <c r="B36" s="899"/>
      <c r="C36" s="900" t="s">
        <v>798</v>
      </c>
      <c r="D36" s="901"/>
      <c r="E36" s="829"/>
      <c r="F36" s="829"/>
      <c r="G36" s="829"/>
      <c r="H36" s="902" t="s">
        <v>785</v>
      </c>
      <c r="I36" s="903"/>
      <c r="J36" s="868"/>
      <c r="K36" s="868"/>
      <c r="L36" s="868"/>
      <c r="M36" s="868"/>
      <c r="N36" s="868"/>
      <c r="O36" s="868"/>
      <c r="P36" s="868"/>
      <c r="Q36" s="868"/>
      <c r="R36" s="868"/>
      <c r="S36" s="868"/>
      <c r="T36" s="868"/>
      <c r="U36" s="868"/>
      <c r="V36" s="868"/>
      <c r="W36" s="868"/>
      <c r="X36" s="868"/>
      <c r="Y36" s="868"/>
      <c r="Z36" s="868"/>
      <c r="AA36" s="868"/>
      <c r="AB36" s="868"/>
      <c r="AC36" s="868"/>
    </row>
    <row r="37" spans="1:29" s="639" customFormat="1" ht="13.5" customHeight="1" x14ac:dyDescent="0.2">
      <c r="A37" s="904"/>
      <c r="B37" s="857"/>
      <c r="C37" s="834" t="s">
        <v>150</v>
      </c>
      <c r="D37" s="859"/>
      <c r="E37" s="833"/>
      <c r="F37" s="833"/>
      <c r="G37" s="833"/>
      <c r="H37" s="851"/>
      <c r="I37" s="874"/>
      <c r="J37" s="868"/>
      <c r="K37" s="868"/>
      <c r="L37" s="868"/>
      <c r="M37" s="868"/>
      <c r="N37" s="868"/>
      <c r="O37" s="868"/>
      <c r="P37" s="868"/>
      <c r="Q37" s="868"/>
      <c r="R37" s="868"/>
      <c r="S37" s="868"/>
      <c r="T37" s="868"/>
      <c r="U37" s="868"/>
      <c r="V37" s="868"/>
      <c r="W37" s="868"/>
      <c r="X37" s="868"/>
      <c r="Y37" s="868"/>
      <c r="Z37" s="868"/>
      <c r="AA37" s="868"/>
      <c r="AB37" s="868"/>
      <c r="AC37" s="868"/>
    </row>
    <row r="38" spans="1:29" s="639" customFormat="1" ht="13.5" customHeight="1" x14ac:dyDescent="0.2">
      <c r="A38" s="905" t="str">
        <f>IF(C22="Palm", "If palm :", "")</f>
        <v/>
      </c>
      <c r="B38" s="857"/>
      <c r="C38" s="834"/>
      <c r="D38" s="859"/>
      <c r="E38" s="833"/>
      <c r="F38" s="833"/>
      <c r="G38" s="833"/>
      <c r="H38" s="851"/>
      <c r="I38" s="874"/>
      <c r="J38" s="868"/>
      <c r="K38" s="868"/>
      <c r="L38" s="868"/>
      <c r="M38" s="868"/>
      <c r="N38" s="868"/>
      <c r="O38" s="868"/>
      <c r="P38" s="868"/>
      <c r="Q38" s="868"/>
      <c r="R38" s="868"/>
      <c r="S38" s="868"/>
      <c r="T38" s="868"/>
      <c r="U38" s="868"/>
      <c r="V38" s="868"/>
      <c r="W38" s="868"/>
      <c r="X38" s="868"/>
      <c r="Y38" s="868"/>
      <c r="Z38" s="868"/>
      <c r="AA38" s="868"/>
      <c r="AB38" s="868"/>
      <c r="AC38" s="868"/>
    </row>
    <row r="39" spans="1:29" s="881" customFormat="1" ht="15.75" customHeight="1" x14ac:dyDescent="0.2">
      <c r="A39" s="906"/>
      <c r="B39" s="857" t="str">
        <f>IF(C22="Palm", "Amount of crop residue returned to the field:", "")</f>
        <v/>
      </c>
      <c r="C39" s="907"/>
      <c r="D39" s="859" t="str">
        <f>IF(C22="Palm","kg dm/kg wet FFB","")</f>
        <v/>
      </c>
      <c r="E39" s="833"/>
      <c r="F39" s="833"/>
      <c r="G39" s="877"/>
      <c r="H39" s="851" t="str">
        <f>IF(C22="palm", "default 0.22 from (6)","")</f>
        <v/>
      </c>
      <c r="I39" s="879"/>
      <c r="J39" s="880"/>
      <c r="K39" s="880"/>
      <c r="L39" s="880"/>
      <c r="M39" s="880"/>
      <c r="N39" s="880"/>
      <c r="O39" s="880"/>
      <c r="P39" s="880"/>
      <c r="Q39" s="880"/>
      <c r="R39" s="880"/>
      <c r="S39" s="880"/>
      <c r="T39" s="880"/>
      <c r="U39" s="880"/>
      <c r="V39" s="880"/>
      <c r="W39" s="880"/>
      <c r="X39" s="880"/>
      <c r="Y39" s="880"/>
      <c r="Z39" s="880"/>
      <c r="AA39" s="880"/>
      <c r="AB39" s="880"/>
      <c r="AC39" s="880"/>
    </row>
    <row r="40" spans="1:29" s="881" customFormat="1" ht="15.75" customHeight="1" x14ac:dyDescent="0.2">
      <c r="A40" s="906"/>
      <c r="B40" s="857" t="str">
        <f>IF(C$22="palm","N content of residue returned to the field:","")</f>
        <v/>
      </c>
      <c r="C40" s="908"/>
      <c r="D40" s="859" t="str">
        <f>IF(C$22="palm","kg N/kg residue dm","")</f>
        <v/>
      </c>
      <c r="E40" s="833"/>
      <c r="F40" s="909"/>
      <c r="G40" s="877"/>
      <c r="H40" s="851" t="str">
        <f>IF(C$22="palm", "default 0.011 from (6)","")</f>
        <v/>
      </c>
      <c r="I40" s="879"/>
      <c r="J40" s="880"/>
      <c r="K40" s="880"/>
      <c r="L40" s="880"/>
      <c r="M40" s="880"/>
      <c r="N40" s="880"/>
      <c r="O40" s="880"/>
      <c r="P40" s="880"/>
      <c r="Q40" s="880"/>
      <c r="R40" s="880"/>
      <c r="S40" s="880"/>
      <c r="T40" s="880"/>
      <c r="U40" s="880"/>
      <c r="V40" s="880"/>
      <c r="W40" s="880"/>
      <c r="X40" s="880"/>
      <c r="Y40" s="880"/>
      <c r="Z40" s="880"/>
      <c r="AA40" s="880"/>
      <c r="AB40" s="880"/>
      <c r="AC40" s="880"/>
    </row>
    <row r="41" spans="1:29" s="881" customFormat="1" ht="15.75" customHeight="1" x14ac:dyDescent="0.2">
      <c r="A41" s="905" t="str">
        <f>IF(C22="sugar cane","If sugar cane :","")</f>
        <v/>
      </c>
      <c r="B41" s="857"/>
      <c r="C41" s="851"/>
      <c r="D41" s="859"/>
      <c r="E41" s="833"/>
      <c r="F41" s="833"/>
      <c r="G41" s="877"/>
      <c r="H41" s="833"/>
      <c r="I41" s="879"/>
      <c r="J41" s="880"/>
      <c r="K41" s="880"/>
      <c r="L41" s="880"/>
      <c r="M41" s="880"/>
      <c r="N41" s="880"/>
      <c r="O41" s="880"/>
      <c r="P41" s="880"/>
      <c r="Q41" s="880"/>
      <c r="R41" s="880"/>
      <c r="S41" s="880"/>
      <c r="T41" s="880"/>
      <c r="U41" s="880"/>
      <c r="V41" s="880"/>
      <c r="W41" s="880"/>
      <c r="X41" s="880"/>
      <c r="Y41" s="880"/>
      <c r="Z41" s="880"/>
      <c r="AA41" s="880"/>
      <c r="AB41" s="880"/>
      <c r="AC41" s="880"/>
    </row>
    <row r="42" spans="1:29" s="881" customFormat="1" x14ac:dyDescent="0.2">
      <c r="A42" s="906"/>
      <c r="B42" s="857" t="str">
        <f>IF(C22="sugar cane","Amount of vignasse applied to the field :","")</f>
        <v/>
      </c>
      <c r="C42" s="907"/>
      <c r="D42" s="859" t="str">
        <f>IF(C22="sugar cane","kg of vignasse dm/kg sucar cane fm","")</f>
        <v/>
      </c>
      <c r="E42" s="833"/>
      <c r="F42" s="833"/>
      <c r="G42" s="834"/>
      <c r="H42" s="851" t="str">
        <f>IF(C$22="sugar cane", "default 0.94 from (7) ","")</f>
        <v/>
      </c>
      <c r="I42" s="879"/>
      <c r="J42" s="880"/>
      <c r="K42" s="880"/>
      <c r="L42" s="880"/>
      <c r="M42" s="880"/>
      <c r="N42" s="880"/>
      <c r="O42" s="880"/>
      <c r="P42" s="880"/>
      <c r="Q42" s="880"/>
      <c r="R42" s="880"/>
      <c r="S42" s="880"/>
      <c r="T42" s="880"/>
      <c r="U42" s="880"/>
      <c r="V42" s="880"/>
      <c r="W42" s="880"/>
      <c r="X42" s="880"/>
      <c r="Y42" s="880"/>
      <c r="Z42" s="880"/>
      <c r="AA42" s="880"/>
      <c r="AB42" s="880"/>
      <c r="AC42" s="880"/>
    </row>
    <row r="43" spans="1:29" s="881" customFormat="1" x14ac:dyDescent="0.2">
      <c r="A43" s="856"/>
      <c r="B43" s="857" t="str">
        <f>IF(C22="sugar cane","Amount of filter cake applied to the field:","")</f>
        <v/>
      </c>
      <c r="C43" s="910"/>
      <c r="D43" s="859" t="str">
        <f>IF(C22="sugar cane","kg of filter cake dm/kg sugar cane fm","")</f>
        <v/>
      </c>
      <c r="E43" s="877"/>
      <c r="F43" s="877"/>
      <c r="G43" s="877"/>
      <c r="H43" s="851" t="str">
        <f>IF(C$22="sugar cane", "default 0.01 from (7) ","")</f>
        <v/>
      </c>
      <c r="I43" s="879"/>
      <c r="J43" s="880"/>
      <c r="K43" s="880"/>
      <c r="L43" s="880"/>
      <c r="M43" s="880"/>
      <c r="N43" s="880"/>
      <c r="O43" s="880"/>
      <c r="P43" s="880"/>
      <c r="Q43" s="880"/>
      <c r="R43" s="880"/>
      <c r="S43" s="880"/>
      <c r="T43" s="880"/>
      <c r="U43" s="880"/>
      <c r="V43" s="880"/>
      <c r="W43" s="880"/>
      <c r="X43" s="880"/>
      <c r="Y43" s="880"/>
      <c r="Z43" s="880"/>
      <c r="AA43" s="880"/>
      <c r="AB43" s="880"/>
      <c r="AC43" s="880"/>
    </row>
    <row r="44" spans="1:29" s="881" customFormat="1" x14ac:dyDescent="0.2">
      <c r="A44" s="856"/>
      <c r="B44" s="857" t="str">
        <f>IF(C22="sugar cane","N content of vignasse applied to the field:","")</f>
        <v/>
      </c>
      <c r="C44" s="910"/>
      <c r="D44" s="859" t="str">
        <f>IF(C22="sugar cane","kg N / t vignasse","")</f>
        <v/>
      </c>
      <c r="E44" s="877"/>
      <c r="F44" s="877"/>
      <c r="G44" s="877"/>
      <c r="H44" s="851" t="str">
        <f>IF(C$22="sugar cane", "default 0.36 from (7) ","")</f>
        <v/>
      </c>
      <c r="I44" s="879"/>
      <c r="J44" s="880"/>
      <c r="K44" s="880"/>
      <c r="L44" s="880"/>
      <c r="M44" s="880"/>
      <c r="N44" s="880"/>
      <c r="O44" s="880"/>
      <c r="P44" s="880"/>
      <c r="Q44" s="880"/>
      <c r="R44" s="880"/>
      <c r="S44" s="880"/>
      <c r="T44" s="880"/>
      <c r="U44" s="880"/>
      <c r="V44" s="880"/>
      <c r="W44" s="880"/>
      <c r="X44" s="880"/>
      <c r="Y44" s="880"/>
      <c r="Z44" s="880"/>
      <c r="AA44" s="880"/>
      <c r="AB44" s="880"/>
      <c r="AC44" s="880"/>
    </row>
    <row r="45" spans="1:29" s="881" customFormat="1" x14ac:dyDescent="0.2">
      <c r="A45" s="856"/>
      <c r="B45" s="857" t="str">
        <f>IF(C$22="sugar cane","N content of filter cake applied to the field:","")</f>
        <v/>
      </c>
      <c r="C45" s="910"/>
      <c r="D45" s="859" t="str">
        <f>IF(C$22="sugar cane","kg N / t filter cake","")</f>
        <v/>
      </c>
      <c r="E45" s="877"/>
      <c r="F45" s="877"/>
      <c r="G45" s="877"/>
      <c r="H45" s="851" t="str">
        <f>IF(C$22="sugar cane", "default 12.5 from (7) ","")</f>
        <v/>
      </c>
      <c r="I45" s="879"/>
      <c r="J45" s="880"/>
      <c r="K45" s="880"/>
      <c r="L45" s="880"/>
      <c r="M45" s="880"/>
      <c r="N45" s="880"/>
      <c r="O45" s="880"/>
      <c r="P45" s="880"/>
      <c r="Q45" s="880"/>
      <c r="R45" s="880"/>
      <c r="S45" s="880"/>
      <c r="T45" s="880"/>
      <c r="U45" s="880"/>
      <c r="V45" s="880"/>
      <c r="W45" s="880"/>
      <c r="X45" s="880"/>
      <c r="Y45" s="880"/>
      <c r="Z45" s="880"/>
      <c r="AA45" s="880"/>
      <c r="AB45" s="880"/>
      <c r="AC45" s="880"/>
    </row>
    <row r="46" spans="1:29" s="881" customFormat="1" x14ac:dyDescent="0.2">
      <c r="A46" s="856"/>
      <c r="B46" s="857" t="str">
        <f>IF(C$22="sugar cane","Amount of trash","")</f>
        <v/>
      </c>
      <c r="C46" s="910"/>
      <c r="D46" s="859" t="str">
        <f>IF(C$22="sugar cane","kg trash/t sugar cane fm","")</f>
        <v/>
      </c>
      <c r="E46" s="911"/>
      <c r="F46" s="877"/>
      <c r="G46" s="877"/>
      <c r="H46" s="851" t="str">
        <f>IF(C$22="sugar cane", "default 100 from (8) ","")</f>
        <v/>
      </c>
      <c r="I46" s="879"/>
      <c r="J46" s="880"/>
      <c r="K46" s="880"/>
      <c r="L46" s="880"/>
      <c r="M46" s="880"/>
      <c r="N46" s="880"/>
      <c r="O46" s="880"/>
      <c r="P46" s="880"/>
      <c r="Q46" s="880"/>
      <c r="R46" s="880"/>
      <c r="S46" s="880"/>
      <c r="T46" s="880"/>
      <c r="U46" s="880"/>
      <c r="V46" s="880"/>
      <c r="W46" s="880"/>
      <c r="X46" s="880"/>
      <c r="Y46" s="880"/>
      <c r="Z46" s="880"/>
      <c r="AA46" s="880"/>
      <c r="AB46" s="880"/>
      <c r="AC46" s="880"/>
    </row>
    <row r="47" spans="1:29" s="881" customFormat="1" x14ac:dyDescent="0.2">
      <c r="A47" s="856"/>
      <c r="B47" s="857" t="str">
        <f>IF(C$22="sugar cane","Share of trash burned:","")</f>
        <v/>
      </c>
      <c r="C47" s="912"/>
      <c r="D47" s="859" t="str">
        <f>IF(C$22="sugar cane","%","")</f>
        <v/>
      </c>
      <c r="E47" s="911"/>
      <c r="F47" s="877"/>
      <c r="G47" s="877"/>
      <c r="H47" s="851" t="str">
        <f>IF(C$22="sugar cane", "default 100% from (8) ","")</f>
        <v/>
      </c>
      <c r="I47" s="879"/>
      <c r="J47" s="880"/>
      <c r="K47" s="880"/>
      <c r="L47" s="880"/>
      <c r="M47" s="880"/>
      <c r="N47" s="880"/>
      <c r="O47" s="880"/>
      <c r="P47" s="880"/>
      <c r="Q47" s="880"/>
      <c r="R47" s="880"/>
      <c r="S47" s="880"/>
      <c r="T47" s="880"/>
      <c r="U47" s="880"/>
      <c r="V47" s="880"/>
      <c r="W47" s="880"/>
      <c r="X47" s="880"/>
      <c r="Y47" s="880"/>
      <c r="Z47" s="880"/>
      <c r="AA47" s="880"/>
      <c r="AB47" s="880"/>
      <c r="AC47" s="880"/>
    </row>
    <row r="48" spans="1:29" s="881" customFormat="1" x14ac:dyDescent="0.2">
      <c r="A48" s="856"/>
      <c r="B48" s="857" t="str">
        <f>IF(C$22="sugar cane","Efficiency trash burning:","")</f>
        <v/>
      </c>
      <c r="C48" s="912"/>
      <c r="D48" s="859" t="str">
        <f>IF(C$22="sugar cane","%","")</f>
        <v/>
      </c>
      <c r="E48" s="911"/>
      <c r="F48" s="877"/>
      <c r="G48" s="877"/>
      <c r="H48" s="851" t="str">
        <f>IF(C$22="sugar cane", "default 100% from (8) ","")</f>
        <v/>
      </c>
      <c r="I48" s="879"/>
      <c r="J48" s="880"/>
      <c r="K48" s="880"/>
      <c r="L48" s="880"/>
      <c r="M48" s="880"/>
      <c r="N48" s="880"/>
      <c r="O48" s="880"/>
      <c r="P48" s="880"/>
      <c r="Q48" s="880"/>
      <c r="R48" s="880"/>
      <c r="S48" s="880"/>
      <c r="T48" s="880"/>
      <c r="U48" s="880"/>
      <c r="V48" s="880"/>
      <c r="W48" s="880"/>
      <c r="X48" s="880"/>
      <c r="Y48" s="880"/>
      <c r="Z48" s="880"/>
      <c r="AA48" s="880"/>
      <c r="AB48" s="880"/>
      <c r="AC48" s="880"/>
    </row>
    <row r="49" spans="1:34" s="881" customFormat="1" x14ac:dyDescent="0.2">
      <c r="A49" s="856"/>
      <c r="B49" s="857" t="str">
        <f>IF(C$22="sugar cane","C content of trash:","")</f>
        <v/>
      </c>
      <c r="C49" s="910"/>
      <c r="D49" s="859" t="str">
        <f>IF(C$22="sugar cane","kg C / kg trash","")</f>
        <v/>
      </c>
      <c r="E49" s="911"/>
      <c r="F49" s="877"/>
      <c r="G49" s="877"/>
      <c r="H49" s="851" t="str">
        <f>IF(C$22="sugar cane", "default 0.5 from (8) ","")</f>
        <v/>
      </c>
      <c r="I49" s="879"/>
      <c r="J49" s="880"/>
      <c r="K49" s="880"/>
      <c r="L49" s="880"/>
      <c r="M49" s="880"/>
      <c r="N49" s="880"/>
      <c r="O49" s="880"/>
      <c r="P49" s="880"/>
      <c r="Q49" s="880"/>
      <c r="R49" s="880"/>
      <c r="S49" s="880"/>
      <c r="T49" s="880"/>
      <c r="U49" s="880"/>
      <c r="V49" s="880"/>
      <c r="W49" s="880"/>
      <c r="X49" s="880"/>
      <c r="Y49" s="880"/>
      <c r="Z49" s="880"/>
      <c r="AA49" s="880"/>
      <c r="AB49" s="880"/>
      <c r="AC49" s="880"/>
    </row>
    <row r="50" spans="1:34" s="881" customFormat="1" x14ac:dyDescent="0.2">
      <c r="A50" s="856"/>
      <c r="B50" s="857" t="str">
        <f>IF(C$22="sugar cane","N/C ratio of trash:","")</f>
        <v/>
      </c>
      <c r="C50" s="908"/>
      <c r="D50" s="859"/>
      <c r="E50" s="911"/>
      <c r="F50" s="877"/>
      <c r="G50" s="877"/>
      <c r="H50" s="851" t="str">
        <f>IF(C$22="sugar cane", "default 0.015 from (8) ","")</f>
        <v/>
      </c>
      <c r="I50" s="879"/>
      <c r="J50" s="880"/>
      <c r="K50" s="880"/>
      <c r="L50" s="880"/>
      <c r="M50" s="880"/>
      <c r="N50" s="880"/>
      <c r="O50" s="880"/>
      <c r="P50" s="880"/>
      <c r="Q50" s="880"/>
      <c r="R50" s="880"/>
      <c r="S50" s="880"/>
      <c r="T50" s="880"/>
      <c r="U50" s="880"/>
      <c r="V50" s="880"/>
      <c r="W50" s="880"/>
      <c r="X50" s="880"/>
      <c r="Y50" s="880"/>
      <c r="Z50" s="880"/>
      <c r="AA50" s="880"/>
      <c r="AB50" s="880"/>
      <c r="AC50" s="880"/>
    </row>
    <row r="51" spans="1:34" s="881" customFormat="1" x14ac:dyDescent="0.2">
      <c r="A51" s="856"/>
      <c r="B51" s="857" t="str">
        <f>IF(C$22="sugar cane","N2O emission coefficient:","")</f>
        <v/>
      </c>
      <c r="C51" s="908"/>
      <c r="D51" s="859" t="str">
        <f>IF(C$22="sugar cane","kg N2O_N / kg N in the residue","")</f>
        <v/>
      </c>
      <c r="E51" s="911"/>
      <c r="F51" s="877"/>
      <c r="G51" s="877"/>
      <c r="H51" s="851" t="str">
        <f>IF(C$22="sugar cane", "default 0.007 from (8) ","")</f>
        <v/>
      </c>
      <c r="I51" s="879"/>
      <c r="J51" s="880"/>
      <c r="K51" s="880"/>
      <c r="L51" s="880"/>
      <c r="M51" s="880"/>
      <c r="N51" s="880"/>
      <c r="O51" s="880"/>
      <c r="P51" s="880"/>
      <c r="Q51" s="880"/>
      <c r="R51" s="880"/>
      <c r="S51" s="880"/>
      <c r="T51" s="880"/>
      <c r="U51" s="880"/>
      <c r="V51" s="880"/>
      <c r="W51" s="880"/>
      <c r="X51" s="880"/>
      <c r="Y51" s="880"/>
      <c r="Z51" s="880"/>
      <c r="AA51" s="880"/>
      <c r="AB51" s="880"/>
      <c r="AC51" s="880"/>
    </row>
    <row r="52" spans="1:34" s="639" customFormat="1" x14ac:dyDescent="0.2">
      <c r="A52" s="913"/>
      <c r="B52" s="914"/>
      <c r="C52" s="915"/>
      <c r="D52" s="916"/>
      <c r="E52" s="896"/>
      <c r="F52" s="896"/>
      <c r="G52" s="896"/>
      <c r="H52" s="896"/>
      <c r="I52" s="917"/>
      <c r="J52" s="868"/>
      <c r="K52" s="868"/>
      <c r="L52" s="868"/>
      <c r="M52" s="868"/>
      <c r="N52" s="868"/>
      <c r="O52" s="868"/>
      <c r="P52" s="868"/>
      <c r="Q52" s="868"/>
      <c r="R52" s="868"/>
      <c r="S52" s="868"/>
      <c r="T52" s="868"/>
      <c r="U52" s="868"/>
      <c r="V52" s="868"/>
      <c r="W52" s="868"/>
      <c r="X52" s="868"/>
      <c r="Y52" s="868"/>
      <c r="Z52" s="868"/>
      <c r="AA52" s="868"/>
      <c r="AB52" s="868"/>
      <c r="AC52" s="868"/>
    </row>
    <row r="53" spans="1:34" s="639" customFormat="1" ht="14.25" x14ac:dyDescent="0.2">
      <c r="A53" s="918"/>
      <c r="B53" s="918"/>
      <c r="C53" s="919"/>
      <c r="D53" s="868"/>
      <c r="E53" s="868"/>
      <c r="F53" s="868"/>
      <c r="G53" s="868"/>
      <c r="H53" s="868"/>
      <c r="I53" s="868"/>
      <c r="J53" s="868"/>
      <c r="K53" s="868"/>
      <c r="L53" s="868"/>
      <c r="M53" s="868"/>
      <c r="N53" s="868"/>
      <c r="O53" s="868"/>
      <c r="P53" s="868"/>
      <c r="Q53" s="868"/>
      <c r="R53" s="868"/>
      <c r="S53" s="868"/>
      <c r="T53" s="868"/>
      <c r="U53" s="868"/>
      <c r="V53" s="868"/>
      <c r="W53" s="868"/>
      <c r="X53" s="868"/>
      <c r="Y53" s="868"/>
      <c r="Z53" s="868"/>
      <c r="AA53" s="868"/>
      <c r="AB53" s="868"/>
      <c r="AC53" s="868"/>
    </row>
    <row r="54" spans="1:34" s="827" customFormat="1" ht="18.75" x14ac:dyDescent="0.2">
      <c r="A54" s="821" t="s">
        <v>25</v>
      </c>
      <c r="B54" s="822"/>
      <c r="C54" s="920" t="s">
        <v>26</v>
      </c>
      <c r="D54" s="920"/>
      <c r="E54" s="824"/>
      <c r="F54" s="823"/>
      <c r="G54" s="823"/>
      <c r="H54" s="823"/>
      <c r="I54" s="825"/>
      <c r="J54" s="826"/>
      <c r="K54" s="826"/>
      <c r="L54" s="826"/>
      <c r="M54" s="826"/>
      <c r="N54" s="826"/>
      <c r="O54" s="826"/>
      <c r="P54" s="826"/>
      <c r="Q54" s="826"/>
      <c r="R54" s="826"/>
      <c r="S54" s="826"/>
      <c r="T54" s="826"/>
      <c r="U54" s="826"/>
      <c r="V54" s="826"/>
      <c r="W54" s="826"/>
      <c r="X54" s="826"/>
      <c r="Y54" s="826"/>
      <c r="Z54" s="826"/>
      <c r="AA54" s="826"/>
      <c r="AB54" s="826"/>
      <c r="AC54" s="826"/>
    </row>
    <row r="55" spans="1:34" s="930" customFormat="1" ht="20.25" customHeight="1" x14ac:dyDescent="0.2">
      <c r="A55" s="921" t="s">
        <v>1019</v>
      </c>
      <c r="B55" s="829"/>
      <c r="C55" s="922"/>
      <c r="D55" s="922"/>
      <c r="E55" s="922"/>
      <c r="F55" s="922"/>
      <c r="G55" s="922"/>
      <c r="H55" s="922"/>
      <c r="I55" s="923"/>
      <c r="J55" s="924"/>
      <c r="K55" s="925" t="s">
        <v>612</v>
      </c>
      <c r="L55" s="926" t="s">
        <v>14</v>
      </c>
      <c r="M55" s="926"/>
      <c r="N55" s="840" t="s">
        <v>1136</v>
      </c>
      <c r="O55" s="868"/>
      <c r="P55" s="925" t="s">
        <v>613</v>
      </c>
      <c r="Q55" s="926" t="s">
        <v>15</v>
      </c>
      <c r="R55" s="926"/>
      <c r="S55" s="927" t="s">
        <v>1137</v>
      </c>
      <c r="T55" s="868"/>
      <c r="U55" s="928" t="s">
        <v>614</v>
      </c>
      <c r="V55" s="925" t="s">
        <v>1138</v>
      </c>
      <c r="W55" s="926" t="s">
        <v>1021</v>
      </c>
      <c r="X55" s="926" t="s">
        <v>1022</v>
      </c>
      <c r="Y55" s="926" t="s">
        <v>1139</v>
      </c>
      <c r="Z55" s="926" t="s">
        <v>282</v>
      </c>
      <c r="AA55" s="926" t="s">
        <v>1140</v>
      </c>
      <c r="AB55" s="926" t="s">
        <v>1141</v>
      </c>
      <c r="AC55" s="926" t="s">
        <v>1142</v>
      </c>
      <c r="AD55" s="926" t="s">
        <v>1143</v>
      </c>
      <c r="AE55" s="926" t="s">
        <v>1144</v>
      </c>
      <c r="AF55" s="926" t="s">
        <v>1023</v>
      </c>
      <c r="AG55" s="929" t="s">
        <v>600</v>
      </c>
    </row>
    <row r="56" spans="1:34" s="639" customFormat="1" ht="15.75" x14ac:dyDescent="0.2">
      <c r="A56" s="832" t="s">
        <v>275</v>
      </c>
      <c r="B56" s="931"/>
      <c r="C56" s="833"/>
      <c r="D56" s="833"/>
      <c r="E56" s="833"/>
      <c r="F56" s="833"/>
      <c r="G56" s="833"/>
      <c r="H56" s="833"/>
      <c r="I56" s="874"/>
      <c r="J56" s="868"/>
      <c r="K56" s="932" t="s">
        <v>1146</v>
      </c>
      <c r="L56" s="933" t="e">
        <f>VLOOKUP(C22,U56:AE67,5,FALSE)*1000</f>
        <v>#N/A</v>
      </c>
      <c r="M56" s="829" t="s">
        <v>821</v>
      </c>
      <c r="N56" s="903"/>
      <c r="O56" s="868"/>
      <c r="P56" s="932"/>
      <c r="Q56" s="934" t="s">
        <v>277</v>
      </c>
      <c r="R56" s="902" t="s">
        <v>1132</v>
      </c>
      <c r="S56" s="935" t="s">
        <v>1133</v>
      </c>
      <c r="T56" s="868"/>
      <c r="U56" s="932" t="s">
        <v>1098</v>
      </c>
      <c r="V56" s="936">
        <v>1.9E-2</v>
      </c>
      <c r="W56" s="937">
        <v>0.1</v>
      </c>
      <c r="X56" s="937">
        <v>1.06</v>
      </c>
      <c r="Y56" s="937">
        <f>W56*$C$25/1000+X56</f>
        <v>1.06</v>
      </c>
      <c r="Z56" s="937" t="e">
        <f>(Y56*1000+$C$25)/$C$25</f>
        <v>#DIV/0!</v>
      </c>
      <c r="AA56" s="937" t="e">
        <f>Y56*1000/$C$25</f>
        <v>#DIV/0!</v>
      </c>
      <c r="AB56" s="937">
        <v>0.2</v>
      </c>
      <c r="AC56" s="938">
        <v>1.4E-2</v>
      </c>
      <c r="AD56" s="937" t="e">
        <f>AB56*Z56</f>
        <v>#DIV/0!</v>
      </c>
      <c r="AE56" s="937" t="e">
        <f>AD56*$C$25/1000</f>
        <v>#DIV/0!</v>
      </c>
      <c r="AF56" s="937">
        <v>16.3</v>
      </c>
      <c r="AG56" s="939" t="s">
        <v>35</v>
      </c>
    </row>
    <row r="57" spans="1:34" s="639" customFormat="1" ht="15.75" x14ac:dyDescent="0.2">
      <c r="A57" s="806"/>
      <c r="B57" s="833"/>
      <c r="C57" s="833"/>
      <c r="D57" s="833"/>
      <c r="E57" s="833"/>
      <c r="F57" s="833"/>
      <c r="G57" s="833"/>
      <c r="H57" s="833"/>
      <c r="I57" s="940"/>
      <c r="K57" s="806" t="s">
        <v>1148</v>
      </c>
      <c r="L57" s="941">
        <v>1</v>
      </c>
      <c r="M57" s="833"/>
      <c r="N57" s="874"/>
      <c r="O57" s="868"/>
      <c r="P57" s="850" t="s">
        <v>11</v>
      </c>
      <c r="Q57" s="942">
        <v>15</v>
      </c>
      <c r="R57" s="851">
        <v>10</v>
      </c>
      <c r="S57" s="943">
        <v>30</v>
      </c>
      <c r="T57" s="868"/>
      <c r="U57" s="932" t="s">
        <v>1034</v>
      </c>
      <c r="V57" s="936">
        <v>6.0000000000000001E-3</v>
      </c>
      <c r="W57" s="937">
        <v>1.51</v>
      </c>
      <c r="X57" s="937">
        <v>0.52</v>
      </c>
      <c r="Y57" s="937">
        <f>W57*$C$25/1000+X57</f>
        <v>0.52</v>
      </c>
      <c r="Z57" s="937" t="e">
        <f>(Y57*1000+$C$25)/$C$25</f>
        <v>#DIV/0!</v>
      </c>
      <c r="AA57" s="937" t="e">
        <f>Y57*1000/$C$25</f>
        <v>#DIV/0!</v>
      </c>
      <c r="AB57" s="937">
        <v>0.24</v>
      </c>
      <c r="AC57" s="938">
        <v>8.9999999999999993E-3</v>
      </c>
      <c r="AD57" s="937" t="e">
        <f>AB57*Z57</f>
        <v>#DIV/0!</v>
      </c>
      <c r="AE57" s="937" t="e">
        <f>AD57*$C$25/1000</f>
        <v>#DIV/0!</v>
      </c>
      <c r="AF57" s="937">
        <v>17</v>
      </c>
      <c r="AG57" s="939" t="s">
        <v>35</v>
      </c>
    </row>
    <row r="58" spans="1:34" s="639" customFormat="1" ht="21" customHeight="1" x14ac:dyDescent="0.2">
      <c r="A58" s="806"/>
      <c r="B58" s="851" t="s">
        <v>1145</v>
      </c>
      <c r="C58" s="941"/>
      <c r="D58" s="833" t="s">
        <v>422</v>
      </c>
      <c r="E58" s="833" t="s">
        <v>1025</v>
      </c>
      <c r="F58" s="833"/>
      <c r="G58" s="833"/>
      <c r="H58" s="833"/>
      <c r="I58" s="940"/>
      <c r="K58" s="806" t="s">
        <v>1140</v>
      </c>
      <c r="L58" s="944" t="e">
        <f>VLOOKUP(C22,U56:AE67,7,FALSE)</f>
        <v>#N/A</v>
      </c>
      <c r="M58" s="833"/>
      <c r="N58" s="874"/>
      <c r="O58" s="868"/>
      <c r="P58" s="850" t="s">
        <v>12</v>
      </c>
      <c r="Q58" s="942">
        <v>10</v>
      </c>
      <c r="R58" s="851">
        <v>8</v>
      </c>
      <c r="S58" s="943">
        <v>15</v>
      </c>
      <c r="T58" s="868"/>
      <c r="U58" s="932" t="s">
        <v>535</v>
      </c>
      <c r="V58" s="936">
        <v>6.0000000000000001E-3</v>
      </c>
      <c r="W58" s="937">
        <v>1.03</v>
      </c>
      <c r="X58" s="937">
        <v>0.61</v>
      </c>
      <c r="Y58" s="937">
        <f>W58*$C$25/1000+X58</f>
        <v>0.61</v>
      </c>
      <c r="Z58" s="937" t="e">
        <f>(Y58*1000+$C$25)/$C$25</f>
        <v>#DIV/0!</v>
      </c>
      <c r="AA58" s="937" t="e">
        <f>Y58*1000/$C$25</f>
        <v>#DIV/0!</v>
      </c>
      <c r="AB58" s="937">
        <v>0.22</v>
      </c>
      <c r="AC58" s="938">
        <v>7.0000000000000001E-3</v>
      </c>
      <c r="AD58" s="937" t="e">
        <f>AB58*Z58</f>
        <v>#DIV/0!</v>
      </c>
      <c r="AE58" s="937" t="e">
        <f>AD58*$C$25/1000</f>
        <v>#DIV/0!</v>
      </c>
      <c r="AF58" s="937">
        <v>18.5</v>
      </c>
      <c r="AG58" s="939" t="s">
        <v>35</v>
      </c>
    </row>
    <row r="59" spans="1:34" s="639" customFormat="1" ht="15.75" x14ac:dyDescent="0.2">
      <c r="A59" s="806"/>
      <c r="B59" s="851" t="s">
        <v>1147</v>
      </c>
      <c r="C59" s="941"/>
      <c r="D59" s="833" t="s">
        <v>422</v>
      </c>
      <c r="E59" s="833" t="s">
        <v>1128</v>
      </c>
      <c r="F59" s="833"/>
      <c r="G59" s="833"/>
      <c r="H59" s="833"/>
      <c r="I59" s="940"/>
      <c r="K59" s="806" t="s">
        <v>1151</v>
      </c>
      <c r="L59" s="833" t="e">
        <f>VLOOKUP(C22,U56:V67,2,FALSE)</f>
        <v>#N/A</v>
      </c>
      <c r="M59" s="833"/>
      <c r="N59" s="874"/>
      <c r="O59" s="868"/>
      <c r="P59" s="806"/>
      <c r="Q59" s="833"/>
      <c r="R59" s="833"/>
      <c r="S59" s="874"/>
      <c r="T59" s="868"/>
      <c r="U59" s="932" t="s">
        <v>520</v>
      </c>
      <c r="V59" s="936" t="s">
        <v>964</v>
      </c>
      <c r="W59" s="937" t="s">
        <v>964</v>
      </c>
      <c r="X59" s="937" t="s">
        <v>964</v>
      </c>
      <c r="Y59" s="937" t="s">
        <v>964</v>
      </c>
      <c r="Z59" s="937" t="s">
        <v>964</v>
      </c>
      <c r="AA59" s="937" t="s">
        <v>964</v>
      </c>
      <c r="AB59" s="937" t="s">
        <v>964</v>
      </c>
      <c r="AC59" s="938" t="s">
        <v>964</v>
      </c>
      <c r="AD59" s="937" t="s">
        <v>964</v>
      </c>
      <c r="AE59" s="937" t="s">
        <v>964</v>
      </c>
      <c r="AF59" s="937">
        <v>19.600000000000001</v>
      </c>
      <c r="AG59" s="939" t="s">
        <v>35</v>
      </c>
    </row>
    <row r="60" spans="1:34" s="639" customFormat="1" ht="15.75" x14ac:dyDescent="0.3">
      <c r="A60" s="806"/>
      <c r="B60" s="851" t="s">
        <v>1149</v>
      </c>
      <c r="C60" s="942" t="e">
        <f>IF(C22="Sugar cane",(C42*C44+C43*C45)*C23/1000,IF(C22="palm",((C39*C40)*C23),L64))</f>
        <v>#N/A</v>
      </c>
      <c r="D60" s="833" t="s">
        <v>422</v>
      </c>
      <c r="E60" s="833" t="s">
        <v>1020</v>
      </c>
      <c r="F60" s="833"/>
      <c r="G60" s="833"/>
      <c r="H60" s="833"/>
      <c r="I60" s="940"/>
      <c r="K60" s="806" t="s">
        <v>1152</v>
      </c>
      <c r="L60" s="909" t="e">
        <f>C26/L58/C25</f>
        <v>#N/A</v>
      </c>
      <c r="M60" s="833"/>
      <c r="N60" s="874"/>
      <c r="O60" s="868"/>
      <c r="P60" s="945" t="s">
        <v>1150</v>
      </c>
      <c r="Q60" s="946">
        <f>IF(C31="arable to arable land",C32/Q58*1000,C32/Q57*1000)</f>
        <v>0</v>
      </c>
      <c r="R60" s="915" t="s">
        <v>1024</v>
      </c>
      <c r="S60" s="947" t="s">
        <v>616</v>
      </c>
      <c r="T60" s="868"/>
      <c r="U60" s="932" t="s">
        <v>512</v>
      </c>
      <c r="V60" s="936">
        <v>1.0999999999999999E-2</v>
      </c>
      <c r="W60" s="937">
        <v>1.5</v>
      </c>
      <c r="X60" s="937">
        <v>0</v>
      </c>
      <c r="Y60" s="937">
        <f>W60*$C$25/1000+X60</f>
        <v>0</v>
      </c>
      <c r="Z60" s="937" t="e">
        <f>(Y60*1000+$C$25)/$C$25</f>
        <v>#DIV/0!</v>
      </c>
      <c r="AA60" s="937" t="e">
        <f>Y60*1000/$C$25</f>
        <v>#DIV/0!</v>
      </c>
      <c r="AB60" s="937">
        <v>0.19</v>
      </c>
      <c r="AC60" s="938">
        <v>1.7000000000000001E-2</v>
      </c>
      <c r="AD60" s="937" t="e">
        <f>AB60*Z60</f>
        <v>#DIV/0!</v>
      </c>
      <c r="AE60" s="937" t="e">
        <f>AD60*$C$25/1000</f>
        <v>#DIV/0!</v>
      </c>
      <c r="AF60" s="937">
        <v>26.4</v>
      </c>
      <c r="AG60" s="939" t="s">
        <v>35</v>
      </c>
      <c r="AH60" s="948" t="s">
        <v>149</v>
      </c>
    </row>
    <row r="61" spans="1:34" s="639" customFormat="1" ht="15.75" x14ac:dyDescent="0.3">
      <c r="A61" s="806"/>
      <c r="B61" s="851" t="s">
        <v>1150</v>
      </c>
      <c r="C61" s="949">
        <f>Q60</f>
        <v>0</v>
      </c>
      <c r="D61" s="833" t="s">
        <v>422</v>
      </c>
      <c r="E61" s="833" t="s">
        <v>1129</v>
      </c>
      <c r="F61" s="833"/>
      <c r="G61" s="833"/>
      <c r="H61" s="833"/>
      <c r="I61" s="940"/>
      <c r="K61" s="806" t="s">
        <v>1143</v>
      </c>
      <c r="L61" s="950" t="e">
        <f>VLOOKUP(C22,U56:AE67,10,FALSE)</f>
        <v>#N/A</v>
      </c>
      <c r="M61" s="833"/>
      <c r="N61" s="874"/>
      <c r="O61" s="868"/>
      <c r="P61" s="951" t="s">
        <v>276</v>
      </c>
      <c r="Q61" s="952"/>
      <c r="R61" s="952"/>
      <c r="S61" s="953"/>
      <c r="T61" s="868"/>
      <c r="U61" s="932" t="s">
        <v>701</v>
      </c>
      <c r="V61" s="936">
        <v>7.0000000000000001E-3</v>
      </c>
      <c r="W61" s="937">
        <v>2.1</v>
      </c>
      <c r="X61" s="937">
        <v>0</v>
      </c>
      <c r="Y61" s="937">
        <f>W61*$C$25/1000+X61</f>
        <v>0</v>
      </c>
      <c r="Z61" s="937" t="e">
        <f>(Y61*1000+$C$25)/$C$25</f>
        <v>#DIV/0!</v>
      </c>
      <c r="AA61" s="937" t="e">
        <f>Y61*1000/$C$25</f>
        <v>#DIV/0!</v>
      </c>
      <c r="AB61" s="937">
        <v>0.22</v>
      </c>
      <c r="AC61" s="938">
        <v>7.0000000000000001E-3</v>
      </c>
      <c r="AD61" s="937" t="e">
        <f>AB61*Z61</f>
        <v>#DIV/0!</v>
      </c>
      <c r="AE61" s="937" t="e">
        <f>AD61*$C$25/1000</f>
        <v>#DIV/0!</v>
      </c>
      <c r="AF61" s="937">
        <v>26.4</v>
      </c>
      <c r="AG61" s="939" t="s">
        <v>35</v>
      </c>
      <c r="AH61" s="954" t="s">
        <v>148</v>
      </c>
    </row>
    <row r="62" spans="1:34" s="639" customFormat="1" ht="15.75" x14ac:dyDescent="0.2">
      <c r="A62" s="955"/>
      <c r="B62" s="499"/>
      <c r="C62" s="499"/>
      <c r="D62" s="499"/>
      <c r="E62" s="499"/>
      <c r="F62" s="499"/>
      <c r="G62" s="499"/>
      <c r="H62" s="499"/>
      <c r="I62" s="940"/>
      <c r="K62" s="806" t="s">
        <v>1153</v>
      </c>
      <c r="L62" s="944" t="e">
        <f>VLOOKUP(C22,U56:AE67,9,FALSE)</f>
        <v>#N/A</v>
      </c>
      <c r="M62" s="833"/>
      <c r="N62" s="874"/>
      <c r="O62" s="868"/>
      <c r="P62" s="868"/>
      <c r="Q62" s="868"/>
      <c r="R62" s="919"/>
      <c r="S62" s="868"/>
      <c r="T62" s="868"/>
      <c r="U62" s="932" t="s">
        <v>1041</v>
      </c>
      <c r="V62" s="936">
        <v>8.0000000000000002E-3</v>
      </c>
      <c r="W62" s="937">
        <v>0.93</v>
      </c>
      <c r="X62" s="937">
        <v>1.35</v>
      </c>
      <c r="Y62" s="937">
        <f>W62*$C$25/1000+X62</f>
        <v>1.35</v>
      </c>
      <c r="Z62" s="937" t="e">
        <f>(Y62*1000+$C$25)/$C$25</f>
        <v>#DIV/0!</v>
      </c>
      <c r="AA62" s="937" t="e">
        <f>Y62*1000/$C$25</f>
        <v>#DIV/0!</v>
      </c>
      <c r="AB62" s="937">
        <v>0.19</v>
      </c>
      <c r="AC62" s="938">
        <v>8.0000000000000002E-3</v>
      </c>
      <c r="AD62" s="937" t="e">
        <f>AB62*Z62</f>
        <v>#DIV/0!</v>
      </c>
      <c r="AE62" s="937" t="e">
        <f>AD62*$C$25/1000</f>
        <v>#DIV/0!</v>
      </c>
      <c r="AF62" s="937">
        <v>23.529411764705884</v>
      </c>
      <c r="AG62" s="939" t="s">
        <v>35</v>
      </c>
    </row>
    <row r="63" spans="1:34" s="639" customFormat="1" ht="15.75" x14ac:dyDescent="0.2">
      <c r="A63" s="806"/>
      <c r="B63" s="499"/>
      <c r="C63" s="956" t="s">
        <v>277</v>
      </c>
      <c r="D63" s="957" t="s">
        <v>1132</v>
      </c>
      <c r="E63" s="958" t="s">
        <v>1133</v>
      </c>
      <c r="F63" s="851"/>
      <c r="G63" s="959"/>
      <c r="H63" s="959"/>
      <c r="I63" s="940"/>
      <c r="K63" s="806" t="s">
        <v>1141</v>
      </c>
      <c r="L63" s="944" t="e">
        <f>VLOOKUP(C22,U56:AE67,8,FALSE)</f>
        <v>#N/A</v>
      </c>
      <c r="M63" s="833"/>
      <c r="N63" s="874"/>
      <c r="O63" s="868"/>
      <c r="P63" s="868"/>
      <c r="Q63" s="868"/>
      <c r="R63" s="919"/>
      <c r="S63" s="868"/>
      <c r="T63" s="868"/>
      <c r="U63" s="960" t="s">
        <v>1014</v>
      </c>
      <c r="V63" s="936" t="s">
        <v>964</v>
      </c>
      <c r="W63" s="937" t="s">
        <v>964</v>
      </c>
      <c r="X63" s="937" t="s">
        <v>964</v>
      </c>
      <c r="Y63" s="937" t="s">
        <v>964</v>
      </c>
      <c r="Z63" s="937" t="s">
        <v>964</v>
      </c>
      <c r="AA63" s="937" t="s">
        <v>964</v>
      </c>
      <c r="AB63" s="937" t="s">
        <v>964</v>
      </c>
      <c r="AC63" s="938" t="s">
        <v>964</v>
      </c>
      <c r="AD63" s="937" t="s">
        <v>964</v>
      </c>
      <c r="AE63" s="937" t="s">
        <v>964</v>
      </c>
      <c r="AF63" s="961">
        <v>24</v>
      </c>
      <c r="AG63" s="939" t="s">
        <v>35</v>
      </c>
    </row>
    <row r="64" spans="1:34" s="639" customFormat="1" ht="14.25" x14ac:dyDescent="0.2">
      <c r="A64" s="962" t="s">
        <v>589</v>
      </c>
      <c r="B64" s="963" t="s">
        <v>16</v>
      </c>
      <c r="C64" s="964">
        <v>0.01</v>
      </c>
      <c r="D64" s="965">
        <v>3.0000000000000001E-3</v>
      </c>
      <c r="E64" s="966">
        <v>0.03</v>
      </c>
      <c r="F64" s="851"/>
      <c r="G64" s="851"/>
      <c r="H64" s="851"/>
      <c r="I64" s="940"/>
      <c r="K64" s="967" t="s">
        <v>1136</v>
      </c>
      <c r="L64" s="909" t="e">
        <f>C25*L57*(L58*L59*(1-L60)+L61*L62)</f>
        <v>#N/A</v>
      </c>
      <c r="M64" s="833" t="s">
        <v>422</v>
      </c>
      <c r="N64" s="968" t="s">
        <v>1130</v>
      </c>
      <c r="O64" s="868"/>
      <c r="P64" s="868"/>
      <c r="Q64" s="868"/>
      <c r="R64" s="919"/>
      <c r="S64" s="868"/>
      <c r="T64" s="868"/>
      <c r="U64" s="969" t="s">
        <v>601</v>
      </c>
      <c r="V64" s="936"/>
      <c r="W64" s="937"/>
      <c r="X64" s="937"/>
      <c r="Y64" s="937"/>
      <c r="Z64" s="937"/>
      <c r="AA64" s="937"/>
      <c r="AB64" s="937"/>
      <c r="AC64" s="938"/>
      <c r="AD64" s="937"/>
      <c r="AE64" s="937"/>
      <c r="AF64" s="937"/>
      <c r="AG64" s="939"/>
    </row>
    <row r="65" spans="1:33" s="639" customFormat="1" x14ac:dyDescent="0.2">
      <c r="A65" s="955"/>
      <c r="B65" s="499"/>
      <c r="C65" s="499"/>
      <c r="D65" s="499"/>
      <c r="E65" s="499"/>
      <c r="F65" s="499"/>
      <c r="G65" s="499"/>
      <c r="H65" s="499"/>
      <c r="I65" s="940"/>
      <c r="K65" s="970"/>
      <c r="L65" s="971" t="e">
        <f>L56*L57*(L59*(1-L60)+L63*L62)</f>
        <v>#N/A</v>
      </c>
      <c r="M65" s="896" t="s">
        <v>422</v>
      </c>
      <c r="N65" s="947" t="s">
        <v>1131</v>
      </c>
      <c r="O65" s="868"/>
      <c r="P65" s="868"/>
      <c r="Q65" s="868"/>
      <c r="R65" s="868"/>
      <c r="S65" s="868"/>
      <c r="T65" s="868"/>
      <c r="U65" s="969" t="s">
        <v>604</v>
      </c>
      <c r="V65" s="972"/>
      <c r="W65" s="973"/>
      <c r="X65" s="973"/>
      <c r="Y65" s="973"/>
      <c r="Z65" s="973"/>
      <c r="AA65" s="973"/>
      <c r="AB65" s="973"/>
      <c r="AC65" s="974"/>
      <c r="AD65" s="973"/>
      <c r="AE65" s="973"/>
      <c r="AF65" s="973"/>
      <c r="AG65" s="975"/>
    </row>
    <row r="66" spans="1:33" s="639" customFormat="1" ht="15.75" x14ac:dyDescent="0.2">
      <c r="A66" s="955"/>
      <c r="B66" s="499"/>
      <c r="C66" s="1397" t="s">
        <v>423</v>
      </c>
      <c r="D66" s="1400"/>
      <c r="E66" s="1401"/>
      <c r="F66" s="1397" t="s">
        <v>424</v>
      </c>
      <c r="G66" s="1400"/>
      <c r="H66" s="1401"/>
      <c r="I66" s="940"/>
      <c r="K66" s="951" t="s">
        <v>276</v>
      </c>
      <c r="L66" s="952"/>
      <c r="M66" s="952"/>
      <c r="N66" s="953"/>
      <c r="U66" s="969" t="s">
        <v>605</v>
      </c>
      <c r="V66" s="972"/>
      <c r="W66" s="973"/>
      <c r="X66" s="973"/>
      <c r="Y66" s="973"/>
      <c r="Z66" s="973"/>
      <c r="AA66" s="973"/>
      <c r="AB66" s="973"/>
      <c r="AC66" s="974"/>
      <c r="AD66" s="973"/>
      <c r="AE66" s="973"/>
      <c r="AF66" s="973"/>
      <c r="AG66" s="975"/>
    </row>
    <row r="67" spans="1:33" s="639" customFormat="1" x14ac:dyDescent="0.2">
      <c r="A67" s="955"/>
      <c r="B67" s="499"/>
      <c r="C67" s="977" t="s">
        <v>277</v>
      </c>
      <c r="D67" s="957" t="s">
        <v>1132</v>
      </c>
      <c r="E67" s="958" t="s">
        <v>1133</v>
      </c>
      <c r="F67" s="977" t="s">
        <v>277</v>
      </c>
      <c r="G67" s="957" t="s">
        <v>1132</v>
      </c>
      <c r="H67" s="958" t="s">
        <v>1133</v>
      </c>
      <c r="I67" s="940"/>
      <c r="K67" s="978"/>
      <c r="L67" s="979"/>
      <c r="M67" s="979"/>
      <c r="N67" s="979"/>
      <c r="U67" s="969" t="s">
        <v>606</v>
      </c>
      <c r="V67" s="972"/>
      <c r="W67" s="973"/>
      <c r="X67" s="973"/>
      <c r="Y67" s="973"/>
      <c r="Z67" s="973"/>
      <c r="AA67" s="973"/>
      <c r="AB67" s="973"/>
      <c r="AC67" s="974"/>
      <c r="AD67" s="973"/>
      <c r="AE67" s="973"/>
      <c r="AF67" s="973"/>
      <c r="AG67" s="975"/>
    </row>
    <row r="68" spans="1:33" s="639" customFormat="1" ht="15" customHeight="1" x14ac:dyDescent="0.2">
      <c r="A68" s="850" t="s">
        <v>789</v>
      </c>
      <c r="B68" s="980" t="s">
        <v>1154</v>
      </c>
      <c r="C68" s="981" t="e">
        <f>SUM(C58:C61)*C64</f>
        <v>#N/A</v>
      </c>
      <c r="D68" s="982" t="e">
        <f>SUM(C58:C61)*D64</f>
        <v>#N/A</v>
      </c>
      <c r="E68" s="983" t="e">
        <f>SUM(C58:C61)*E64</f>
        <v>#N/A</v>
      </c>
      <c r="F68" s="984" t="e">
        <f>C68*44/28</f>
        <v>#N/A</v>
      </c>
      <c r="G68" s="982" t="e">
        <f>D68*44/28</f>
        <v>#N/A</v>
      </c>
      <c r="H68" s="983" t="e">
        <f>E68*44/28</f>
        <v>#N/A</v>
      </c>
      <c r="I68" s="968" t="s">
        <v>93</v>
      </c>
      <c r="J68" s="985"/>
      <c r="K68" s="919"/>
      <c r="L68" s="919"/>
      <c r="M68" s="868"/>
      <c r="N68" s="868"/>
      <c r="O68" s="868"/>
      <c r="P68" s="868"/>
      <c r="Q68" s="868"/>
      <c r="R68" s="868"/>
      <c r="S68" s="868"/>
      <c r="T68" s="868"/>
      <c r="U68" s="868"/>
      <c r="V68" s="868"/>
      <c r="W68" s="868"/>
      <c r="X68" s="868"/>
      <c r="Y68" s="868"/>
      <c r="Z68" s="868"/>
      <c r="AA68" s="868"/>
      <c r="AB68" s="868"/>
      <c r="AC68" s="868"/>
    </row>
    <row r="69" spans="1:33" s="639" customFormat="1" ht="14.25" x14ac:dyDescent="0.2">
      <c r="A69" s="806"/>
      <c r="B69" s="833"/>
      <c r="C69" s="950"/>
      <c r="D69" s="833"/>
      <c r="E69" s="833"/>
      <c r="F69" s="950"/>
      <c r="G69" s="833"/>
      <c r="H69" s="833"/>
      <c r="I69" s="874"/>
      <c r="J69" s="868"/>
      <c r="K69" s="868"/>
      <c r="L69" s="868"/>
      <c r="M69" s="868"/>
      <c r="N69" s="868"/>
      <c r="O69" s="868"/>
      <c r="P69" s="868"/>
      <c r="Q69" s="868"/>
      <c r="R69" s="868"/>
      <c r="S69" s="868"/>
      <c r="T69" s="868"/>
      <c r="U69" s="928" t="s">
        <v>28</v>
      </c>
      <c r="V69" s="838" t="s">
        <v>29</v>
      </c>
      <c r="W69" s="926"/>
      <c r="X69" s="926"/>
      <c r="Y69" s="926"/>
      <c r="Z69" s="926" t="s">
        <v>73</v>
      </c>
      <c r="AA69" s="926"/>
      <c r="AB69" s="926"/>
      <c r="AC69" s="926"/>
      <c r="AD69" s="926"/>
      <c r="AE69" s="926"/>
      <c r="AF69" s="926"/>
      <c r="AG69" s="840"/>
    </row>
    <row r="70" spans="1:33" s="639" customFormat="1" ht="15.75" x14ac:dyDescent="0.2">
      <c r="A70" s="832" t="s">
        <v>278</v>
      </c>
      <c r="B70" s="931"/>
      <c r="C70" s="833" t="s">
        <v>788</v>
      </c>
      <c r="D70" s="833"/>
      <c r="E70" s="833"/>
      <c r="F70" s="833"/>
      <c r="G70" s="833"/>
      <c r="H70" s="833"/>
      <c r="I70" s="874"/>
      <c r="J70" s="868"/>
      <c r="K70" s="868"/>
      <c r="L70" s="868"/>
      <c r="M70" s="868"/>
      <c r="N70" s="868"/>
      <c r="O70" s="868"/>
      <c r="P70" s="868"/>
      <c r="Q70" s="868"/>
      <c r="R70" s="868"/>
      <c r="S70" s="868"/>
      <c r="T70" s="868"/>
      <c r="U70" s="925" t="s">
        <v>86</v>
      </c>
      <c r="V70" s="986" t="s">
        <v>87</v>
      </c>
      <c r="W70" s="987"/>
      <c r="X70" s="987"/>
      <c r="Y70" s="839" t="s">
        <v>38</v>
      </c>
      <c r="Z70" s="1411" t="s">
        <v>83</v>
      </c>
      <c r="AA70" s="1411"/>
      <c r="AB70" s="1411"/>
      <c r="AC70" s="988"/>
      <c r="AD70" s="987"/>
      <c r="AE70" s="987"/>
      <c r="AF70" s="987"/>
      <c r="AG70" s="989"/>
    </row>
    <row r="71" spans="1:33" s="639" customFormat="1" ht="15" customHeight="1" x14ac:dyDescent="0.2">
      <c r="A71" s="967"/>
      <c r="B71" s="931"/>
      <c r="C71" s="1397" t="s">
        <v>423</v>
      </c>
      <c r="D71" s="1400"/>
      <c r="E71" s="1401"/>
      <c r="F71" s="1397" t="s">
        <v>424</v>
      </c>
      <c r="G71" s="1400"/>
      <c r="H71" s="1401"/>
      <c r="I71" s="874"/>
      <c r="J71" s="868"/>
      <c r="K71" s="868"/>
      <c r="L71" s="868"/>
      <c r="M71" s="868"/>
      <c r="N71" s="868"/>
      <c r="O71" s="868"/>
      <c r="P71" s="868"/>
      <c r="Q71" s="868"/>
      <c r="R71" s="868"/>
      <c r="S71" s="868"/>
      <c r="T71" s="868"/>
      <c r="U71" s="990" t="s">
        <v>32</v>
      </c>
      <c r="V71" s="991" t="s">
        <v>34</v>
      </c>
      <c r="W71" s="992"/>
      <c r="X71" s="992"/>
      <c r="Y71" s="993"/>
      <c r="Z71" s="994" t="s">
        <v>84</v>
      </c>
      <c r="AA71" s="992"/>
      <c r="AB71" s="992"/>
      <c r="AC71" s="995"/>
      <c r="AD71" s="992"/>
      <c r="AE71" s="992"/>
      <c r="AF71" s="992"/>
      <c r="AG71" s="996"/>
    </row>
    <row r="72" spans="1:33" s="639" customFormat="1" ht="17.25" customHeight="1" x14ac:dyDescent="0.2">
      <c r="A72" s="806" t="str">
        <f>IF(C22="sugar cane", "N2O from trash burning","")</f>
        <v/>
      </c>
      <c r="B72" s="833"/>
      <c r="C72" s="997" t="str">
        <f>IF(C22="sugar cane",C46*C47*C48*C49*C50*C51*C23/1000,"")</f>
        <v/>
      </c>
      <c r="D72" s="998"/>
      <c r="E72" s="998"/>
      <c r="F72" s="984" t="str">
        <f>IF(C22="sugar cane", C72*44/28,"")</f>
        <v/>
      </c>
      <c r="G72" s="998"/>
      <c r="H72" s="999"/>
      <c r="I72" s="943"/>
      <c r="J72" s="868"/>
      <c r="K72" s="868"/>
      <c r="L72" s="868"/>
      <c r="M72" s="868"/>
      <c r="N72" s="868"/>
      <c r="O72" s="868"/>
      <c r="P72" s="868"/>
      <c r="Q72" s="868"/>
      <c r="R72" s="868"/>
      <c r="S72" s="868"/>
      <c r="T72" s="868"/>
      <c r="U72" s="990" t="s">
        <v>32</v>
      </c>
      <c r="V72" s="991" t="s">
        <v>34</v>
      </c>
      <c r="W72" s="992"/>
      <c r="X72" s="992"/>
      <c r="Y72" s="993" t="s">
        <v>74</v>
      </c>
      <c r="Z72" s="994" t="s">
        <v>79</v>
      </c>
      <c r="AA72" s="992"/>
      <c r="AB72" s="992"/>
      <c r="AC72" s="995"/>
      <c r="AD72" s="992"/>
      <c r="AE72" s="992"/>
      <c r="AF72" s="992"/>
      <c r="AG72" s="996"/>
    </row>
    <row r="73" spans="1:33" s="639" customFormat="1" ht="15.75" customHeight="1" x14ac:dyDescent="0.2">
      <c r="A73" s="832" t="s">
        <v>279</v>
      </c>
      <c r="B73" s="833"/>
      <c r="C73" s="833"/>
      <c r="D73" s="833"/>
      <c r="E73" s="833"/>
      <c r="F73" s="950"/>
      <c r="G73" s="833"/>
      <c r="H73" s="833"/>
      <c r="I73" s="874"/>
      <c r="J73" s="868"/>
      <c r="K73" s="868"/>
      <c r="L73" s="868"/>
      <c r="M73" s="868"/>
      <c r="N73" s="868"/>
      <c r="O73" s="868"/>
      <c r="P73" s="868"/>
      <c r="Q73" s="868"/>
      <c r="R73" s="868"/>
      <c r="S73" s="868"/>
      <c r="T73" s="868"/>
      <c r="U73" s="990" t="s">
        <v>33</v>
      </c>
      <c r="V73" s="1404" t="s">
        <v>39</v>
      </c>
      <c r="W73" s="1404"/>
      <c r="X73" s="1404"/>
      <c r="Y73" s="993" t="s">
        <v>75</v>
      </c>
      <c r="Z73" s="994" t="s">
        <v>81</v>
      </c>
      <c r="AA73" s="992"/>
      <c r="AB73" s="992"/>
      <c r="AC73" s="995"/>
      <c r="AD73" s="992"/>
      <c r="AE73" s="992"/>
      <c r="AF73" s="992"/>
      <c r="AG73" s="996"/>
    </row>
    <row r="74" spans="1:33" s="639" customFormat="1" ht="20.25" customHeight="1" x14ac:dyDescent="0.2">
      <c r="A74" s="832"/>
      <c r="B74" s="833"/>
      <c r="C74" s="1397" t="s">
        <v>423</v>
      </c>
      <c r="D74" s="1400"/>
      <c r="E74" s="1401"/>
      <c r="F74" s="1397" t="s">
        <v>424</v>
      </c>
      <c r="G74" s="1400"/>
      <c r="H74" s="1401"/>
      <c r="I74" s="874"/>
      <c r="J74" s="868"/>
      <c r="K74" s="868"/>
      <c r="L74" s="868"/>
      <c r="M74" s="868"/>
      <c r="N74" s="868"/>
      <c r="O74" s="868"/>
      <c r="P74" s="868"/>
      <c r="Q74" s="868"/>
      <c r="R74" s="868"/>
      <c r="S74" s="868"/>
      <c r="T74" s="868"/>
      <c r="U74" s="990" t="s">
        <v>1022</v>
      </c>
      <c r="V74" s="1404" t="s">
        <v>40</v>
      </c>
      <c r="W74" s="1404"/>
      <c r="X74" s="1404"/>
      <c r="Y74" s="993" t="s">
        <v>76</v>
      </c>
      <c r="Z74" s="994" t="s">
        <v>82</v>
      </c>
      <c r="AA74" s="992"/>
      <c r="AB74" s="992"/>
      <c r="AC74" s="995"/>
      <c r="AD74" s="992"/>
      <c r="AE74" s="992"/>
      <c r="AF74" s="992"/>
      <c r="AG74" s="996"/>
    </row>
    <row r="75" spans="1:33" s="639" customFormat="1" ht="14.25" x14ac:dyDescent="0.2">
      <c r="A75" s="832"/>
      <c r="B75" s="833"/>
      <c r="C75" s="977" t="s">
        <v>277</v>
      </c>
      <c r="D75" s="957" t="s">
        <v>1132</v>
      </c>
      <c r="E75" s="958" t="s">
        <v>1133</v>
      </c>
      <c r="F75" s="977" t="s">
        <v>277</v>
      </c>
      <c r="G75" s="957" t="s">
        <v>1132</v>
      </c>
      <c r="H75" s="958" t="s">
        <v>1133</v>
      </c>
      <c r="I75" s="874"/>
      <c r="J75" s="868"/>
      <c r="K75" s="868"/>
      <c r="L75" s="868"/>
      <c r="M75" s="868"/>
      <c r="N75" s="868"/>
      <c r="O75" s="868"/>
      <c r="P75" s="868"/>
      <c r="Q75" s="868"/>
      <c r="R75" s="868"/>
      <c r="S75" s="868"/>
      <c r="T75" s="868"/>
      <c r="U75" s="990" t="s">
        <v>36</v>
      </c>
      <c r="V75" s="991" t="s">
        <v>85</v>
      </c>
      <c r="W75" s="992"/>
      <c r="X75" s="992"/>
      <c r="Y75" s="993" t="s">
        <v>77</v>
      </c>
      <c r="Z75" s="994" t="s">
        <v>78</v>
      </c>
      <c r="AA75" s="992"/>
      <c r="AB75" s="992"/>
      <c r="AC75" s="1000" t="s">
        <v>88</v>
      </c>
      <c r="AD75" s="992"/>
      <c r="AE75" s="992"/>
      <c r="AF75" s="992"/>
      <c r="AG75" s="996"/>
    </row>
    <row r="76" spans="1:33" s="639" customFormat="1" ht="21.75" customHeight="1" x14ac:dyDescent="0.2">
      <c r="A76" s="1001" t="s">
        <v>607</v>
      </c>
      <c r="B76" s="833"/>
      <c r="C76" s="1002" t="e">
        <f t="shared" ref="C76:H76" si="0">IF($C$22="Sugar cane",SUM(C68,C72),C68)</f>
        <v>#N/A</v>
      </c>
      <c r="D76" s="1003" t="e">
        <f t="shared" si="0"/>
        <v>#N/A</v>
      </c>
      <c r="E76" s="1003" t="e">
        <f t="shared" si="0"/>
        <v>#N/A</v>
      </c>
      <c r="F76" s="1002" t="e">
        <f t="shared" si="0"/>
        <v>#N/A</v>
      </c>
      <c r="G76" s="1003" t="e">
        <f t="shared" si="0"/>
        <v>#N/A</v>
      </c>
      <c r="H76" s="1004" t="e">
        <f t="shared" si="0"/>
        <v>#N/A</v>
      </c>
      <c r="I76" s="874"/>
      <c r="J76" s="868"/>
      <c r="K76" s="868"/>
      <c r="L76" s="868"/>
      <c r="M76" s="868"/>
      <c r="N76" s="868"/>
      <c r="O76" s="868"/>
      <c r="P76" s="868"/>
      <c r="Q76" s="868"/>
      <c r="R76" s="868"/>
      <c r="S76" s="868"/>
      <c r="T76" s="868"/>
      <c r="U76" s="1005" t="s">
        <v>37</v>
      </c>
      <c r="V76" s="1006" t="s">
        <v>80</v>
      </c>
      <c r="W76" s="1007"/>
      <c r="X76" s="1007"/>
      <c r="Y76" s="1007"/>
      <c r="Z76" s="1008"/>
      <c r="AA76" s="1007"/>
      <c r="AB76" s="1007"/>
      <c r="AC76" s="1009"/>
      <c r="AD76" s="1007"/>
      <c r="AE76" s="1007"/>
      <c r="AF76" s="1007"/>
      <c r="AG76" s="1010"/>
    </row>
    <row r="77" spans="1:33" s="639" customFormat="1" x14ac:dyDescent="0.2">
      <c r="A77" s="1011"/>
      <c r="B77" s="896"/>
      <c r="C77" s="896"/>
      <c r="D77" s="896"/>
      <c r="E77" s="896"/>
      <c r="F77" s="896"/>
      <c r="G77" s="896"/>
      <c r="H77" s="896"/>
      <c r="I77" s="917"/>
      <c r="J77" s="868"/>
      <c r="K77" s="868"/>
      <c r="L77" s="868"/>
      <c r="M77" s="868"/>
      <c r="N77" s="868"/>
      <c r="O77" s="868"/>
      <c r="P77" s="868"/>
      <c r="Q77" s="868"/>
      <c r="R77" s="868"/>
      <c r="S77" s="868"/>
      <c r="T77" s="868"/>
      <c r="U77" s="868"/>
      <c r="V77" s="868"/>
      <c r="W77" s="868"/>
      <c r="X77" s="868"/>
      <c r="Y77" s="868"/>
      <c r="Z77" s="868"/>
      <c r="AA77" s="868"/>
      <c r="AB77" s="868"/>
      <c r="AC77" s="868"/>
    </row>
    <row r="78" spans="1:33" s="639" customFormat="1" ht="21" customHeight="1" x14ac:dyDescent="0.2">
      <c r="A78" s="868"/>
      <c r="B78" s="868"/>
      <c r="C78" s="1012"/>
      <c r="D78" s="868"/>
      <c r="E78" s="868"/>
      <c r="F78" s="1012"/>
      <c r="G78" s="868"/>
      <c r="H78" s="868"/>
      <c r="I78" s="868"/>
      <c r="J78" s="868"/>
      <c r="W78" s="868"/>
      <c r="X78" s="868"/>
      <c r="Y78" s="868"/>
      <c r="Z78" s="868"/>
      <c r="AA78" s="868"/>
      <c r="AB78" s="868"/>
      <c r="AC78" s="868"/>
    </row>
    <row r="79" spans="1:33" s="639" customFormat="1" ht="18.75" x14ac:dyDescent="0.2">
      <c r="A79" s="821" t="s">
        <v>608</v>
      </c>
      <c r="B79" s="822"/>
      <c r="C79" s="920" t="s">
        <v>27</v>
      </c>
      <c r="D79" s="823"/>
      <c r="E79" s="824"/>
      <c r="F79" s="823"/>
      <c r="G79" s="823"/>
      <c r="H79" s="823"/>
      <c r="I79" s="825"/>
      <c r="J79" s="868"/>
      <c r="K79" s="925" t="s">
        <v>21</v>
      </c>
      <c r="L79" s="1013" t="s">
        <v>20</v>
      </c>
      <c r="M79" s="1014"/>
      <c r="N79" s="1014" t="s">
        <v>1155</v>
      </c>
      <c r="O79" s="1015" t="s">
        <v>91</v>
      </c>
      <c r="P79" s="868"/>
      <c r="Q79" s="925" t="s">
        <v>23</v>
      </c>
      <c r="R79" s="1014" t="s">
        <v>22</v>
      </c>
      <c r="S79" s="1014" t="s">
        <v>1156</v>
      </c>
      <c r="T79" s="839"/>
      <c r="U79" s="1015" t="s">
        <v>92</v>
      </c>
      <c r="V79" s="868"/>
      <c r="W79" s="925" t="s">
        <v>24</v>
      </c>
      <c r="X79" s="1013" t="s">
        <v>95</v>
      </c>
      <c r="Y79" s="1013"/>
      <c r="Z79" s="1016" t="s">
        <v>94</v>
      </c>
      <c r="AA79" s="1016"/>
      <c r="AB79" s="1016"/>
      <c r="AC79" s="1016"/>
      <c r="AD79" s="1016"/>
      <c r="AE79" s="840"/>
    </row>
    <row r="80" spans="1:33" s="827" customFormat="1" ht="15.75" x14ac:dyDescent="0.2">
      <c r="A80" s="1017"/>
      <c r="B80" s="1018"/>
      <c r="C80" s="1018"/>
      <c r="D80" s="1018"/>
      <c r="E80" s="1018"/>
      <c r="F80" s="1018"/>
      <c r="G80" s="1018"/>
      <c r="H80" s="1018"/>
      <c r="I80" s="1019"/>
      <c r="J80" s="826"/>
      <c r="K80" s="1020"/>
      <c r="L80" s="1021" t="s">
        <v>277</v>
      </c>
      <c r="M80" s="1022" t="s">
        <v>280</v>
      </c>
      <c r="N80" s="1022" t="s">
        <v>1133</v>
      </c>
      <c r="O80" s="1023"/>
      <c r="P80" s="868"/>
      <c r="Q80" s="1020"/>
      <c r="R80" s="1021" t="s">
        <v>277</v>
      </c>
      <c r="S80" s="1022" t="s">
        <v>280</v>
      </c>
      <c r="T80" s="1022" t="s">
        <v>1133</v>
      </c>
      <c r="U80" s="1023"/>
      <c r="V80" s="868"/>
      <c r="W80" s="846" t="s">
        <v>1145</v>
      </c>
      <c r="X80" s="1024" t="s">
        <v>96</v>
      </c>
      <c r="Y80" s="1025"/>
      <c r="Z80" s="1026"/>
      <c r="AA80" s="1026"/>
      <c r="AB80" s="1026"/>
      <c r="AC80" s="1026"/>
      <c r="AD80" s="1026"/>
      <c r="AE80" s="1027"/>
    </row>
    <row r="81" spans="1:31" s="639" customFormat="1" ht="15.75" x14ac:dyDescent="0.2">
      <c r="A81" s="955"/>
      <c r="B81" s="499"/>
      <c r="C81" s="915"/>
      <c r="D81" s="915"/>
      <c r="E81" s="915"/>
      <c r="F81" s="851"/>
      <c r="G81" s="851"/>
      <c r="H81" s="851"/>
      <c r="I81" s="1028"/>
      <c r="K81" s="1029" t="s">
        <v>1145</v>
      </c>
      <c r="L81" s="949">
        <f>C58</f>
        <v>0</v>
      </c>
      <c r="M81" s="851"/>
      <c r="N81" s="857" t="s">
        <v>1025</v>
      </c>
      <c r="O81" s="943" t="s">
        <v>422</v>
      </c>
      <c r="P81" s="868"/>
      <c r="Q81" s="1029" t="s">
        <v>1145</v>
      </c>
      <c r="R81" s="942">
        <f>C58</f>
        <v>0</v>
      </c>
      <c r="S81" s="851"/>
      <c r="T81" s="857" t="s">
        <v>1025</v>
      </c>
      <c r="U81" s="943" t="s">
        <v>422</v>
      </c>
      <c r="V81" s="826"/>
      <c r="W81" s="1030" t="s">
        <v>1147</v>
      </c>
      <c r="X81" s="1031" t="s">
        <v>97</v>
      </c>
      <c r="Y81" s="1032"/>
      <c r="Z81" s="1033"/>
      <c r="AA81" s="1033"/>
      <c r="AB81" s="1033"/>
      <c r="AC81" s="1033"/>
      <c r="AD81" s="1033"/>
      <c r="AE81" s="872"/>
    </row>
    <row r="82" spans="1:31" s="639" customFormat="1" ht="15.75" x14ac:dyDescent="0.2">
      <c r="A82" s="955"/>
      <c r="B82" s="499"/>
      <c r="C82" s="976" t="s">
        <v>277</v>
      </c>
      <c r="D82" s="1034" t="s">
        <v>1132</v>
      </c>
      <c r="E82" s="1035" t="s">
        <v>1133</v>
      </c>
      <c r="F82" s="851"/>
      <c r="G82" s="959"/>
      <c r="H82" s="959"/>
      <c r="I82" s="940"/>
      <c r="K82" s="1029" t="s">
        <v>1147</v>
      </c>
      <c r="L82" s="949">
        <f>C59</f>
        <v>0</v>
      </c>
      <c r="M82" s="851"/>
      <c r="N82" s="857" t="s">
        <v>1128</v>
      </c>
      <c r="O82" s="943" t="s">
        <v>422</v>
      </c>
      <c r="P82" s="868"/>
      <c r="Q82" s="1029" t="s">
        <v>1147</v>
      </c>
      <c r="R82" s="1036">
        <f>C59</f>
        <v>0</v>
      </c>
      <c r="S82" s="851"/>
      <c r="T82" s="857" t="s">
        <v>1128</v>
      </c>
      <c r="U82" s="943" t="s">
        <v>422</v>
      </c>
      <c r="V82" s="868"/>
      <c r="W82" s="1030" t="s">
        <v>1149</v>
      </c>
      <c r="X82" s="1037" t="s">
        <v>98</v>
      </c>
      <c r="Y82" s="1032"/>
      <c r="Z82" s="1033"/>
      <c r="AA82" s="1033"/>
      <c r="AB82" s="1033"/>
      <c r="AC82" s="1033"/>
      <c r="AD82" s="1033"/>
      <c r="AE82" s="872"/>
    </row>
    <row r="83" spans="1:31" s="639" customFormat="1" ht="15.75" x14ac:dyDescent="0.2">
      <c r="A83" s="850" t="s">
        <v>593</v>
      </c>
      <c r="B83" s="976" t="s">
        <v>596</v>
      </c>
      <c r="C83" s="1038">
        <f>L85</f>
        <v>0</v>
      </c>
      <c r="D83" s="1039">
        <f>M85</f>
        <v>0</v>
      </c>
      <c r="E83" s="1040">
        <f>N85</f>
        <v>0</v>
      </c>
      <c r="F83" s="851"/>
      <c r="G83" s="851"/>
      <c r="H83" s="851"/>
      <c r="I83" s="940"/>
      <c r="K83" s="1029" t="s">
        <v>1157</v>
      </c>
      <c r="L83" s="1041">
        <v>0.2</v>
      </c>
      <c r="M83" s="1042">
        <v>0.05</v>
      </c>
      <c r="N83" s="1042">
        <v>0.5</v>
      </c>
      <c r="O83" s="943"/>
      <c r="P83" s="868"/>
      <c r="Q83" s="1029" t="s">
        <v>1149</v>
      </c>
      <c r="R83" s="851" t="e">
        <f>C60</f>
        <v>#N/A</v>
      </c>
      <c r="S83" s="851"/>
      <c r="T83" s="857" t="s">
        <v>1020</v>
      </c>
      <c r="U83" s="943" t="s">
        <v>422</v>
      </c>
      <c r="V83" s="868"/>
      <c r="W83" s="1030" t="s">
        <v>1150</v>
      </c>
      <c r="X83" s="1031" t="s">
        <v>99</v>
      </c>
      <c r="Y83" s="1032"/>
      <c r="Z83" s="1033"/>
      <c r="AA83" s="1033"/>
      <c r="AB83" s="1033"/>
      <c r="AC83" s="1033"/>
      <c r="AD83" s="1033"/>
      <c r="AE83" s="872"/>
    </row>
    <row r="84" spans="1:31" s="639" customFormat="1" ht="15.75" x14ac:dyDescent="0.2">
      <c r="A84" s="850" t="s">
        <v>594</v>
      </c>
      <c r="B84" s="976" t="s">
        <v>597</v>
      </c>
      <c r="C84" s="1038" t="e">
        <f>R86</f>
        <v>#N/A</v>
      </c>
      <c r="D84" s="1039" t="e">
        <f>S86</f>
        <v>#N/A</v>
      </c>
      <c r="E84" s="1040" t="e">
        <f>T86</f>
        <v>#N/A</v>
      </c>
      <c r="F84" s="851"/>
      <c r="G84" s="851"/>
      <c r="H84" s="851"/>
      <c r="I84" s="940"/>
      <c r="K84" s="1029" t="s">
        <v>1158</v>
      </c>
      <c r="L84" s="1041">
        <v>0.1</v>
      </c>
      <c r="M84" s="1042">
        <v>0.03</v>
      </c>
      <c r="N84" s="1042">
        <v>0.3</v>
      </c>
      <c r="O84" s="943"/>
      <c r="P84" s="868"/>
      <c r="Q84" s="1029" t="s">
        <v>1150</v>
      </c>
      <c r="R84" s="942">
        <f>C61</f>
        <v>0</v>
      </c>
      <c r="S84" s="851"/>
      <c r="T84" s="857" t="s">
        <v>1129</v>
      </c>
      <c r="U84" s="943" t="s">
        <v>422</v>
      </c>
      <c r="V84" s="868"/>
      <c r="W84" s="1030"/>
      <c r="X84" s="1031" t="s">
        <v>154</v>
      </c>
      <c r="Y84" s="1043"/>
      <c r="Z84" s="1033"/>
      <c r="AA84" s="1033"/>
      <c r="AB84" s="1033"/>
      <c r="AC84" s="1033"/>
      <c r="AD84" s="1033"/>
      <c r="AE84" s="872"/>
    </row>
    <row r="85" spans="1:31" s="639" customFormat="1" ht="16.5" customHeight="1" x14ac:dyDescent="0.2">
      <c r="A85" s="955"/>
      <c r="B85" s="499"/>
      <c r="C85" s="499"/>
      <c r="D85" s="499"/>
      <c r="E85" s="499"/>
      <c r="F85" s="499"/>
      <c r="G85" s="499"/>
      <c r="H85" s="499"/>
      <c r="I85" s="940"/>
      <c r="K85" s="1044" t="s">
        <v>446</v>
      </c>
      <c r="L85" s="1045">
        <f>($L81*L84+$L82*L83)</f>
        <v>0</v>
      </c>
      <c r="M85" s="1046">
        <f>($L81*M84+$L82*M83)</f>
        <v>0</v>
      </c>
      <c r="N85" s="1046">
        <f>($L81*N84+$L82*N83)</f>
        <v>0</v>
      </c>
      <c r="O85" s="1047" t="s">
        <v>447</v>
      </c>
      <c r="P85" s="868"/>
      <c r="Q85" s="1029" t="s">
        <v>1160</v>
      </c>
      <c r="R85" s="1041">
        <f>IF(C28="no",0,0.3)</f>
        <v>0.3</v>
      </c>
      <c r="S85" s="1042">
        <f>IF(C28="no",0,0.1)</f>
        <v>0.1</v>
      </c>
      <c r="T85" s="1042">
        <f>IF(C28="no",0,0.8)</f>
        <v>0.8</v>
      </c>
      <c r="U85" s="943"/>
      <c r="V85" s="868"/>
      <c r="W85" s="1030" t="s">
        <v>1160</v>
      </c>
      <c r="X85" s="1031" t="s">
        <v>155</v>
      </c>
      <c r="Y85" s="1048"/>
      <c r="Z85" s="1043"/>
      <c r="AA85" s="1043"/>
      <c r="AB85" s="1043"/>
      <c r="AC85" s="1043"/>
      <c r="AD85" s="1043"/>
      <c r="AE85" s="872"/>
    </row>
    <row r="86" spans="1:31" s="639" customFormat="1" ht="18" customHeight="1" x14ac:dyDescent="0.2">
      <c r="A86" s="962" t="s">
        <v>17</v>
      </c>
      <c r="B86" s="963" t="s">
        <v>18</v>
      </c>
      <c r="C86" s="964">
        <f>L88</f>
        <v>0.01</v>
      </c>
      <c r="D86" s="965">
        <f>M88</f>
        <v>2E-3</v>
      </c>
      <c r="E86" s="966">
        <f>N88</f>
        <v>0.05</v>
      </c>
      <c r="F86" s="851"/>
      <c r="G86" s="851"/>
      <c r="H86" s="851"/>
      <c r="I86" s="940"/>
      <c r="K86" s="955"/>
      <c r="L86" s="499"/>
      <c r="M86" s="499"/>
      <c r="N86" s="499"/>
      <c r="O86" s="940"/>
      <c r="P86" s="868"/>
      <c r="Q86" s="1049" t="s">
        <v>595</v>
      </c>
      <c r="R86" s="1050" t="e">
        <f>SUM($R81:$R84)*R85</f>
        <v>#N/A</v>
      </c>
      <c r="S86" s="1046" t="e">
        <f>SUM($R81:$R84)*S85</f>
        <v>#N/A</v>
      </c>
      <c r="T86" s="1046" t="e">
        <f>SUM($R81:$R84)*T85</f>
        <v>#N/A</v>
      </c>
      <c r="U86" s="1051" t="s">
        <v>820</v>
      </c>
      <c r="V86" s="868"/>
      <c r="W86" s="1030" t="s">
        <v>1157</v>
      </c>
      <c r="X86" s="1052" t="s">
        <v>329</v>
      </c>
      <c r="Y86" s="1043"/>
      <c r="Z86" s="1048"/>
      <c r="AA86" s="1048"/>
      <c r="AB86" s="1048"/>
      <c r="AC86" s="1048"/>
      <c r="AD86" s="1048"/>
      <c r="AE86" s="1053"/>
    </row>
    <row r="87" spans="1:31" s="639" customFormat="1" ht="15.75" x14ac:dyDescent="0.2">
      <c r="A87" s="962" t="s">
        <v>590</v>
      </c>
      <c r="B87" s="963" t="s">
        <v>19</v>
      </c>
      <c r="C87" s="1054">
        <f>R88</f>
        <v>7.4999999999999997E-3</v>
      </c>
      <c r="D87" s="965">
        <f>S88</f>
        <v>5.0000000000000001E-4</v>
      </c>
      <c r="E87" s="966">
        <f>T88</f>
        <v>2.5000000000000001E-2</v>
      </c>
      <c r="F87" s="851"/>
      <c r="G87" s="851"/>
      <c r="H87" s="851"/>
      <c r="I87" s="940"/>
      <c r="K87" s="1055"/>
      <c r="L87" s="1056"/>
      <c r="M87" s="1057"/>
      <c r="N87" s="1057"/>
      <c r="O87" s="1058"/>
      <c r="P87" s="868"/>
      <c r="Q87" s="1029"/>
      <c r="R87" s="942"/>
      <c r="S87" s="959"/>
      <c r="T87" s="959"/>
      <c r="U87" s="943"/>
      <c r="V87" s="868"/>
      <c r="W87" s="1030" t="s">
        <v>1158</v>
      </c>
      <c r="X87" s="1059" t="s">
        <v>330</v>
      </c>
      <c r="Y87" s="1060"/>
      <c r="Z87" s="1043"/>
      <c r="AA87" s="1043"/>
      <c r="AB87" s="1043"/>
      <c r="AC87" s="1043"/>
      <c r="AD87" s="1043"/>
      <c r="AE87" s="872"/>
    </row>
    <row r="88" spans="1:31" s="639" customFormat="1" ht="15.75" x14ac:dyDescent="0.2">
      <c r="A88" s="955"/>
      <c r="B88" s="499"/>
      <c r="C88" s="499"/>
      <c r="D88" s="499"/>
      <c r="E88" s="499"/>
      <c r="F88" s="499"/>
      <c r="G88" s="499"/>
      <c r="H88" s="499"/>
      <c r="I88" s="940"/>
      <c r="K88" s="1061" t="s">
        <v>1159</v>
      </c>
      <c r="L88" s="1062">
        <v>0.01</v>
      </c>
      <c r="M88" s="1063">
        <v>2E-3</v>
      </c>
      <c r="N88" s="1063">
        <v>0.05</v>
      </c>
      <c r="O88" s="1058" t="s">
        <v>281</v>
      </c>
      <c r="P88" s="868"/>
      <c r="Q88" s="1061" t="s">
        <v>1161</v>
      </c>
      <c r="R88" s="1064">
        <v>7.4999999999999997E-3</v>
      </c>
      <c r="S88" s="1065">
        <v>5.0000000000000001E-4</v>
      </c>
      <c r="T88" s="1065">
        <v>2.5000000000000001E-2</v>
      </c>
      <c r="U88" s="1058" t="s">
        <v>281</v>
      </c>
      <c r="V88" s="868"/>
      <c r="W88" s="1030"/>
      <c r="X88" s="1066"/>
      <c r="Y88" s="1067"/>
      <c r="Z88" s="1067"/>
      <c r="AA88" s="1067"/>
      <c r="AB88" s="1067"/>
      <c r="AC88" s="1067"/>
      <c r="AD88" s="1067"/>
      <c r="AE88" s="876"/>
    </row>
    <row r="89" spans="1:31" s="639" customFormat="1" x14ac:dyDescent="0.2">
      <c r="A89" s="955"/>
      <c r="B89" s="499"/>
      <c r="C89" s="499"/>
      <c r="D89" s="499"/>
      <c r="E89" s="499"/>
      <c r="F89" s="499"/>
      <c r="G89" s="499"/>
      <c r="H89" s="499"/>
      <c r="I89" s="940"/>
      <c r="K89" s="951" t="s">
        <v>276</v>
      </c>
      <c r="L89" s="952"/>
      <c r="M89" s="952"/>
      <c r="N89" s="952"/>
      <c r="O89" s="953"/>
      <c r="P89" s="826"/>
      <c r="Q89" s="951" t="s">
        <v>276</v>
      </c>
      <c r="R89" s="952"/>
      <c r="S89" s="952"/>
      <c r="T89" s="952"/>
      <c r="U89" s="953"/>
      <c r="V89" s="868"/>
      <c r="W89" s="951"/>
      <c r="X89" s="1068"/>
      <c r="Y89" s="1068"/>
      <c r="Z89" s="1068"/>
      <c r="AA89" s="1068"/>
      <c r="AB89" s="1068"/>
      <c r="AC89" s="1068"/>
      <c r="AD89" s="1068"/>
      <c r="AE89" s="1069"/>
    </row>
    <row r="90" spans="1:31" s="639" customFormat="1" ht="15.75" x14ac:dyDescent="0.2">
      <c r="A90" s="955"/>
      <c r="B90" s="499"/>
      <c r="C90" s="1397" t="s">
        <v>423</v>
      </c>
      <c r="D90" s="1400"/>
      <c r="E90" s="1401"/>
      <c r="F90" s="1397" t="s">
        <v>424</v>
      </c>
      <c r="G90" s="1400"/>
      <c r="H90" s="1401"/>
      <c r="I90" s="940"/>
      <c r="V90" s="868"/>
      <c r="W90" s="868"/>
      <c r="X90" s="868"/>
      <c r="Y90" s="868"/>
      <c r="Z90" s="868"/>
      <c r="AA90" s="868"/>
      <c r="AB90" s="868"/>
      <c r="AC90" s="868"/>
    </row>
    <row r="91" spans="1:31" s="827" customFormat="1" ht="15.75" x14ac:dyDescent="0.2">
      <c r="A91" s="1001" t="s">
        <v>89</v>
      </c>
      <c r="B91" s="976" t="s">
        <v>591</v>
      </c>
      <c r="C91" s="1070">
        <f t="shared" ref="C91:E92" si="1">C83*C86</f>
        <v>0</v>
      </c>
      <c r="D91" s="1071">
        <f t="shared" si="1"/>
        <v>0</v>
      </c>
      <c r="E91" s="1072">
        <f t="shared" si="1"/>
        <v>0</v>
      </c>
      <c r="F91" s="987">
        <f t="shared" ref="F91:H92" si="2">C91*44/28</f>
        <v>0</v>
      </c>
      <c r="G91" s="1073">
        <f t="shared" si="2"/>
        <v>0</v>
      </c>
      <c r="H91" s="1072">
        <f t="shared" si="2"/>
        <v>0</v>
      </c>
      <c r="I91" s="940"/>
      <c r="J91" s="826"/>
      <c r="V91" s="826"/>
      <c r="W91" s="826"/>
      <c r="X91" s="826"/>
      <c r="Y91" s="826"/>
      <c r="Z91" s="826"/>
      <c r="AA91" s="826"/>
      <c r="AB91" s="826"/>
      <c r="AC91" s="826"/>
    </row>
    <row r="92" spans="1:31" s="827" customFormat="1" ht="15.75" x14ac:dyDescent="0.2">
      <c r="A92" s="1001" t="s">
        <v>90</v>
      </c>
      <c r="B92" s="976" t="s">
        <v>592</v>
      </c>
      <c r="C92" s="981" t="e">
        <f t="shared" si="1"/>
        <v>#N/A</v>
      </c>
      <c r="D92" s="1074" t="e">
        <f t="shared" si="1"/>
        <v>#N/A</v>
      </c>
      <c r="E92" s="983" t="e">
        <f t="shared" si="1"/>
        <v>#N/A</v>
      </c>
      <c r="F92" s="984" t="e">
        <f t="shared" si="2"/>
        <v>#N/A</v>
      </c>
      <c r="G92" s="982" t="e">
        <f t="shared" si="2"/>
        <v>#N/A</v>
      </c>
      <c r="H92" s="983" t="e">
        <f t="shared" si="2"/>
        <v>#N/A</v>
      </c>
      <c r="I92" s="940"/>
      <c r="J92" s="826"/>
      <c r="V92" s="826"/>
      <c r="W92" s="826"/>
      <c r="X92" s="826"/>
      <c r="Y92" s="826"/>
      <c r="Z92" s="826"/>
      <c r="AA92" s="826"/>
      <c r="AB92" s="826"/>
      <c r="AC92" s="826"/>
    </row>
    <row r="93" spans="1:31" s="827" customFormat="1" x14ac:dyDescent="0.2">
      <c r="A93" s="970"/>
      <c r="B93" s="1075"/>
      <c r="C93" s="1076"/>
      <c r="D93" s="896"/>
      <c r="E93" s="896"/>
      <c r="F93" s="1076"/>
      <c r="G93" s="896"/>
      <c r="H93" s="896"/>
      <c r="I93" s="1077"/>
      <c r="J93" s="826"/>
      <c r="K93" s="826"/>
      <c r="L93" s="826"/>
      <c r="M93" s="826"/>
      <c r="N93" s="826"/>
      <c r="O93" s="826"/>
      <c r="P93" s="826"/>
      <c r="Q93" s="826"/>
      <c r="R93" s="826"/>
      <c r="S93" s="826"/>
      <c r="T93" s="826"/>
      <c r="U93" s="826"/>
      <c r="V93" s="826"/>
      <c r="W93" s="826"/>
      <c r="X93" s="826"/>
      <c r="Y93" s="826"/>
      <c r="Z93" s="826"/>
      <c r="AA93" s="826"/>
      <c r="AB93" s="826"/>
      <c r="AC93" s="826"/>
    </row>
    <row r="94" spans="1:31" s="639" customFormat="1" x14ac:dyDescent="0.2">
      <c r="A94" s="1078"/>
      <c r="B94" s="1078"/>
      <c r="C94" s="826"/>
      <c r="D94" s="826"/>
      <c r="E94" s="826"/>
      <c r="F94" s="826"/>
      <c r="G94" s="826"/>
      <c r="H94" s="826"/>
      <c r="J94" s="868"/>
      <c r="K94" s="868"/>
      <c r="L94" s="868"/>
      <c r="M94" s="868"/>
      <c r="N94" s="868"/>
      <c r="O94" s="868"/>
      <c r="P94" s="868"/>
      <c r="Q94" s="868"/>
      <c r="R94" s="868"/>
      <c r="S94" s="868"/>
      <c r="T94" s="868"/>
      <c r="U94" s="868"/>
      <c r="V94" s="868"/>
      <c r="W94" s="868"/>
      <c r="X94" s="868"/>
      <c r="Y94" s="868"/>
      <c r="Z94" s="868"/>
      <c r="AA94" s="868"/>
      <c r="AB94" s="868"/>
      <c r="AC94" s="868"/>
    </row>
    <row r="95" spans="1:31" s="639" customFormat="1" ht="17.25" customHeight="1" x14ac:dyDescent="0.2">
      <c r="A95" s="787" t="s">
        <v>292</v>
      </c>
      <c r="B95" s="788"/>
      <c r="C95" s="789"/>
      <c r="D95" s="789"/>
      <c r="E95" s="789"/>
      <c r="F95" s="790"/>
      <c r="G95" s="791"/>
      <c r="H95" s="792"/>
      <c r="I95" s="1079"/>
      <c r="J95" s="868"/>
      <c r="K95" s="868"/>
      <c r="L95" s="868"/>
      <c r="M95" s="868"/>
      <c r="N95" s="868"/>
      <c r="O95" s="868"/>
      <c r="P95" s="868"/>
      <c r="Q95" s="868"/>
      <c r="R95" s="868"/>
      <c r="S95" s="868"/>
      <c r="T95" s="868"/>
      <c r="U95" s="868"/>
      <c r="V95" s="868"/>
      <c r="W95" s="868"/>
      <c r="X95" s="868"/>
      <c r="Y95" s="868"/>
      <c r="Z95" s="868"/>
      <c r="AA95" s="868"/>
      <c r="AB95" s="868"/>
      <c r="AC95" s="868"/>
    </row>
    <row r="96" spans="1:31" s="639" customFormat="1" ht="20.25" customHeight="1" x14ac:dyDescent="0.2">
      <c r="A96" s="1080"/>
      <c r="B96" s="1081"/>
      <c r="C96" s="830"/>
      <c r="D96" s="830"/>
      <c r="E96" s="830"/>
      <c r="F96" s="830"/>
      <c r="G96" s="830"/>
      <c r="H96" s="830"/>
      <c r="I96" s="831"/>
      <c r="J96" s="868"/>
      <c r="K96" s="868"/>
      <c r="L96" s="868"/>
      <c r="M96" s="868"/>
      <c r="N96" s="868"/>
      <c r="O96" s="868"/>
      <c r="P96" s="868"/>
      <c r="Q96" s="868"/>
      <c r="R96" s="868"/>
      <c r="S96" s="868"/>
      <c r="T96" s="868"/>
      <c r="U96" s="868"/>
      <c r="V96" s="868"/>
      <c r="W96" s="868"/>
      <c r="X96" s="868"/>
      <c r="Y96" s="868"/>
      <c r="Z96" s="868"/>
      <c r="AA96" s="868"/>
      <c r="AB96" s="868"/>
      <c r="AC96" s="868"/>
    </row>
    <row r="97" spans="1:29" s="639" customFormat="1" ht="22.5" customHeight="1" x14ac:dyDescent="0.2">
      <c r="A97" s="1082"/>
      <c r="B97" s="1083"/>
      <c r="C97" s="1397" t="s">
        <v>423</v>
      </c>
      <c r="D97" s="1398"/>
      <c r="E97" s="1399"/>
      <c r="F97" s="1397" t="s">
        <v>424</v>
      </c>
      <c r="G97" s="1398"/>
      <c r="H97" s="1399"/>
      <c r="I97" s="837"/>
      <c r="J97" s="868"/>
      <c r="K97" s="868"/>
      <c r="L97" s="868"/>
      <c r="M97" s="868"/>
      <c r="N97" s="868"/>
      <c r="O97" s="868"/>
      <c r="P97" s="868"/>
      <c r="Q97" s="868"/>
      <c r="R97" s="868"/>
      <c r="S97" s="868"/>
      <c r="T97" s="868"/>
      <c r="U97" s="868"/>
      <c r="V97" s="868"/>
      <c r="W97" s="868"/>
      <c r="X97" s="868"/>
      <c r="Y97" s="868"/>
      <c r="Z97" s="868"/>
      <c r="AA97" s="868"/>
      <c r="AB97" s="868"/>
      <c r="AC97" s="868"/>
    </row>
    <row r="98" spans="1:29" s="639" customFormat="1" ht="22.5" customHeight="1" x14ac:dyDescent="0.2">
      <c r="A98" s="806"/>
      <c r="B98" s="833"/>
      <c r="C98" s="976" t="s">
        <v>277</v>
      </c>
      <c r="D98" s="1034" t="s">
        <v>1132</v>
      </c>
      <c r="E98" s="1035" t="s">
        <v>1133</v>
      </c>
      <c r="F98" s="977" t="s">
        <v>277</v>
      </c>
      <c r="G98" s="957" t="s">
        <v>1132</v>
      </c>
      <c r="H98" s="958" t="s">
        <v>1133</v>
      </c>
      <c r="I98" s="1084"/>
      <c r="J98" s="868"/>
      <c r="K98" s="868"/>
      <c r="L98" s="868"/>
      <c r="M98" s="868"/>
      <c r="N98" s="868"/>
      <c r="O98" s="868"/>
      <c r="P98" s="868"/>
      <c r="Q98" s="868"/>
      <c r="R98" s="868"/>
      <c r="S98" s="868"/>
      <c r="T98" s="868"/>
      <c r="U98" s="868"/>
      <c r="V98" s="868"/>
      <c r="W98" s="868"/>
      <c r="X98" s="868"/>
      <c r="Y98" s="868"/>
      <c r="Z98" s="868"/>
      <c r="AA98" s="868"/>
      <c r="AB98" s="868"/>
      <c r="AC98" s="868"/>
    </row>
    <row r="99" spans="1:29" s="639" customFormat="1" ht="22.5" customHeight="1" x14ac:dyDescent="0.2">
      <c r="A99" s="1085"/>
      <c r="B99" s="1086" t="s">
        <v>1134</v>
      </c>
      <c r="C99" s="1070" t="e">
        <f>SUM(C76,C91,C92)</f>
        <v>#N/A</v>
      </c>
      <c r="D99" s="1073" t="e">
        <f>SUM(D76,D91,D92)</f>
        <v>#N/A</v>
      </c>
      <c r="E99" s="1072" t="e">
        <f>SUM(E76,E91,E92)</f>
        <v>#N/A</v>
      </c>
      <c r="F99" s="1070" t="e">
        <f t="shared" ref="F99:H101" si="3">C99*44/28</f>
        <v>#N/A</v>
      </c>
      <c r="G99" s="1073" t="e">
        <f t="shared" si="3"/>
        <v>#N/A</v>
      </c>
      <c r="H99" s="1072" t="e">
        <f t="shared" si="3"/>
        <v>#N/A</v>
      </c>
      <c r="I99" s="1084"/>
      <c r="J99" s="868"/>
      <c r="K99" s="868"/>
      <c r="L99" s="868"/>
      <c r="M99" s="868"/>
      <c r="N99" s="868"/>
      <c r="O99" s="868"/>
      <c r="P99" s="868"/>
      <c r="Q99" s="868"/>
      <c r="R99" s="868"/>
      <c r="S99" s="868"/>
      <c r="T99" s="868"/>
      <c r="U99" s="868"/>
      <c r="V99" s="868"/>
      <c r="W99" s="868"/>
      <c r="X99" s="868"/>
      <c r="Y99" s="868"/>
      <c r="Z99" s="868"/>
      <c r="AA99" s="868"/>
      <c r="AB99" s="868"/>
      <c r="AC99" s="868"/>
    </row>
    <row r="100" spans="1:29" s="930" customFormat="1" x14ac:dyDescent="0.2">
      <c r="A100" s="1085"/>
      <c r="B100" s="1086" t="s">
        <v>609</v>
      </c>
      <c r="C100" s="1087" t="e">
        <f>C99/C25*1000</f>
        <v>#N/A</v>
      </c>
      <c r="D100" s="1088" t="e">
        <f>D99/C25*1000</f>
        <v>#N/A</v>
      </c>
      <c r="E100" s="1089" t="e">
        <f>E99/C25*1000</f>
        <v>#N/A</v>
      </c>
      <c r="F100" s="1087" t="e">
        <f t="shared" si="3"/>
        <v>#N/A</v>
      </c>
      <c r="G100" s="1088" t="e">
        <f t="shared" si="3"/>
        <v>#N/A</v>
      </c>
      <c r="H100" s="1089" t="e">
        <f t="shared" si="3"/>
        <v>#N/A</v>
      </c>
      <c r="I100" s="1084"/>
      <c r="J100" s="924"/>
      <c r="K100" s="924"/>
      <c r="L100" s="924"/>
      <c r="M100" s="924"/>
      <c r="N100" s="924"/>
      <c r="O100" s="924"/>
      <c r="P100" s="924"/>
      <c r="Q100" s="924"/>
      <c r="R100" s="924"/>
      <c r="S100" s="924"/>
      <c r="T100" s="924"/>
      <c r="U100" s="924"/>
      <c r="V100" s="924"/>
      <c r="W100" s="924"/>
      <c r="X100" s="924"/>
      <c r="Y100" s="924"/>
      <c r="Z100" s="924"/>
      <c r="AA100" s="924"/>
      <c r="AB100" s="924"/>
      <c r="AC100" s="924"/>
    </row>
    <row r="101" spans="1:29" x14ac:dyDescent="0.2">
      <c r="A101" s="1085"/>
      <c r="B101" s="1086" t="s">
        <v>610</v>
      </c>
      <c r="C101" s="1090" t="e">
        <f>C100/VLOOKUP(C22,U56:AF67,12,FALSE)</f>
        <v>#N/A</v>
      </c>
      <c r="D101" s="1091" t="e">
        <f>D100/VLOOKUP(C22,U56:AF63,12,FALSE)</f>
        <v>#N/A</v>
      </c>
      <c r="E101" s="1092" t="e">
        <f>E100/VLOOKUP(C22,U56:AF63,12,FALSE)</f>
        <v>#N/A</v>
      </c>
      <c r="F101" s="1093" t="e">
        <f t="shared" si="3"/>
        <v>#N/A</v>
      </c>
      <c r="G101" s="1094" t="e">
        <f t="shared" si="3"/>
        <v>#N/A</v>
      </c>
      <c r="H101" s="1095" t="e">
        <f t="shared" si="3"/>
        <v>#N/A</v>
      </c>
      <c r="I101" s="1084"/>
    </row>
    <row r="102" spans="1:29" x14ac:dyDescent="0.2">
      <c r="A102" s="1085"/>
      <c r="B102" s="1086"/>
      <c r="C102" s="1086"/>
      <c r="D102" s="1086"/>
      <c r="E102" s="1086"/>
      <c r="F102" s="1086"/>
      <c r="G102" s="1086"/>
      <c r="H102" s="1086"/>
      <c r="I102" s="1084"/>
    </row>
    <row r="103" spans="1:29" ht="14.25" x14ac:dyDescent="0.2">
      <c r="A103" s="1098" t="s">
        <v>274</v>
      </c>
      <c r="B103" s="1099"/>
      <c r="C103" s="1086"/>
      <c r="D103" s="1086"/>
      <c r="E103" s="1086"/>
      <c r="F103" s="1100" t="e">
        <f>F99</f>
        <v>#N/A</v>
      </c>
      <c r="G103" s="1101" t="s">
        <v>822</v>
      </c>
      <c r="H103" s="1102"/>
      <c r="I103" s="1084"/>
    </row>
    <row r="104" spans="1:29" x14ac:dyDescent="0.2">
      <c r="A104" s="1103"/>
      <c r="B104" s="1104"/>
      <c r="C104" s="1104"/>
      <c r="D104" s="1104"/>
      <c r="E104" s="1104"/>
      <c r="F104" s="1104"/>
      <c r="G104" s="1104"/>
      <c r="H104" s="1104"/>
      <c r="I104" s="1105"/>
    </row>
    <row r="105" spans="1:29" x14ac:dyDescent="0.2">
      <c r="F105" s="1106"/>
    </row>
    <row r="106" spans="1:29" ht="18" x14ac:dyDescent="0.2">
      <c r="A106" s="787" t="s">
        <v>794</v>
      </c>
      <c r="B106" s="788"/>
      <c r="C106" s="789"/>
      <c r="D106" s="789"/>
      <c r="E106" s="789"/>
      <c r="F106" s="790"/>
      <c r="G106" s="791"/>
      <c r="H106" s="792"/>
      <c r="I106" s="1079"/>
    </row>
    <row r="107" spans="1:29" ht="31.5" customHeight="1" x14ac:dyDescent="0.2">
      <c r="A107" s="1402" t="s">
        <v>428</v>
      </c>
      <c r="B107" s="1403"/>
      <c r="C107" s="1403"/>
      <c r="D107" s="1403"/>
      <c r="E107" s="1403"/>
      <c r="F107" s="1403"/>
      <c r="G107" s="1403"/>
      <c r="H107" s="1107"/>
      <c r="I107" s="1108"/>
    </row>
    <row r="108" spans="1:29" ht="29.25" customHeight="1" x14ac:dyDescent="0.2">
      <c r="A108" s="1396" t="s">
        <v>455</v>
      </c>
      <c r="B108" s="1394"/>
      <c r="C108" s="1394"/>
      <c r="D108" s="1394"/>
      <c r="E108" s="1394"/>
      <c r="F108" s="1394"/>
      <c r="G108" s="1394"/>
      <c r="H108" s="804"/>
      <c r="I108" s="1109"/>
    </row>
    <row r="109" spans="1:29" ht="30" customHeight="1" x14ac:dyDescent="0.2">
      <c r="A109" s="1396" t="s">
        <v>1083</v>
      </c>
      <c r="B109" s="1394"/>
      <c r="C109" s="1394"/>
      <c r="D109" s="1394"/>
      <c r="E109" s="1394"/>
      <c r="F109" s="1394"/>
      <c r="G109" s="1394"/>
      <c r="H109" s="804"/>
      <c r="I109" s="1109"/>
    </row>
    <row r="110" spans="1:29" ht="27" customHeight="1" x14ac:dyDescent="0.2">
      <c r="A110" s="1396" t="s">
        <v>917</v>
      </c>
      <c r="B110" s="1394"/>
      <c r="C110" s="1394"/>
      <c r="D110" s="1394"/>
      <c r="E110" s="1394"/>
      <c r="F110" s="1394"/>
      <c r="G110" s="1394"/>
      <c r="H110" s="804"/>
      <c r="I110" s="1109"/>
    </row>
    <row r="111" spans="1:29" ht="41.25" customHeight="1" x14ac:dyDescent="0.2">
      <c r="A111" s="1396" t="s">
        <v>324</v>
      </c>
      <c r="B111" s="1394"/>
      <c r="C111" s="1394"/>
      <c r="D111" s="1394"/>
      <c r="E111" s="1394"/>
      <c r="F111" s="1394"/>
      <c r="G111" s="1394"/>
      <c r="H111" s="804"/>
      <c r="I111" s="1109"/>
    </row>
    <row r="112" spans="1:29" ht="28.5" customHeight="1" x14ac:dyDescent="0.2">
      <c r="A112" s="1396" t="s">
        <v>918</v>
      </c>
      <c r="B112" s="1394"/>
      <c r="C112" s="1394"/>
      <c r="D112" s="1394"/>
      <c r="E112" s="1394"/>
      <c r="F112" s="1394"/>
      <c r="G112" s="1394"/>
      <c r="H112" s="804"/>
      <c r="I112" s="1109"/>
    </row>
    <row r="113" spans="1:29" s="930" customFormat="1" ht="28.5" customHeight="1" x14ac:dyDescent="0.2">
      <c r="A113" s="1396" t="s">
        <v>919</v>
      </c>
      <c r="B113" s="1394"/>
      <c r="C113" s="1394"/>
      <c r="D113" s="1394"/>
      <c r="E113" s="1394"/>
      <c r="F113" s="1394"/>
      <c r="G113" s="1394"/>
      <c r="H113" s="804"/>
      <c r="I113" s="1109"/>
      <c r="J113" s="924"/>
      <c r="K113" s="924"/>
      <c r="L113" s="924"/>
      <c r="M113" s="924"/>
      <c r="N113" s="924"/>
      <c r="O113" s="924"/>
      <c r="P113" s="924"/>
      <c r="Q113" s="924"/>
      <c r="R113" s="924"/>
      <c r="S113" s="924"/>
      <c r="T113" s="924"/>
      <c r="U113" s="924"/>
      <c r="V113" s="924"/>
      <c r="W113" s="924"/>
      <c r="X113" s="924"/>
      <c r="Y113" s="924"/>
      <c r="Z113" s="924"/>
      <c r="AA113" s="924"/>
      <c r="AB113" s="924"/>
      <c r="AC113" s="924"/>
    </row>
    <row r="114" spans="1:29" s="930" customFormat="1" ht="12.75" customHeight="1" x14ac:dyDescent="0.2">
      <c r="A114" s="1396" t="s">
        <v>326</v>
      </c>
      <c r="B114" s="1394"/>
      <c r="C114" s="1394"/>
      <c r="D114" s="1394"/>
      <c r="E114" s="1394"/>
      <c r="F114" s="1394"/>
      <c r="G114" s="1394"/>
      <c r="H114" s="804"/>
      <c r="I114" s="1109"/>
      <c r="J114" s="924"/>
      <c r="K114" s="924"/>
      <c r="L114" s="924"/>
      <c r="M114" s="924"/>
      <c r="N114" s="924"/>
      <c r="O114" s="924"/>
      <c r="P114" s="924"/>
      <c r="Q114" s="924"/>
      <c r="R114" s="924"/>
      <c r="S114" s="924"/>
      <c r="T114" s="924"/>
      <c r="U114" s="924"/>
      <c r="V114" s="924"/>
      <c r="W114" s="924"/>
      <c r="X114" s="924"/>
      <c r="Y114" s="924"/>
      <c r="Z114" s="924"/>
      <c r="AA114" s="924"/>
      <c r="AB114" s="924"/>
      <c r="AC114" s="924"/>
    </row>
    <row r="115" spans="1:29" s="930" customFormat="1" ht="12.75" customHeight="1" x14ac:dyDescent="0.2">
      <c r="A115" s="1394" t="s">
        <v>920</v>
      </c>
      <c r="B115" s="1394"/>
      <c r="C115" s="1394"/>
      <c r="D115" s="1394"/>
      <c r="E115" s="1394"/>
      <c r="F115" s="1394"/>
      <c r="G115" s="1394"/>
      <c r="H115" s="804"/>
      <c r="I115" s="1109"/>
      <c r="J115" s="924"/>
      <c r="K115" s="924"/>
      <c r="L115" s="924"/>
      <c r="M115" s="924"/>
      <c r="N115" s="924"/>
      <c r="O115" s="924"/>
      <c r="P115" s="924"/>
      <c r="Q115" s="924"/>
      <c r="R115" s="924"/>
      <c r="S115" s="924"/>
      <c r="T115" s="924"/>
      <c r="U115" s="924"/>
      <c r="V115" s="924"/>
      <c r="W115" s="924"/>
      <c r="X115" s="924"/>
      <c r="Y115" s="924"/>
      <c r="Z115" s="924"/>
      <c r="AA115" s="924"/>
      <c r="AB115" s="924"/>
      <c r="AC115" s="924"/>
    </row>
    <row r="116" spans="1:29" s="930" customFormat="1" ht="12.75" customHeight="1" x14ac:dyDescent="0.2">
      <c r="A116" s="1394" t="s">
        <v>795</v>
      </c>
      <c r="B116" s="1394"/>
      <c r="C116" s="1394"/>
      <c r="D116" s="1394"/>
      <c r="E116" s="1394"/>
      <c r="F116" s="1394"/>
      <c r="G116" s="1394"/>
      <c r="H116" s="804"/>
      <c r="I116" s="1109"/>
      <c r="J116" s="924"/>
      <c r="K116" s="924"/>
      <c r="L116" s="924"/>
      <c r="M116" s="924"/>
      <c r="N116" s="924"/>
      <c r="O116" s="924"/>
      <c r="P116" s="924"/>
      <c r="Q116" s="924"/>
      <c r="R116" s="924"/>
      <c r="S116" s="924"/>
      <c r="T116" s="924"/>
      <c r="U116" s="924"/>
      <c r="V116" s="924"/>
      <c r="W116" s="924"/>
      <c r="X116" s="924"/>
      <c r="Y116" s="924"/>
      <c r="Z116" s="924"/>
      <c r="AA116" s="924"/>
      <c r="AB116" s="924"/>
      <c r="AC116" s="924"/>
    </row>
    <row r="117" spans="1:29" s="930" customFormat="1" ht="12.75" customHeight="1" x14ac:dyDescent="0.2">
      <c r="A117" s="1394" t="s">
        <v>325</v>
      </c>
      <c r="B117" s="1394"/>
      <c r="C117" s="1394"/>
      <c r="D117" s="1394"/>
      <c r="E117" s="1394"/>
      <c r="F117" s="1394"/>
      <c r="G117" s="1394"/>
      <c r="H117" s="804"/>
      <c r="I117" s="1109"/>
      <c r="J117" s="924"/>
      <c r="K117" s="924"/>
      <c r="L117" s="924"/>
      <c r="M117" s="924"/>
      <c r="N117" s="924"/>
      <c r="O117" s="924"/>
      <c r="P117" s="924"/>
      <c r="Q117" s="924"/>
      <c r="R117" s="924"/>
      <c r="S117" s="924"/>
      <c r="T117" s="924"/>
      <c r="U117" s="924"/>
      <c r="V117" s="924"/>
      <c r="W117" s="924"/>
      <c r="X117" s="924"/>
      <c r="Y117" s="924"/>
      <c r="Z117" s="924"/>
      <c r="AA117" s="924"/>
      <c r="AB117" s="924"/>
      <c r="AC117" s="924"/>
    </row>
    <row r="118" spans="1:29" s="930" customFormat="1" ht="12.75" customHeight="1" x14ac:dyDescent="0.2">
      <c r="A118" s="1395" t="s">
        <v>796</v>
      </c>
      <c r="B118" s="1395"/>
      <c r="C118" s="1395"/>
      <c r="D118" s="1395"/>
      <c r="E118" s="1395"/>
      <c r="F118" s="1395"/>
      <c r="G118" s="1395"/>
      <c r="H118" s="1110"/>
      <c r="I118" s="1111"/>
      <c r="J118" s="924"/>
      <c r="K118" s="924"/>
      <c r="L118" s="924"/>
      <c r="M118" s="924"/>
      <c r="N118" s="924"/>
      <c r="O118" s="924"/>
      <c r="P118" s="924"/>
      <c r="Q118" s="924"/>
      <c r="R118" s="924"/>
      <c r="S118" s="924"/>
      <c r="T118" s="924"/>
      <c r="U118" s="924"/>
      <c r="V118" s="924"/>
      <c r="W118" s="924"/>
      <c r="X118" s="924"/>
      <c r="Y118" s="924"/>
      <c r="Z118" s="924"/>
      <c r="AA118" s="924"/>
      <c r="AB118" s="924"/>
      <c r="AC118" s="924"/>
    </row>
    <row r="119" spans="1:29" x14ac:dyDescent="0.2">
      <c r="A119" s="1112"/>
      <c r="B119" s="1112"/>
      <c r="C119" s="1112"/>
      <c r="D119" s="1112"/>
      <c r="E119" s="1112"/>
      <c r="F119" s="1112"/>
      <c r="G119" s="1112"/>
      <c r="H119" s="1112"/>
      <c r="I119" s="1112"/>
    </row>
  </sheetData>
  <sheetProtection insertColumns="0" insertRows="0" deleteColumns="0" deleteRows="0"/>
  <mergeCells count="37">
    <mergeCell ref="Z70:AB70"/>
    <mergeCell ref="A7:G7"/>
    <mergeCell ref="A8:G8"/>
    <mergeCell ref="A9:G9"/>
    <mergeCell ref="A15:G15"/>
    <mergeCell ref="A11:G11"/>
    <mergeCell ref="A12:G12"/>
    <mergeCell ref="A13:G13"/>
    <mergeCell ref="A14:G14"/>
    <mergeCell ref="A10:G10"/>
    <mergeCell ref="A16:G16"/>
    <mergeCell ref="A17:G17"/>
    <mergeCell ref="E28:I28"/>
    <mergeCell ref="C66:E66"/>
    <mergeCell ref="F66:H66"/>
    <mergeCell ref="A108:G108"/>
    <mergeCell ref="C71:E71"/>
    <mergeCell ref="F71:H71"/>
    <mergeCell ref="V73:X73"/>
    <mergeCell ref="V74:X74"/>
    <mergeCell ref="C90:E90"/>
    <mergeCell ref="F90:H90"/>
    <mergeCell ref="C97:E97"/>
    <mergeCell ref="F97:H97"/>
    <mergeCell ref="C74:E74"/>
    <mergeCell ref="F74:H74"/>
    <mergeCell ref="A107:G107"/>
    <mergeCell ref="A115:G115"/>
    <mergeCell ref="A116:G116"/>
    <mergeCell ref="A117:G117"/>
    <mergeCell ref="A118:G118"/>
    <mergeCell ref="A109:G109"/>
    <mergeCell ref="A110:G110"/>
    <mergeCell ref="A111:G111"/>
    <mergeCell ref="A112:G112"/>
    <mergeCell ref="A113:G113"/>
    <mergeCell ref="A114:G114"/>
  </mergeCells>
  <phoneticPr fontId="27" type="noConversion"/>
  <dataValidations count="3">
    <dataValidation type="list" allowBlank="1" showInputMessage="1" showErrorMessage="1" sqref="C31" xr:uid="{00000000-0002-0000-0700-000000000000}">
      <formula1>$J$31:$O$31</formula1>
    </dataValidation>
    <dataValidation type="list" allowBlank="1" showInputMessage="1" showErrorMessage="1" sqref="C22" xr:uid="{00000000-0002-0000-0700-000001000000}">
      <formula1>$K$22:$V$22</formula1>
    </dataValidation>
    <dataValidation type="list" allowBlank="1" showInputMessage="1" showErrorMessage="1" sqref="C28" xr:uid="{00000000-0002-0000-0700-000002000000}">
      <formula1>$K$28:$M$28</formula1>
    </dataValidation>
  </dataValidations>
  <hyperlinks>
    <hyperlink ref="F32" location="LUC!A1" display="Please, calculate this value by using the LUC sheet" xr:uid="{00000000-0004-0000-0700-000000000000}"/>
    <hyperlink ref="F33" location="Esca!A1" display="or the esca sheet for modified practices" xr:uid="{00000000-0004-0000-0700-000001000000}"/>
  </hyperlinks>
  <pageMargins left="0.75" right="0.75" top="1" bottom="1" header="0" footer="0"/>
  <pageSetup paperSize="9" scale="35" orientation="landscape"/>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5072" r:id="rId3" name="Label 16">
              <controlPr defaultSize="0" autoFill="0" autoLine="0" autoPict="0" macro="[0]!GoToAbout">
                <anchor moveWithCells="1" sizeWithCells="1">
                  <from>
                    <xdr:col>8</xdr:col>
                    <xdr:colOff>581025</xdr:colOff>
                    <xdr:row>0</xdr:row>
                    <xdr:rowOff>809625</xdr:rowOff>
                  </from>
                  <to>
                    <xdr:col>10</xdr:col>
                    <xdr:colOff>66675</xdr:colOff>
                    <xdr:row>1</xdr:row>
                    <xdr:rowOff>0</xdr:rowOff>
                  </to>
                </anchor>
              </controlPr>
            </control>
          </mc:Choice>
        </mc:AlternateContent>
        <mc:AlternateContent xmlns:mc="http://schemas.openxmlformats.org/markup-compatibility/2006">
          <mc:Choice Requires="x14">
            <control shapeId="45073" r:id="rId4" name="Label 17">
              <controlPr defaultSize="0" autoFill="0" autoLine="0" autoPict="0" macro="[0]!GoToDirectory">
                <anchor moveWithCells="1" sizeWithCells="1">
                  <from>
                    <xdr:col>10</xdr:col>
                    <xdr:colOff>142875</xdr:colOff>
                    <xdr:row>0</xdr:row>
                    <xdr:rowOff>809625</xdr:rowOff>
                  </from>
                  <to>
                    <xdr:col>11</xdr:col>
                    <xdr:colOff>342900</xdr:colOff>
                    <xdr:row>1</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2"/>
  <dimension ref="A1:Q33"/>
  <sheetViews>
    <sheetView topLeftCell="A19" zoomScale="80" zoomScaleNormal="80" workbookViewId="0">
      <selection activeCell="A2" sqref="A2"/>
    </sheetView>
  </sheetViews>
  <sheetFormatPr baseColWidth="10" defaultRowHeight="12.75" x14ac:dyDescent="0.2"/>
  <cols>
    <col min="1" max="1" width="2.7109375" style="1236" customWidth="1"/>
    <col min="2" max="2" width="5.42578125" style="1236" customWidth="1"/>
    <col min="3" max="3" width="27" style="1236" customWidth="1"/>
    <col min="4" max="4" width="20.28515625" style="1236" customWidth="1"/>
    <col min="5" max="5" width="11.140625" style="1236" customWidth="1"/>
    <col min="6" max="6" width="9.140625" style="1236" customWidth="1"/>
    <col min="7" max="7" width="19.28515625" style="1236" customWidth="1"/>
    <col min="8" max="8" width="15.5703125" style="1236" customWidth="1"/>
    <col min="9" max="9" width="2.140625" style="1236" customWidth="1"/>
    <col min="10" max="10" width="4.42578125" style="1236" customWidth="1"/>
    <col min="11" max="11" width="2.85546875" style="1236" customWidth="1"/>
    <col min="12" max="12" width="27.140625" style="1236" customWidth="1"/>
    <col min="13" max="14" width="25" style="1236" customWidth="1"/>
    <col min="15" max="15" width="20.42578125" style="1236" customWidth="1"/>
    <col min="16" max="16" width="22.7109375" style="1236" customWidth="1"/>
    <col min="17" max="17" width="2.5703125" style="1236" customWidth="1"/>
    <col min="18" max="256" width="9.140625" style="1236" customWidth="1"/>
    <col min="257" max="16384" width="11.42578125" style="1236"/>
  </cols>
  <sheetData>
    <row r="1" spans="1:17" ht="102" customHeight="1" x14ac:dyDescent="0.2"/>
    <row r="2" spans="1:17" s="1245" customFormat="1" ht="23.25" customHeight="1" x14ac:dyDescent="0.2">
      <c r="A2" s="1237" t="s">
        <v>1207</v>
      </c>
      <c r="B2" s="1238"/>
      <c r="C2" s="1239"/>
      <c r="D2" s="1239"/>
      <c r="E2" s="1239"/>
      <c r="F2" s="1240"/>
      <c r="G2" s="1241"/>
      <c r="H2" s="1242"/>
      <c r="I2" s="1243"/>
      <c r="J2" s="1241"/>
      <c r="K2" s="1242"/>
      <c r="L2" s="1242"/>
      <c r="M2" s="1242"/>
      <c r="N2" s="1242"/>
      <c r="O2" s="1242"/>
      <c r="P2" s="1242"/>
      <c r="Q2" s="1244" t="str">
        <f>About!D2</f>
        <v>Version 4d for Testing</v>
      </c>
    </row>
    <row r="3" spans="1:17" s="1246" customFormat="1" ht="15" customHeight="1" thickBot="1" x14ac:dyDescent="0.25"/>
    <row r="4" spans="1:17" s="1246" customFormat="1" ht="15" x14ac:dyDescent="0.25">
      <c r="B4" s="1247"/>
      <c r="C4" s="1248" t="s">
        <v>1173</v>
      </c>
      <c r="D4" s="1249"/>
      <c r="E4" s="1250"/>
      <c r="F4" s="1250"/>
      <c r="G4" s="1250"/>
      <c r="H4" s="1250"/>
      <c r="I4" s="1251"/>
      <c r="K4" s="1247"/>
      <c r="L4" s="1248" t="s">
        <v>1174</v>
      </c>
      <c r="M4" s="1250"/>
      <c r="N4" s="1250"/>
      <c r="O4" s="1250"/>
      <c r="P4" s="1250"/>
      <c r="Q4" s="1251"/>
    </row>
    <row r="5" spans="1:17" s="1246" customFormat="1" ht="25.5" x14ac:dyDescent="0.2">
      <c r="B5" s="1252"/>
      <c r="C5" s="1253"/>
      <c r="D5" s="1254" t="s">
        <v>1175</v>
      </c>
      <c r="E5" s="1418" t="s">
        <v>1176</v>
      </c>
      <c r="F5" s="1418"/>
      <c r="G5" s="1254" t="s">
        <v>1177</v>
      </c>
      <c r="H5" s="1255" t="s">
        <v>1178</v>
      </c>
      <c r="I5" s="1256"/>
      <c r="K5" s="1252"/>
      <c r="L5" s="1253"/>
      <c r="M5" s="1253"/>
      <c r="N5" s="1253"/>
      <c r="O5" s="1253"/>
      <c r="P5" s="1253"/>
      <c r="Q5" s="1256"/>
    </row>
    <row r="6" spans="1:17" s="1246" customFormat="1" x14ac:dyDescent="0.2">
      <c r="B6" s="1252"/>
      <c r="C6" s="1253" t="s">
        <v>1179</v>
      </c>
      <c r="D6" s="1255" t="s">
        <v>1180</v>
      </c>
      <c r="E6" s="1418" t="s">
        <v>1181</v>
      </c>
      <c r="F6" s="1418"/>
      <c r="G6" s="1254" t="s">
        <v>1182</v>
      </c>
      <c r="H6" s="1255" t="s">
        <v>1183</v>
      </c>
      <c r="I6" s="1256"/>
      <c r="K6" s="1252"/>
      <c r="L6" s="1255" t="s">
        <v>1184</v>
      </c>
      <c r="M6" s="1255" t="s">
        <v>1185</v>
      </c>
      <c r="N6" s="1257" t="s">
        <v>1186</v>
      </c>
      <c r="O6" s="1258"/>
      <c r="P6" s="1255" t="s">
        <v>1187</v>
      </c>
      <c r="Q6" s="1256"/>
    </row>
    <row r="7" spans="1:17" s="1246" customFormat="1" x14ac:dyDescent="0.2">
      <c r="B7" s="1252"/>
      <c r="C7" s="1259"/>
      <c r="D7" s="1260"/>
      <c r="E7" s="1419"/>
      <c r="F7" s="1420"/>
      <c r="G7" s="1261"/>
      <c r="H7" s="1292" t="str">
        <f>IF(D7&gt;0,D7*E7*(1-G7)/3.6,"")</f>
        <v/>
      </c>
      <c r="I7" s="1256"/>
      <c r="K7" s="1252"/>
      <c r="L7" s="1262" t="s">
        <v>1183</v>
      </c>
      <c r="M7" s="1262" t="s">
        <v>1183</v>
      </c>
      <c r="N7" s="1263" t="s">
        <v>1183</v>
      </c>
      <c r="O7" s="1258"/>
      <c r="P7" s="1262" t="s">
        <v>1183</v>
      </c>
      <c r="Q7" s="1256"/>
    </row>
    <row r="8" spans="1:17" s="1246" customFormat="1" x14ac:dyDescent="0.2">
      <c r="B8" s="1252"/>
      <c r="C8" s="1264"/>
      <c r="D8" s="1265"/>
      <c r="E8" s="1414"/>
      <c r="F8" s="1421"/>
      <c r="G8" s="1266"/>
      <c r="H8" s="1293" t="str">
        <f t="shared" ref="H8:H15" si="0">IF(D8&gt;0,D8*E8*(1-G8)/3.6,"")</f>
        <v/>
      </c>
      <c r="I8" s="1256"/>
      <c r="K8" s="1252"/>
      <c r="L8" s="1267"/>
      <c r="M8" s="1268"/>
      <c r="N8" s="1269"/>
      <c r="O8" s="1258"/>
      <c r="P8" s="1295">
        <f>L8-M8-N8</f>
        <v>0</v>
      </c>
      <c r="Q8" s="1256"/>
    </row>
    <row r="9" spans="1:17" s="1246" customFormat="1" x14ac:dyDescent="0.2">
      <c r="B9" s="1252"/>
      <c r="C9" s="1264"/>
      <c r="D9" s="1265"/>
      <c r="E9" s="1414"/>
      <c r="F9" s="1421"/>
      <c r="G9" s="1266"/>
      <c r="H9" s="1293" t="str">
        <f t="shared" si="0"/>
        <v/>
      </c>
      <c r="I9" s="1256"/>
      <c r="K9" s="1252"/>
      <c r="L9" s="1253"/>
      <c r="M9" s="1253"/>
      <c r="N9" s="1253"/>
      <c r="O9" s="1258"/>
      <c r="P9" s="1253"/>
      <c r="Q9" s="1256"/>
    </row>
    <row r="10" spans="1:17" s="1246" customFormat="1" x14ac:dyDescent="0.2">
      <c r="B10" s="1252"/>
      <c r="C10" s="1270"/>
      <c r="D10" s="1265"/>
      <c r="E10" s="1414"/>
      <c r="F10" s="1415"/>
      <c r="G10" s="1271"/>
      <c r="H10" s="1293" t="str">
        <f t="shared" si="0"/>
        <v/>
      </c>
      <c r="I10" s="1256"/>
      <c r="K10" s="1252"/>
      <c r="L10" s="1255" t="s">
        <v>1188</v>
      </c>
      <c r="M10" s="1255" t="s">
        <v>1189</v>
      </c>
      <c r="N10" s="1257" t="s">
        <v>1190</v>
      </c>
      <c r="O10" s="1253" t="s">
        <v>1191</v>
      </c>
      <c r="P10" s="1255" t="s">
        <v>1192</v>
      </c>
      <c r="Q10" s="1256"/>
    </row>
    <row r="11" spans="1:17" s="1246" customFormat="1" x14ac:dyDescent="0.2">
      <c r="B11" s="1252"/>
      <c r="C11" s="1270"/>
      <c r="D11" s="1265"/>
      <c r="E11" s="1414"/>
      <c r="F11" s="1415"/>
      <c r="G11" s="1271"/>
      <c r="H11" s="1293" t="str">
        <f t="shared" si="0"/>
        <v/>
      </c>
      <c r="I11" s="1256"/>
      <c r="K11" s="1252"/>
      <c r="L11" s="1262" t="s">
        <v>1183</v>
      </c>
      <c r="M11" s="1262" t="s">
        <v>1183</v>
      </c>
      <c r="N11" s="1263" t="s">
        <v>1183</v>
      </c>
      <c r="O11" s="1262" t="s">
        <v>1193</v>
      </c>
      <c r="P11" s="1262" t="s">
        <v>1183</v>
      </c>
      <c r="Q11" s="1256"/>
    </row>
    <row r="12" spans="1:17" s="1246" customFormat="1" x14ac:dyDescent="0.2">
      <c r="B12" s="1252"/>
      <c r="C12" s="1270"/>
      <c r="D12" s="1265"/>
      <c r="E12" s="1414"/>
      <c r="F12" s="1415"/>
      <c r="G12" s="1271"/>
      <c r="H12" s="1293" t="str">
        <f t="shared" si="0"/>
        <v/>
      </c>
      <c r="I12" s="1256"/>
      <c r="K12" s="1252"/>
      <c r="L12" s="1272"/>
      <c r="M12" s="1273"/>
      <c r="N12" s="1274"/>
      <c r="O12" s="1274"/>
      <c r="P12" s="1296">
        <f>L12-M12-N12</f>
        <v>0</v>
      </c>
      <c r="Q12" s="1256"/>
    </row>
    <row r="13" spans="1:17" s="1246" customFormat="1" x14ac:dyDescent="0.2">
      <c r="B13" s="1252"/>
      <c r="C13" s="1270"/>
      <c r="D13" s="1265"/>
      <c r="E13" s="1414"/>
      <c r="F13" s="1415"/>
      <c r="G13" s="1271"/>
      <c r="H13" s="1293" t="str">
        <f t="shared" si="0"/>
        <v/>
      </c>
      <c r="I13" s="1256"/>
      <c r="K13" s="1252"/>
      <c r="L13" s="1275"/>
      <c r="M13" s="1276"/>
      <c r="N13" s="1277"/>
      <c r="O13" s="1277"/>
      <c r="P13" s="1297">
        <f>L13-M13-N13</f>
        <v>0</v>
      </c>
      <c r="Q13" s="1256"/>
    </row>
    <row r="14" spans="1:17" s="1246" customFormat="1" x14ac:dyDescent="0.2">
      <c r="B14" s="1252"/>
      <c r="C14" s="1270"/>
      <c r="D14" s="1265"/>
      <c r="E14" s="1414"/>
      <c r="F14" s="1415"/>
      <c r="G14" s="1271"/>
      <c r="H14" s="1293" t="str">
        <f t="shared" si="0"/>
        <v/>
      </c>
      <c r="I14" s="1256"/>
      <c r="K14" s="1252"/>
      <c r="L14" s="1275"/>
      <c r="M14" s="1276"/>
      <c r="N14" s="1277"/>
      <c r="O14" s="1277"/>
      <c r="P14" s="1297">
        <f>L14-M14-N14</f>
        <v>0</v>
      </c>
      <c r="Q14" s="1256"/>
    </row>
    <row r="15" spans="1:17" s="1246" customFormat="1" x14ac:dyDescent="0.2">
      <c r="B15" s="1252"/>
      <c r="C15" s="1270"/>
      <c r="D15" s="1265"/>
      <c r="E15" s="1414"/>
      <c r="F15" s="1415"/>
      <c r="G15" s="1271"/>
      <c r="H15" s="1293" t="str">
        <f t="shared" si="0"/>
        <v/>
      </c>
      <c r="I15" s="1256"/>
      <c r="K15" s="1252"/>
      <c r="L15" s="1278"/>
      <c r="M15" s="1279"/>
      <c r="N15" s="1280"/>
      <c r="O15" s="1280"/>
      <c r="P15" s="1298">
        <f>L15-M15-N15</f>
        <v>0</v>
      </c>
      <c r="Q15" s="1256"/>
    </row>
    <row r="16" spans="1:17" s="1246" customFormat="1" x14ac:dyDescent="0.2">
      <c r="B16" s="1252"/>
      <c r="C16" s="1281"/>
      <c r="D16" s="1282"/>
      <c r="E16" s="1416"/>
      <c r="F16" s="1417"/>
      <c r="G16" s="1283"/>
      <c r="H16" s="1294" t="str">
        <f>IF(D16&gt;0,D16*E16*(1-G16)/3.6,"")</f>
        <v/>
      </c>
      <c r="I16" s="1256"/>
      <c r="K16" s="1252"/>
      <c r="L16" s="1258"/>
      <c r="M16" s="1258"/>
      <c r="N16" s="1258"/>
      <c r="O16" s="1258"/>
      <c r="P16" s="1258"/>
      <c r="Q16" s="1256"/>
    </row>
    <row r="17" spans="2:17" s="1246" customFormat="1" x14ac:dyDescent="0.2">
      <c r="B17" s="1252"/>
      <c r="C17" s="1253"/>
      <c r="D17" s="1253"/>
      <c r="E17" s="1253"/>
      <c r="F17" s="1253"/>
      <c r="G17" s="1253"/>
      <c r="H17" s="1253"/>
      <c r="I17" s="1256"/>
      <c r="K17" s="1252"/>
      <c r="L17" s="1258"/>
      <c r="M17" s="1253"/>
      <c r="N17" s="1253"/>
      <c r="O17" s="1253"/>
      <c r="P17" s="1262" t="s">
        <v>1183</v>
      </c>
      <c r="Q17" s="1256"/>
    </row>
    <row r="18" spans="2:17" s="1246" customFormat="1" x14ac:dyDescent="0.2">
      <c r="B18" s="1252"/>
      <c r="C18" s="1253"/>
      <c r="D18" s="1284"/>
      <c r="E18" s="1253"/>
      <c r="F18" s="1253"/>
      <c r="G18" s="1253"/>
      <c r="H18" s="1262" t="s">
        <v>1183</v>
      </c>
      <c r="I18" s="1256"/>
      <c r="K18" s="1252"/>
      <c r="L18" s="1253" t="s">
        <v>1194</v>
      </c>
      <c r="M18" s="1258"/>
      <c r="N18" s="1258"/>
      <c r="O18" s="1253"/>
      <c r="P18" s="1299">
        <f>SUM(P12:P15)</f>
        <v>0</v>
      </c>
      <c r="Q18" s="1256"/>
    </row>
    <row r="19" spans="2:17" s="1246" customFormat="1" x14ac:dyDescent="0.2">
      <c r="B19" s="1252"/>
      <c r="C19" s="1253" t="s">
        <v>1195</v>
      </c>
      <c r="D19" s="1253"/>
      <c r="E19" s="1253"/>
      <c r="F19" s="1253"/>
      <c r="G19" s="1253"/>
      <c r="H19" s="1295">
        <f>SUM(H7:H16)</f>
        <v>0</v>
      </c>
      <c r="I19" s="1256"/>
      <c r="K19" s="1252"/>
      <c r="L19" s="1258"/>
      <c r="M19" s="1258"/>
      <c r="N19" s="1258"/>
      <c r="O19" s="1258"/>
      <c r="P19" s="1258"/>
      <c r="Q19" s="1256"/>
    </row>
    <row r="20" spans="2:17" s="1246" customFormat="1" ht="13.5" thickBot="1" x14ac:dyDescent="0.25">
      <c r="B20" s="1285"/>
      <c r="C20" s="1286"/>
      <c r="D20" s="1286"/>
      <c r="E20" s="1286"/>
      <c r="F20" s="1286"/>
      <c r="G20" s="1286"/>
      <c r="H20" s="1286"/>
      <c r="I20" s="1287"/>
      <c r="K20" s="1285"/>
      <c r="L20" s="1286"/>
      <c r="M20" s="1286"/>
      <c r="N20" s="1286"/>
      <c r="O20" s="1286"/>
      <c r="P20" s="1286"/>
      <c r="Q20" s="1287"/>
    </row>
    <row r="21" spans="2:17" s="1246" customFormat="1" x14ac:dyDescent="0.2"/>
    <row r="22" spans="2:17" s="1246" customFormat="1" ht="13.5" thickBot="1" x14ac:dyDescent="0.25"/>
    <row r="23" spans="2:17" s="1246" customFormat="1" x14ac:dyDescent="0.2">
      <c r="B23" s="1247"/>
      <c r="C23" s="1250"/>
      <c r="D23" s="1250"/>
      <c r="E23" s="1250"/>
      <c r="F23" s="1251"/>
    </row>
    <row r="24" spans="2:17" s="1246" customFormat="1" ht="15" x14ac:dyDescent="0.25">
      <c r="B24" s="1252"/>
      <c r="C24" s="1288" t="s">
        <v>1196</v>
      </c>
      <c r="D24" s="1262" t="s">
        <v>1182</v>
      </c>
      <c r="E24" s="1289" t="s">
        <v>1197</v>
      </c>
      <c r="F24" s="1256"/>
    </row>
    <row r="25" spans="2:17" s="1246" customFormat="1" ht="18" x14ac:dyDescent="0.35">
      <c r="B25" s="1290" t="s">
        <v>1198</v>
      </c>
      <c r="C25" s="1253" t="s">
        <v>1199</v>
      </c>
      <c r="D25" s="1300" t="e">
        <f>100*P8/H19</f>
        <v>#DIV/0!</v>
      </c>
      <c r="E25" s="1289" t="s">
        <v>1200</v>
      </c>
      <c r="F25" s="1256"/>
    </row>
    <row r="26" spans="2:17" s="1246" customFormat="1" ht="18" x14ac:dyDescent="0.35">
      <c r="B26" s="1290" t="s">
        <v>1201</v>
      </c>
      <c r="C26" s="1291" t="str">
        <f>"Efficiency heat (" &amp; TEXT(O12,0) &amp; "°C)"</f>
        <v>Efficiency heat (0°C)</v>
      </c>
      <c r="D26" s="1300" t="e">
        <f>100*P12/H19</f>
        <v>#DIV/0!</v>
      </c>
      <c r="E26" s="1299">
        <f>O12</f>
        <v>0</v>
      </c>
      <c r="F26" s="1256"/>
    </row>
    <row r="27" spans="2:17" s="1246" customFormat="1" ht="18" x14ac:dyDescent="0.35">
      <c r="B27" s="1290" t="s">
        <v>1202</v>
      </c>
      <c r="C27" s="1291" t="str">
        <f>"Efficiency heat (" &amp; TEXT(O13,0) &amp; "°C)"</f>
        <v>Efficiency heat (0°C)</v>
      </c>
      <c r="D27" s="1300" t="e">
        <f>100*P13/H19</f>
        <v>#DIV/0!</v>
      </c>
      <c r="E27" s="1299">
        <f>O13</f>
        <v>0</v>
      </c>
      <c r="F27" s="1256"/>
    </row>
    <row r="28" spans="2:17" s="1246" customFormat="1" ht="18" x14ac:dyDescent="0.35">
      <c r="B28" s="1290" t="s">
        <v>1203</v>
      </c>
      <c r="C28" s="1291" t="str">
        <f>"Efficiency heat (" &amp; TEXT(O14,0) &amp; "°C)"</f>
        <v>Efficiency heat (0°C)</v>
      </c>
      <c r="D28" s="1300" t="e">
        <f>100*P14/H19</f>
        <v>#DIV/0!</v>
      </c>
      <c r="E28" s="1299">
        <f>O14</f>
        <v>0</v>
      </c>
      <c r="F28" s="1256"/>
    </row>
    <row r="29" spans="2:17" s="1246" customFormat="1" ht="18" x14ac:dyDescent="0.35">
      <c r="B29" s="1290" t="s">
        <v>1204</v>
      </c>
      <c r="C29" s="1291" t="str">
        <f>"Efficiency heat (" &amp; TEXT(O15,0) &amp; "°C)"</f>
        <v>Efficiency heat (0°C)</v>
      </c>
      <c r="D29" s="1300" t="e">
        <f>100*P15/H19</f>
        <v>#DIV/0!</v>
      </c>
      <c r="E29" s="1299">
        <f>O15</f>
        <v>0</v>
      </c>
      <c r="F29" s="1256"/>
    </row>
    <row r="30" spans="2:17" s="1246" customFormat="1" ht="18" customHeight="1" x14ac:dyDescent="0.2">
      <c r="B30" s="1290"/>
      <c r="C30" s="1258" t="s">
        <v>1205</v>
      </c>
      <c r="D30" s="1300" t="e">
        <f>SUM(D26:D29)</f>
        <v>#DIV/0!</v>
      </c>
      <c r="E30" s="1253"/>
      <c r="F30" s="1256"/>
    </row>
    <row r="31" spans="2:17" s="1246" customFormat="1" ht="18" customHeight="1" x14ac:dyDescent="0.2">
      <c r="B31" s="1252"/>
      <c r="C31" s="1253" t="s">
        <v>1206</v>
      </c>
      <c r="D31" s="1300" t="e">
        <f>SUM(D25:D29)</f>
        <v>#DIV/0!</v>
      </c>
      <c r="E31" s="1253"/>
      <c r="F31" s="1256"/>
    </row>
    <row r="32" spans="2:17" s="1246" customFormat="1" ht="13.5" thickBot="1" x14ac:dyDescent="0.25">
      <c r="B32" s="1285"/>
      <c r="C32" s="1286"/>
      <c r="D32" s="1286"/>
      <c r="E32" s="1286"/>
      <c r="F32" s="1287"/>
    </row>
    <row r="33" s="1246" customFormat="1" x14ac:dyDescent="0.2"/>
  </sheetData>
  <sheetProtection insertColumns="0" insertRows="0" deleteColumns="0" deleteRows="0"/>
  <mergeCells count="12">
    <mergeCell ref="E16:F16"/>
    <mergeCell ref="E5:F5"/>
    <mergeCell ref="E6:F6"/>
    <mergeCell ref="E7:F7"/>
    <mergeCell ref="E8:F8"/>
    <mergeCell ref="E9:F9"/>
    <mergeCell ref="E10:F10"/>
    <mergeCell ref="E11:F11"/>
    <mergeCell ref="E12:F12"/>
    <mergeCell ref="E13:F13"/>
    <mergeCell ref="E14:F14"/>
    <mergeCell ref="E15:F15"/>
  </mergeCell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49155" r:id="rId4" name="Label 3">
              <controlPr defaultSize="0" autoFill="0" autoLine="0" autoPict="0" macro="[1]!GoToAbout">
                <anchor moveWithCells="1" sizeWithCells="1">
                  <from>
                    <xdr:col>12</xdr:col>
                    <xdr:colOff>1152525</xdr:colOff>
                    <xdr:row>1</xdr:row>
                    <xdr:rowOff>295275</xdr:rowOff>
                  </from>
                  <to>
                    <xdr:col>13</xdr:col>
                    <xdr:colOff>209550</xdr:colOff>
                    <xdr:row>1</xdr:row>
                    <xdr:rowOff>295275</xdr:rowOff>
                  </to>
                </anchor>
              </controlPr>
            </control>
          </mc:Choice>
        </mc:AlternateContent>
        <mc:AlternateContent xmlns:mc="http://schemas.openxmlformats.org/markup-compatibility/2006">
          <mc:Choice Requires="x14">
            <control shapeId="49156" r:id="rId5" name="Label 4">
              <controlPr defaultSize="0" autoFill="0" autoLine="0" autoPict="0" macro="[1]!GoToAbout">
                <anchor moveWithCells="1" sizeWithCells="1">
                  <from>
                    <xdr:col>12</xdr:col>
                    <xdr:colOff>1152525</xdr:colOff>
                    <xdr:row>1</xdr:row>
                    <xdr:rowOff>295275</xdr:rowOff>
                  </from>
                  <to>
                    <xdr:col>13</xdr:col>
                    <xdr:colOff>209550</xdr:colOff>
                    <xdr:row>1</xdr:row>
                    <xdr:rowOff>295275</xdr:rowOff>
                  </to>
                </anchor>
              </controlPr>
            </control>
          </mc:Choice>
        </mc:AlternateContent>
        <mc:AlternateContent xmlns:mc="http://schemas.openxmlformats.org/markup-compatibility/2006">
          <mc:Choice Requires="x14">
            <control shapeId="49157" r:id="rId6" name="Label 5">
              <controlPr defaultSize="0" autoFill="0" autoLine="0" autoPict="0" macro="[0]!GoToAbout">
                <anchor moveWithCells="1" sizeWithCells="1">
                  <from>
                    <xdr:col>12</xdr:col>
                    <xdr:colOff>123825</xdr:colOff>
                    <xdr:row>0</xdr:row>
                    <xdr:rowOff>800100</xdr:rowOff>
                  </from>
                  <to>
                    <xdr:col>12</xdr:col>
                    <xdr:colOff>990600</xdr:colOff>
                    <xdr:row>1</xdr:row>
                    <xdr:rowOff>0</xdr:rowOff>
                  </to>
                </anchor>
              </controlPr>
            </control>
          </mc:Choice>
        </mc:AlternateContent>
        <mc:AlternateContent xmlns:mc="http://schemas.openxmlformats.org/markup-compatibility/2006">
          <mc:Choice Requires="x14">
            <control shapeId="49158" r:id="rId7" name="Label 6">
              <controlPr defaultSize="0" autoFill="0" autoLine="0" autoPict="0" macro="[0]!GoToDirectory">
                <anchor moveWithCells="1" sizeWithCells="1">
                  <from>
                    <xdr:col>12</xdr:col>
                    <xdr:colOff>1066800</xdr:colOff>
                    <xdr:row>0</xdr:row>
                    <xdr:rowOff>800100</xdr:rowOff>
                  </from>
                  <to>
                    <xdr:col>13</xdr:col>
                    <xdr:colOff>390525</xdr:colOff>
                    <xdr:row>1</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E1">
    <pageSetUpPr fitToPage="1"/>
  </sheetPr>
  <dimension ref="A1:R180"/>
  <sheetViews>
    <sheetView showGridLines="0" zoomScale="80" workbookViewId="0">
      <selection activeCell="A2" sqref="A2"/>
    </sheetView>
  </sheetViews>
  <sheetFormatPr baseColWidth="10" defaultColWidth="8.85546875" defaultRowHeight="12.75" x14ac:dyDescent="0.2"/>
  <cols>
    <col min="1" max="1" width="22.5703125" style="360" customWidth="1"/>
    <col min="2" max="2" width="25.85546875" style="360" customWidth="1"/>
    <col min="3" max="3" width="9.7109375" style="360" customWidth="1"/>
    <col min="4" max="4" width="20.140625" style="360" customWidth="1"/>
    <col min="5" max="5" width="14.85546875" style="360" customWidth="1"/>
    <col min="6" max="6" width="8.5703125" style="360" customWidth="1"/>
    <col min="7" max="7" width="2.85546875" style="360" customWidth="1"/>
    <col min="8" max="8" width="19.5703125" style="360" customWidth="1"/>
    <col min="9" max="12" width="9.140625" style="360" customWidth="1"/>
    <col min="13" max="13" width="2.5703125" style="360" customWidth="1"/>
    <col min="14" max="14" width="16.7109375" style="360" customWidth="1"/>
    <col min="15" max="15" width="13.7109375" style="360" customWidth="1"/>
    <col min="16" max="16384" width="8.85546875" style="361"/>
  </cols>
  <sheetData>
    <row r="1" spans="1:18" ht="102" customHeight="1" x14ac:dyDescent="0.2"/>
    <row r="2" spans="1:18" ht="27.75" customHeight="1" x14ac:dyDescent="0.25">
      <c r="A2" s="362" t="s">
        <v>191</v>
      </c>
      <c r="B2" s="363"/>
      <c r="C2" s="364"/>
      <c r="D2" s="364"/>
      <c r="E2" s="364"/>
      <c r="F2" s="365"/>
      <c r="G2" s="365"/>
      <c r="H2" s="366"/>
      <c r="I2" s="367"/>
      <c r="J2" s="368"/>
      <c r="K2" s="369"/>
      <c r="L2" s="370"/>
      <c r="M2" s="367"/>
      <c r="N2" s="367"/>
      <c r="O2" s="371" t="str">
        <f>About!D2</f>
        <v>Version 4d for Testing</v>
      </c>
    </row>
    <row r="3" spans="1:18" ht="27.75" customHeight="1" x14ac:dyDescent="0.25">
      <c r="A3" s="372" t="s">
        <v>1050</v>
      </c>
      <c r="B3" s="373"/>
      <c r="C3" s="374"/>
      <c r="D3" s="374"/>
      <c r="E3" s="373"/>
      <c r="F3" s="373"/>
      <c r="G3" s="373"/>
      <c r="H3" s="375"/>
      <c r="I3" s="376"/>
      <c r="J3" s="377"/>
      <c r="K3" s="378"/>
      <c r="L3" s="377"/>
      <c r="M3" s="377"/>
      <c r="N3" s="379"/>
      <c r="O3" s="378"/>
    </row>
    <row r="4" spans="1:18" ht="16.5" customHeight="1" x14ac:dyDescent="0.25">
      <c r="A4" s="380" t="s">
        <v>861</v>
      </c>
      <c r="B4" s="381" t="s">
        <v>854</v>
      </c>
      <c r="C4" s="381" t="s">
        <v>1057</v>
      </c>
      <c r="D4" s="381" t="s">
        <v>852</v>
      </c>
      <c r="E4" s="382" t="s">
        <v>1047</v>
      </c>
      <c r="F4" s="383" t="s">
        <v>1125</v>
      </c>
      <c r="G4" s="384"/>
      <c r="H4" s="385" t="s">
        <v>869</v>
      </c>
      <c r="I4" s="386"/>
      <c r="J4" s="387" t="s">
        <v>1063</v>
      </c>
      <c r="K4" s="388"/>
      <c r="L4" s="389"/>
      <c r="M4" s="390"/>
      <c r="N4" s="387" t="s">
        <v>391</v>
      </c>
      <c r="O4" s="391"/>
    </row>
    <row r="5" spans="1:18" ht="16.5" customHeight="1" x14ac:dyDescent="0.25">
      <c r="A5" s="392" t="s">
        <v>863</v>
      </c>
      <c r="B5" s="393" t="s">
        <v>853</v>
      </c>
      <c r="C5" s="393" t="s">
        <v>1062</v>
      </c>
      <c r="D5" s="393" t="s">
        <v>853</v>
      </c>
      <c r="E5" s="394"/>
      <c r="F5" s="395" t="s">
        <v>1126</v>
      </c>
      <c r="G5" s="396"/>
      <c r="H5" s="397" t="s">
        <v>866</v>
      </c>
      <c r="I5" s="390"/>
      <c r="J5" s="398" t="str">
        <f>A55</f>
        <v>Ethanol plant</v>
      </c>
      <c r="K5" s="399"/>
      <c r="L5" s="400"/>
      <c r="M5" s="390"/>
      <c r="N5" s="398" t="s">
        <v>392</v>
      </c>
      <c r="O5" s="400"/>
    </row>
    <row r="6" spans="1:18" ht="16.5" customHeight="1" x14ac:dyDescent="0.35">
      <c r="A6" s="401" t="s">
        <v>170</v>
      </c>
      <c r="B6" s="402"/>
      <c r="C6" s="403"/>
      <c r="D6" s="404"/>
      <c r="E6" s="405">
        <f>IF(F6="A",D7,H6)</f>
        <v>11.520094981868489</v>
      </c>
      <c r="F6" s="406" t="s">
        <v>1127</v>
      </c>
      <c r="G6" s="407"/>
      <c r="H6" s="408">
        <v>12</v>
      </c>
      <c r="I6" s="390"/>
      <c r="J6" s="409">
        <f>F77/F79</f>
        <v>0.71299999999999997</v>
      </c>
      <c r="K6" s="410" t="s">
        <v>1032</v>
      </c>
      <c r="L6" s="411"/>
      <c r="M6" s="390"/>
      <c r="N6" s="412">
        <v>83.8</v>
      </c>
      <c r="O6" s="413" t="s">
        <v>394</v>
      </c>
    </row>
    <row r="7" spans="1:18" ht="12" customHeight="1" x14ac:dyDescent="0.2">
      <c r="A7" s="398" t="str">
        <f>A20</f>
        <v>Cultivation of sugarbeet</v>
      </c>
      <c r="B7" s="414">
        <f>L42</f>
        <v>16.157215963349916</v>
      </c>
      <c r="C7" s="415">
        <f>J6</f>
        <v>0.71299999999999997</v>
      </c>
      <c r="D7" s="416">
        <f>C7*B7</f>
        <v>11.520094981868489</v>
      </c>
      <c r="E7" s="1215"/>
      <c r="F7" s="418"/>
      <c r="G7" s="418"/>
      <c r="H7" s="419">
        <v>11.54</v>
      </c>
      <c r="I7" s="390"/>
      <c r="J7" s="420">
        <f>1-J6</f>
        <v>0.28700000000000003</v>
      </c>
      <c r="K7" s="421" t="s">
        <v>883</v>
      </c>
      <c r="L7" s="422"/>
      <c r="M7" s="390"/>
      <c r="N7" s="398" t="s">
        <v>393</v>
      </c>
      <c r="O7" s="400"/>
    </row>
    <row r="8" spans="1:18" ht="16.5" customHeight="1" x14ac:dyDescent="0.35">
      <c r="A8" s="401" t="s">
        <v>544</v>
      </c>
      <c r="B8" s="423"/>
      <c r="C8" s="423"/>
      <c r="D8" s="424"/>
      <c r="E8" s="425">
        <f>IF(F8="A",D9,H8)</f>
        <v>26.404755812870121</v>
      </c>
      <c r="F8" s="406" t="s">
        <v>1127</v>
      </c>
      <c r="G8" s="407"/>
      <c r="H8" s="408">
        <v>26</v>
      </c>
      <c r="I8" s="390"/>
      <c r="J8" s="390"/>
      <c r="K8" s="390"/>
      <c r="L8" s="390"/>
      <c r="M8" s="390"/>
      <c r="N8" s="426">
        <f>(N6-E17)/N6</f>
        <v>0.51959030282452812</v>
      </c>
      <c r="O8" s="427"/>
    </row>
    <row r="9" spans="1:18" ht="12" customHeight="1" x14ac:dyDescent="0.2">
      <c r="A9" s="398" t="str">
        <f>A55</f>
        <v>Ethanol plant</v>
      </c>
      <c r="B9" s="414">
        <f>L71</f>
        <v>37.03331811061728</v>
      </c>
      <c r="C9" s="415">
        <f>J6</f>
        <v>0.71299999999999997</v>
      </c>
      <c r="D9" s="416">
        <f>C9*B9</f>
        <v>26.404755812870121</v>
      </c>
      <c r="E9" s="1216"/>
      <c r="F9" s="418"/>
      <c r="G9" s="418"/>
      <c r="H9" s="419">
        <f>1.4*18.87</f>
        <v>26.417999999999999</v>
      </c>
      <c r="I9" s="390"/>
      <c r="J9" s="390"/>
      <c r="K9" s="390"/>
      <c r="L9" s="390"/>
      <c r="M9" s="390"/>
      <c r="N9" s="390"/>
      <c r="O9" s="441"/>
    </row>
    <row r="10" spans="1:18" ht="16.5" customHeight="1" thickBot="1" x14ac:dyDescent="0.4">
      <c r="A10" s="401" t="s">
        <v>545</v>
      </c>
      <c r="B10" s="423"/>
      <c r="C10" s="423"/>
      <c r="D10" s="424"/>
      <c r="E10" s="425">
        <f>IF(F10="A",D11+D12+D13, H10)</f>
        <v>2.333481828565926</v>
      </c>
      <c r="F10" s="406" t="s">
        <v>1127</v>
      </c>
      <c r="G10" s="407"/>
      <c r="H10" s="408">
        <v>2</v>
      </c>
      <c r="I10" s="390"/>
      <c r="J10" s="390"/>
      <c r="K10" s="390"/>
      <c r="L10" s="390"/>
      <c r="M10" s="390"/>
      <c r="N10" s="390"/>
      <c r="O10" s="430"/>
    </row>
    <row r="11" spans="1:18" ht="12" customHeight="1" x14ac:dyDescent="0.2">
      <c r="A11" s="398" t="str">
        <f>A45</f>
        <v>Transport of sugarbeet</v>
      </c>
      <c r="B11" s="414">
        <f>L52</f>
        <v>1.1125702269938651</v>
      </c>
      <c r="C11" s="415">
        <f>J6</f>
        <v>0.71299999999999997</v>
      </c>
      <c r="D11" s="416">
        <f t="shared" ref="D11:D16" si="0">C11*B11</f>
        <v>0.79326257184662574</v>
      </c>
      <c r="E11" s="1215"/>
      <c r="F11" s="418"/>
      <c r="G11" s="418"/>
      <c r="H11" s="419">
        <f>0.84</f>
        <v>0.84</v>
      </c>
      <c r="I11" s="390"/>
      <c r="J11" s="432" t="s">
        <v>140</v>
      </c>
      <c r="K11" s="433"/>
      <c r="L11" s="433"/>
      <c r="M11" s="433"/>
      <c r="N11" s="434"/>
      <c r="O11" s="777"/>
      <c r="P11" s="778"/>
      <c r="Q11" s="778"/>
      <c r="R11" s="778"/>
    </row>
    <row r="12" spans="1:18" ht="12" customHeight="1" x14ac:dyDescent="0.2">
      <c r="A12" s="398" t="str">
        <f>A83</f>
        <v>Transport of ethanol to depot</v>
      </c>
      <c r="B12" s="414">
        <f>L92</f>
        <v>0.60397867724853915</v>
      </c>
      <c r="C12" s="415">
        <v>1</v>
      </c>
      <c r="D12" s="416">
        <f t="shared" si="0"/>
        <v>0.60397867724853915</v>
      </c>
      <c r="E12" s="1217"/>
      <c r="F12" s="437"/>
      <c r="G12" s="437"/>
      <c r="H12" s="419">
        <f>1.1</f>
        <v>1.1000000000000001</v>
      </c>
      <c r="I12" s="390"/>
      <c r="J12" s="438"/>
      <c r="K12" s="439"/>
      <c r="L12" s="439"/>
      <c r="M12" s="439"/>
      <c r="N12" s="440"/>
      <c r="O12" s="778"/>
      <c r="P12" s="778"/>
      <c r="Q12" s="778"/>
      <c r="R12" s="778"/>
    </row>
    <row r="13" spans="1:18" ht="12" customHeight="1" x14ac:dyDescent="0.2">
      <c r="A13" s="398" t="str">
        <f>A95</f>
        <v>Transport to filling station</v>
      </c>
      <c r="B13" s="414">
        <f>L104</f>
        <v>0.93624057947076134</v>
      </c>
      <c r="C13" s="415">
        <v>1</v>
      </c>
      <c r="D13" s="416">
        <f t="shared" si="0"/>
        <v>0.93624057947076134</v>
      </c>
      <c r="E13" s="1217"/>
      <c r="F13" s="437"/>
      <c r="G13" s="437"/>
      <c r="H13" s="419">
        <f>0.44</f>
        <v>0.44</v>
      </c>
      <c r="I13" s="390"/>
      <c r="J13" s="438"/>
      <c r="K13" s="439"/>
      <c r="L13" s="439"/>
      <c r="M13" s="442"/>
      <c r="N13" s="443"/>
      <c r="O13" s="778"/>
      <c r="P13" s="778"/>
      <c r="Q13" s="778"/>
      <c r="R13" s="778"/>
    </row>
    <row r="14" spans="1:18" ht="17.25" customHeight="1" x14ac:dyDescent="0.35">
      <c r="A14" s="444" t="s">
        <v>551</v>
      </c>
      <c r="B14" s="445">
        <f>L116</f>
        <v>0</v>
      </c>
      <c r="C14" s="446">
        <f>J6</f>
        <v>0.71299999999999997</v>
      </c>
      <c r="D14" s="445">
        <f t="shared" si="0"/>
        <v>0</v>
      </c>
      <c r="E14" s="425">
        <f>D14</f>
        <v>0</v>
      </c>
      <c r="F14" s="451"/>
      <c r="G14" s="451"/>
      <c r="H14" s="447">
        <v>0</v>
      </c>
      <c r="I14" s="390"/>
      <c r="J14" s="438"/>
      <c r="K14" s="439"/>
      <c r="L14" s="439"/>
      <c r="M14" s="448"/>
      <c r="N14" s="449"/>
      <c r="O14" s="778"/>
      <c r="P14" s="778"/>
      <c r="Q14" s="778"/>
      <c r="R14" s="778"/>
    </row>
    <row r="15" spans="1:18" ht="16.5" customHeight="1" x14ac:dyDescent="0.35">
      <c r="A15" s="444" t="s">
        <v>724</v>
      </c>
      <c r="B15" s="445">
        <f>L135-L119</f>
        <v>0</v>
      </c>
      <c r="C15" s="446">
        <v>1</v>
      </c>
      <c r="D15" s="445">
        <f>C15*B15</f>
        <v>0</v>
      </c>
      <c r="E15" s="425">
        <f>D15</f>
        <v>0</v>
      </c>
      <c r="F15" s="451"/>
      <c r="G15" s="451"/>
      <c r="H15" s="447">
        <v>0</v>
      </c>
      <c r="I15" s="390"/>
      <c r="J15" s="438"/>
      <c r="K15" s="439"/>
      <c r="L15" s="439"/>
      <c r="M15" s="448"/>
      <c r="N15" s="449"/>
      <c r="O15" s="778"/>
      <c r="P15" s="778"/>
      <c r="Q15" s="778"/>
      <c r="R15" s="778"/>
    </row>
    <row r="16" spans="1:18" ht="16.5" customHeight="1" thickBot="1" x14ac:dyDescent="0.4">
      <c r="A16" s="444" t="s">
        <v>725</v>
      </c>
      <c r="B16" s="445">
        <f>L141+L147</f>
        <v>0</v>
      </c>
      <c r="C16" s="446">
        <v>1</v>
      </c>
      <c r="D16" s="445">
        <f t="shared" si="0"/>
        <v>0</v>
      </c>
      <c r="E16" s="425">
        <f>D16</f>
        <v>0</v>
      </c>
      <c r="F16" s="451"/>
      <c r="G16" s="451"/>
      <c r="H16" s="447">
        <v>0</v>
      </c>
      <c r="I16" s="390"/>
      <c r="J16" s="459" t="s">
        <v>1</v>
      </c>
      <c r="K16" s="460"/>
      <c r="L16" s="460"/>
      <c r="M16" s="461"/>
      <c r="N16" s="462"/>
      <c r="O16" s="778"/>
      <c r="P16" s="778"/>
      <c r="Q16" s="778"/>
      <c r="R16" s="778"/>
    </row>
    <row r="17" spans="1:18" ht="16.5" customHeight="1" thickBot="1" x14ac:dyDescent="0.3">
      <c r="A17" s="452" t="s">
        <v>1049</v>
      </c>
      <c r="B17" s="453">
        <f>SUM(B7:B14)-SUM(B15:B16)</f>
        <v>55.843323557680371</v>
      </c>
      <c r="C17" s="454"/>
      <c r="D17" s="779"/>
      <c r="E17" s="780">
        <f>SUM(E6:E14)-SUM(E15:E16)</f>
        <v>40.25833262330454</v>
      </c>
      <c r="F17" s="457"/>
      <c r="G17" s="457"/>
      <c r="H17" s="781">
        <v>40</v>
      </c>
      <c r="I17" s="379"/>
      <c r="J17" s="650"/>
      <c r="K17" s="651"/>
      <c r="L17" s="651"/>
      <c r="M17" s="652"/>
      <c r="N17" s="652"/>
      <c r="O17" s="778"/>
      <c r="P17" s="778"/>
      <c r="Q17" s="778"/>
      <c r="R17" s="778"/>
    </row>
    <row r="18" spans="1:18" ht="16.5" customHeight="1" x14ac:dyDescent="0.25">
      <c r="A18" s="464"/>
      <c r="B18" s="465"/>
      <c r="E18" s="466" t="s">
        <v>859</v>
      </c>
      <c r="F18" s="467"/>
      <c r="G18" s="467"/>
      <c r="H18" s="468"/>
      <c r="I18" s="469"/>
      <c r="J18" s="470"/>
      <c r="K18" s="433"/>
      <c r="L18" s="471"/>
      <c r="M18" s="433"/>
      <c r="N18" s="433"/>
      <c r="O18" s="472"/>
    </row>
    <row r="19" spans="1:18" ht="22.5" customHeight="1" thickBot="1" x14ac:dyDescent="0.25">
      <c r="A19" s="473" t="s">
        <v>1051</v>
      </c>
      <c r="B19" s="379"/>
      <c r="E19" s="474" t="s">
        <v>860</v>
      </c>
      <c r="F19" s="442"/>
      <c r="G19" s="442"/>
      <c r="H19" s="442"/>
      <c r="I19" s="439"/>
      <c r="J19" s="475"/>
      <c r="K19" s="475"/>
      <c r="L19" s="476"/>
      <c r="M19" s="477"/>
      <c r="N19" s="477"/>
      <c r="O19" s="478"/>
    </row>
    <row r="20" spans="1:18" ht="15.75" x14ac:dyDescent="0.25">
      <c r="A20" s="530" t="s">
        <v>872</v>
      </c>
      <c r="B20" s="480"/>
      <c r="C20" s="480"/>
      <c r="D20" s="480"/>
      <c r="E20" s="479" t="s">
        <v>513</v>
      </c>
      <c r="F20" s="481"/>
      <c r="G20" s="481"/>
      <c r="H20" s="480"/>
      <c r="I20" s="482" t="s">
        <v>532</v>
      </c>
      <c r="J20" s="481"/>
      <c r="K20" s="481"/>
      <c r="L20" s="483"/>
      <c r="M20" s="715"/>
      <c r="N20" s="782" t="s">
        <v>162</v>
      </c>
      <c r="O20" s="783"/>
    </row>
    <row r="21" spans="1:18" ht="15.75" x14ac:dyDescent="0.25">
      <c r="A21" s="486"/>
      <c r="B21" s="487" t="s">
        <v>524</v>
      </c>
      <c r="C21" s="488"/>
      <c r="D21" s="488"/>
      <c r="E21" s="489" t="s">
        <v>524</v>
      </c>
      <c r="F21" s="490"/>
      <c r="G21" s="490"/>
      <c r="H21" s="491"/>
      <c r="I21" s="492" t="s">
        <v>138</v>
      </c>
      <c r="J21" s="490"/>
      <c r="K21" s="490"/>
      <c r="L21" s="493"/>
      <c r="M21" s="484"/>
      <c r="N21" s="538" t="s">
        <v>878</v>
      </c>
      <c r="O21" s="749" t="s">
        <v>139</v>
      </c>
    </row>
    <row r="22" spans="1:18" ht="16.5" x14ac:dyDescent="0.3">
      <c r="A22" s="494"/>
      <c r="B22" s="495" t="s">
        <v>1098</v>
      </c>
      <c r="C22" s="496">
        <v>68860.103411513905</v>
      </c>
      <c r="D22" s="497" t="s">
        <v>527</v>
      </c>
      <c r="E22" s="656">
        <f>C22*(1-C23)*VLOOKUP($B22,'Standard values'!$C$9:$S$162,14, FALSE)</f>
        <v>280604.92140191916</v>
      </c>
      <c r="F22" s="495" t="s">
        <v>879</v>
      </c>
      <c r="G22" s="495"/>
      <c r="H22" s="499"/>
      <c r="I22" s="500" t="s">
        <v>1053</v>
      </c>
      <c r="J22" s="500" t="s">
        <v>1054</v>
      </c>
      <c r="K22" s="500" t="s">
        <v>1055</v>
      </c>
      <c r="L22" s="501" t="s">
        <v>1056</v>
      </c>
      <c r="M22" s="379"/>
      <c r="N22" s="501" t="s">
        <v>1056</v>
      </c>
      <c r="O22" s="501" t="s">
        <v>550</v>
      </c>
    </row>
    <row r="23" spans="1:18" ht="15.75" x14ac:dyDescent="0.3">
      <c r="A23" s="503"/>
      <c r="B23" s="495" t="s">
        <v>521</v>
      </c>
      <c r="C23" s="504">
        <v>0.75</v>
      </c>
      <c r="D23" s="497"/>
      <c r="E23" s="505">
        <v>1</v>
      </c>
      <c r="F23" s="506" t="s">
        <v>871</v>
      </c>
      <c r="G23" s="506"/>
      <c r="H23" s="495"/>
      <c r="I23" s="507"/>
      <c r="J23" s="508"/>
      <c r="K23" s="508"/>
      <c r="L23" s="509"/>
      <c r="M23" s="379"/>
      <c r="N23" s="541"/>
      <c r="O23" s="541"/>
    </row>
    <row r="24" spans="1:18" ht="15.75" x14ac:dyDescent="0.3">
      <c r="A24" s="503"/>
      <c r="B24" s="495"/>
      <c r="C24" s="660"/>
      <c r="D24" s="497"/>
      <c r="E24" s="510">
        <f>+C22/E152</f>
        <v>0.45141104294478529</v>
      </c>
      <c r="F24" s="506" t="s">
        <v>880</v>
      </c>
      <c r="G24" s="506"/>
      <c r="H24" s="495"/>
      <c r="I24" s="546"/>
      <c r="J24" s="546"/>
      <c r="K24" s="546"/>
      <c r="L24" s="661"/>
      <c r="M24" s="379"/>
      <c r="N24" s="541"/>
      <c r="O24" s="541"/>
    </row>
    <row r="25" spans="1:18" x14ac:dyDescent="0.2">
      <c r="A25" s="503"/>
      <c r="B25" s="511" t="s">
        <v>525</v>
      </c>
      <c r="C25" s="660"/>
      <c r="D25" s="497"/>
      <c r="E25" s="503"/>
      <c r="F25" s="495"/>
      <c r="G25" s="495"/>
      <c r="H25" s="495"/>
      <c r="I25" s="546"/>
      <c r="J25" s="546"/>
      <c r="K25" s="546"/>
      <c r="L25" s="661"/>
      <c r="M25" s="379"/>
      <c r="N25" s="541"/>
      <c r="O25" s="541"/>
    </row>
    <row r="26" spans="1:18" ht="14.25" x14ac:dyDescent="0.2">
      <c r="A26" s="503"/>
      <c r="B26" s="495" t="s">
        <v>509</v>
      </c>
      <c r="C26" s="723">
        <v>6331</v>
      </c>
      <c r="D26" s="497" t="s">
        <v>528</v>
      </c>
      <c r="E26" s="513"/>
      <c r="F26" s="495"/>
      <c r="G26" s="495"/>
      <c r="H26" s="495"/>
      <c r="I26" s="508">
        <f>$C26*VLOOKUP($B26,'Standard values'!$C$9:$S$162,7, FALSE)/$E$152</f>
        <v>3.6372544580483752</v>
      </c>
      <c r="J26" s="508">
        <f>$C26*VLOOKUP($B26,'Standard values'!$C$9:$S$162,8, FALSE)/$E$152</f>
        <v>0</v>
      </c>
      <c r="K26" s="508">
        <f>$C26*VLOOKUP($B26,'Standard values'!$C$9:$S$162,9, FALSE)/$E$152</f>
        <v>0</v>
      </c>
      <c r="L26" s="509">
        <f>I26*'Standard values'!$D$10+J26*'Standard values'!$D$11+K26*'Standard values'!$D$12</f>
        <v>3.6372544580483752</v>
      </c>
      <c r="M26" s="379"/>
      <c r="N26" s="562">
        <f>+L26/E$24</f>
        <v>8.0575221073917529</v>
      </c>
      <c r="O26" s="750">
        <f>L26*$E$152/1000</f>
        <v>554.84180555555554</v>
      </c>
    </row>
    <row r="27" spans="1:18" x14ac:dyDescent="0.2">
      <c r="A27" s="503"/>
      <c r="B27" s="495"/>
      <c r="C27" s="660"/>
      <c r="D27" s="497"/>
      <c r="E27" s="513"/>
      <c r="F27" s="495"/>
      <c r="G27" s="495"/>
      <c r="H27" s="495"/>
      <c r="I27" s="508"/>
      <c r="J27" s="508"/>
      <c r="K27" s="508"/>
      <c r="L27" s="509"/>
      <c r="M27" s="379"/>
      <c r="N27" s="562"/>
      <c r="O27" s="750"/>
    </row>
    <row r="28" spans="1:18" x14ac:dyDescent="0.2">
      <c r="A28" s="503"/>
      <c r="B28" s="511" t="s">
        <v>1045</v>
      </c>
      <c r="C28" s="660"/>
      <c r="D28" s="497"/>
      <c r="E28" s="513"/>
      <c r="F28" s="495"/>
      <c r="G28" s="495"/>
      <c r="H28" s="495"/>
      <c r="I28" s="508"/>
      <c r="J28" s="508"/>
      <c r="K28" s="508"/>
      <c r="L28" s="509"/>
      <c r="M28" s="379"/>
      <c r="N28" s="562"/>
      <c r="O28" s="750"/>
    </row>
    <row r="29" spans="1:18" ht="14.25" x14ac:dyDescent="0.2">
      <c r="A29" s="503"/>
      <c r="B29" s="495" t="s">
        <v>231</v>
      </c>
      <c r="C29" s="556">
        <v>119.65135699975498</v>
      </c>
      <c r="D29" s="497" t="s">
        <v>529</v>
      </c>
      <c r="E29" s="513"/>
      <c r="F29" s="495"/>
      <c r="G29" s="495"/>
      <c r="H29" s="495"/>
      <c r="I29" s="508">
        <f>$C29*VLOOKUP($B29,'Standard values'!$C$9:$S$162,3, FALSE)/$E$152</f>
        <v>2.2174237674100881</v>
      </c>
      <c r="J29" s="508">
        <f>$C29*VLOOKUP($B29,'Standard values'!$C$9:$S$162,4, FALSE)/$E$152</f>
        <v>6.8074085731505713E-3</v>
      </c>
      <c r="K29" s="508">
        <f>$C29*VLOOKUP($B29,'Standard values'!$C$9:$S$162,5, FALSE)/$E$152</f>
        <v>7.5627589045263368E-3</v>
      </c>
      <c r="L29" s="509">
        <f>I29*'Standard values'!$D$10+J29*'Standard values'!$D$11+K29*'Standard values'!$D$12</f>
        <v>4.641311135287701</v>
      </c>
      <c r="M29" s="379"/>
      <c r="N29" s="562">
        <f t="shared" ref="N29:N34" si="1">+L29/E$24</f>
        <v>10.281784656861854</v>
      </c>
      <c r="O29" s="750">
        <f t="shared" ref="O29:O34" si="2">L29*$E$152/1000</f>
        <v>708.00475472642438</v>
      </c>
    </row>
    <row r="30" spans="1:18" ht="14.25" x14ac:dyDescent="0.2">
      <c r="A30" s="503"/>
      <c r="B30" s="495" t="s">
        <v>504</v>
      </c>
      <c r="C30" s="556">
        <v>0</v>
      </c>
      <c r="D30" s="497" t="s">
        <v>529</v>
      </c>
      <c r="E30" s="513"/>
      <c r="F30" s="495"/>
      <c r="G30" s="495"/>
      <c r="H30" s="495"/>
      <c r="I30" s="508">
        <f>$C30*VLOOKUP($B30,'Standard values'!$C$9:$S$162,3, FALSE)/$E$152</f>
        <v>0</v>
      </c>
      <c r="J30" s="508">
        <f>$C30*VLOOKUP($B30,'Standard values'!$C$9:$S$162,4, FALSE)/$E$152</f>
        <v>0</v>
      </c>
      <c r="K30" s="508">
        <f>$C30*VLOOKUP($B30,'Standard values'!$C$9:$S$162,5, FALSE)/$E$152</f>
        <v>0</v>
      </c>
      <c r="L30" s="509">
        <f>I30*'Standard values'!$D$10+J30*'Standard values'!$D$11+K30*'Standard values'!$D$12</f>
        <v>0</v>
      </c>
      <c r="M30" s="379"/>
      <c r="N30" s="562">
        <f t="shared" si="1"/>
        <v>0</v>
      </c>
      <c r="O30" s="750">
        <f t="shared" si="2"/>
        <v>0</v>
      </c>
    </row>
    <row r="31" spans="1:18" ht="14.25" x14ac:dyDescent="0.2">
      <c r="A31" s="503"/>
      <c r="B31" s="495" t="s">
        <v>234</v>
      </c>
      <c r="C31" s="556">
        <v>400</v>
      </c>
      <c r="D31" s="497" t="s">
        <v>745</v>
      </c>
      <c r="E31" s="513"/>
      <c r="F31" s="495"/>
      <c r="G31" s="495"/>
      <c r="H31" s="495"/>
      <c r="I31" s="508">
        <f>$C31*VLOOKUP($B31,'Standard values'!$C$9:$S$162,3, FALSE)/$E$152</f>
        <v>0.31234503073615932</v>
      </c>
      <c r="J31" s="508">
        <f>$C31*VLOOKUP($B31,'Standard values'!$C$9:$S$162,4, FALSE)/$E$152</f>
        <v>5.661312681414486E-4</v>
      </c>
      <c r="K31" s="508">
        <f>$C31*VLOOKUP($B31,'Standard values'!$C$9:$S$162,5, FALSE)/$E$152</f>
        <v>4.7986114900363642E-5</v>
      </c>
      <c r="L31" s="509">
        <f>I31*'Standard values'!$D$10+J31*'Standard values'!$D$11+K31*'Standard values'!$D$12</f>
        <v>0.3407981746800039</v>
      </c>
      <c r="M31" s="379"/>
      <c r="N31" s="562">
        <f t="shared" si="1"/>
        <v>0.75496197978853807</v>
      </c>
      <c r="O31" s="750">
        <f t="shared" si="2"/>
        <v>51.986760000000004</v>
      </c>
    </row>
    <row r="32" spans="1:18" ht="15.75" x14ac:dyDescent="0.3">
      <c r="A32" s="503"/>
      <c r="B32" s="495" t="s">
        <v>233</v>
      </c>
      <c r="C32" s="556">
        <v>134.88512128680762</v>
      </c>
      <c r="D32" s="497" t="s">
        <v>530</v>
      </c>
      <c r="E32" s="513"/>
      <c r="F32" s="495"/>
      <c r="G32" s="495"/>
      <c r="H32" s="495"/>
      <c r="I32" s="508">
        <f>$C32*VLOOKUP($B32,'Standard values'!$C$9:$S$162,3, FALSE)/$E$152</f>
        <v>0.47422580122836322</v>
      </c>
      <c r="J32" s="508">
        <f>$C32*VLOOKUP($B32,'Standard values'!$C$9:$S$162,4, FALSE)/$E$152</f>
        <v>1.3890474930672411E-3</v>
      </c>
      <c r="K32" s="508">
        <f>$C32*VLOOKUP($B32,'Standard values'!$C$9:$S$162,5, FALSE)/$E$152</f>
        <v>1.0876111887915888E-5</v>
      </c>
      <c r="L32" s="509">
        <f>I32*'Standard values'!$D$10+J32*'Standard values'!$D$11+K32*'Standard values'!$D$12</f>
        <v>0.51219306989764313</v>
      </c>
      <c r="M32" s="379"/>
      <c r="N32" s="562">
        <f t="shared" si="1"/>
        <v>1.1346489588653959</v>
      </c>
      <c r="O32" s="750">
        <f t="shared" si="2"/>
        <v>78.132044643237748</v>
      </c>
    </row>
    <row r="33" spans="1:15" ht="15.75" x14ac:dyDescent="0.3">
      <c r="A33" s="503"/>
      <c r="B33" s="495" t="s">
        <v>232</v>
      </c>
      <c r="C33" s="556">
        <v>59.704474207636103</v>
      </c>
      <c r="D33" s="497" t="s">
        <v>531</v>
      </c>
      <c r="E33" s="513"/>
      <c r="F33" s="495"/>
      <c r="G33" s="495"/>
      <c r="H33" s="495"/>
      <c r="I33" s="508">
        <f>$C33*VLOOKUP($B33,'Standard values'!$C$9:$S$162,3, FALSE)/$E$152</f>
        <v>0.37764837184849209</v>
      </c>
      <c r="J33" s="508">
        <f>$C33*VLOOKUP($B33,'Standard values'!$C$9:$S$162,4, FALSE)/$E$152</f>
        <v>5.2094208275309381E-4</v>
      </c>
      <c r="K33" s="508">
        <f>$C33*VLOOKUP($B33,'Standard values'!$C$9:$S$162,5, FALSE)/$E$152</f>
        <v>2.0156662105022035E-5</v>
      </c>
      <c r="L33" s="509">
        <f>I33*'Standard values'!$D$10+J33*'Standard values'!$D$11+K33*'Standard values'!$D$12</f>
        <v>0.39667860922461601</v>
      </c>
      <c r="M33" s="379"/>
      <c r="N33" s="562">
        <f t="shared" si="1"/>
        <v>0.87875255916842088</v>
      </c>
      <c r="O33" s="750">
        <f t="shared" si="2"/>
        <v>60.510992097469952</v>
      </c>
    </row>
    <row r="34" spans="1:15" ht="14.25" x14ac:dyDescent="0.2">
      <c r="A34" s="503"/>
      <c r="B34" s="495" t="s">
        <v>502</v>
      </c>
      <c r="C34" s="728">
        <v>1.2965</v>
      </c>
      <c r="D34" s="497" t="s">
        <v>527</v>
      </c>
      <c r="E34" s="513"/>
      <c r="F34" s="665"/>
      <c r="G34" s="665"/>
      <c r="H34" s="665"/>
      <c r="I34" s="508">
        <f>$C34*VLOOKUP($B34,'Standard values'!$C$9:$S$162,3, FALSE)/$E$152</f>
        <v>8.4027160565820491E-2</v>
      </c>
      <c r="J34" s="508">
        <f>$C34*VLOOKUP($B34,'Standard values'!$C$9:$S$162,4, FALSE)/$E$152</f>
        <v>2.1695941906245064E-4</v>
      </c>
      <c r="K34" s="508">
        <f>$C34*VLOOKUP($B34,'Standard values'!$C$9:$S$162,5, FALSE)/$E$152</f>
        <v>1.4290521336603235E-5</v>
      </c>
      <c r="L34" s="509">
        <f>I34*'Standard values'!$D$10+J34*'Standard values'!$D$11+K34*'Standard values'!$D$12</f>
        <v>9.3709721400689519E-2</v>
      </c>
      <c r="M34" s="379"/>
      <c r="N34" s="562">
        <f t="shared" si="1"/>
        <v>0.20759288649513985</v>
      </c>
      <c r="O34" s="750">
        <f t="shared" si="2"/>
        <v>14.29486763155</v>
      </c>
    </row>
    <row r="35" spans="1:15" x14ac:dyDescent="0.2">
      <c r="A35" s="503"/>
      <c r="B35" s="495"/>
      <c r="C35" s="666"/>
      <c r="D35" s="497"/>
      <c r="E35" s="513"/>
      <c r="F35" s="665"/>
      <c r="G35" s="665"/>
      <c r="H35" s="665"/>
      <c r="I35" s="508"/>
      <c r="J35" s="508"/>
      <c r="K35" s="508"/>
      <c r="L35" s="509"/>
      <c r="M35" s="379"/>
      <c r="N35" s="562"/>
      <c r="O35" s="750"/>
    </row>
    <row r="36" spans="1:15" x14ac:dyDescent="0.2">
      <c r="A36" s="503"/>
      <c r="B36" s="511" t="s">
        <v>511</v>
      </c>
      <c r="C36" s="666"/>
      <c r="D36" s="497"/>
      <c r="E36" s="513"/>
      <c r="F36" s="495"/>
      <c r="G36" s="495"/>
      <c r="H36" s="665"/>
      <c r="I36" s="508"/>
      <c r="J36" s="508"/>
      <c r="K36" s="508"/>
      <c r="L36" s="509"/>
      <c r="M36" s="379"/>
      <c r="N36" s="562"/>
      <c r="O36" s="750"/>
    </row>
    <row r="37" spans="1:15" ht="14.25" x14ac:dyDescent="0.2">
      <c r="A37" s="503"/>
      <c r="B37" s="499" t="s">
        <v>1077</v>
      </c>
      <c r="C37" s="542">
        <v>6</v>
      </c>
      <c r="D37" s="497" t="s">
        <v>527</v>
      </c>
      <c r="E37" s="513"/>
      <c r="F37" s="495"/>
      <c r="G37" s="495"/>
      <c r="H37" s="495"/>
      <c r="I37" s="508">
        <f>$C37*VLOOKUP($B37,'Standard values'!$C$9:$S$162,3, FALSE)/$E$152</f>
        <v>8.6049098501430846E-2</v>
      </c>
      <c r="J37" s="508">
        <f>$C37*VLOOKUP($B37,'Standard values'!$C$9:$S$162,4, FALSE)/$E$152</f>
        <v>1.8094698605543676E-4</v>
      </c>
      <c r="K37" s="508">
        <f>$C37*VLOOKUP($B37,'Standard values'!$C$9:$S$162,5, FALSE)/$E$152</f>
        <v>1.6567009504945215E-4</v>
      </c>
      <c r="L37" s="509">
        <f>I37*'Standard values'!$D$10+J37*'Standard values'!$D$11+K37*'Standard values'!$D$12</f>
        <v>0.13994246147755351</v>
      </c>
      <c r="M37" s="379"/>
      <c r="N37" s="562">
        <f>+L37/E$24</f>
        <v>0.31001116092472442</v>
      </c>
      <c r="O37" s="750">
        <f>L37*$E$152/1000</f>
        <v>21.3474006</v>
      </c>
    </row>
    <row r="38" spans="1:15" x14ac:dyDescent="0.2">
      <c r="A38" s="503"/>
      <c r="B38" s="511"/>
      <c r="C38" s="668"/>
      <c r="D38" s="497"/>
      <c r="E38" s="513"/>
      <c r="F38" s="495"/>
      <c r="G38" s="495"/>
      <c r="H38" s="495"/>
      <c r="I38" s="508"/>
      <c r="J38" s="508"/>
      <c r="K38" s="508"/>
      <c r="L38" s="509"/>
      <c r="M38" s="379"/>
      <c r="N38" s="562"/>
      <c r="O38" s="750"/>
    </row>
    <row r="39" spans="1:15" ht="15" x14ac:dyDescent="0.25">
      <c r="A39" s="503"/>
      <c r="B39" s="511" t="s">
        <v>1046</v>
      </c>
      <c r="C39" s="728">
        <v>3.2737240830223904</v>
      </c>
      <c r="D39" s="497" t="s">
        <v>527</v>
      </c>
      <c r="E39" s="513"/>
      <c r="F39" s="495"/>
      <c r="G39" s="495"/>
      <c r="H39" s="495"/>
      <c r="I39" s="508">
        <v>0</v>
      </c>
      <c r="J39" s="508">
        <v>0</v>
      </c>
      <c r="K39" s="508">
        <f>1000*$C39/$E$152</f>
        <v>2.1460833333333335E-2</v>
      </c>
      <c r="L39" s="509">
        <f>I39*'Standard values'!$D$10+J39*'Standard values'!$D$11+K39*'Standard values'!$D$12</f>
        <v>6.3953283333333335</v>
      </c>
      <c r="M39" s="379"/>
      <c r="N39" s="562">
        <f>+L39/E$24</f>
        <v>14.167416666666666</v>
      </c>
      <c r="O39" s="750">
        <f>L39*$E$152/1000</f>
        <v>975.5697767406723</v>
      </c>
    </row>
    <row r="40" spans="1:15" ht="15.75" x14ac:dyDescent="0.3">
      <c r="A40" s="503"/>
      <c r="B40" s="511"/>
      <c r="C40" s="670" t="s">
        <v>664</v>
      </c>
      <c r="D40" s="495"/>
      <c r="E40" s="513"/>
      <c r="F40" s="514"/>
      <c r="G40" s="514"/>
      <c r="H40" s="514" t="s">
        <v>1047</v>
      </c>
      <c r="I40" s="515">
        <f>SUM(I23:I39)</f>
        <v>7.1889736883387299</v>
      </c>
      <c r="J40" s="515">
        <f>SUM(J23:J39)</f>
        <v>9.6814358222302426E-3</v>
      </c>
      <c r="K40" s="515">
        <f>SUM(K23:K39)</f>
        <v>2.928257174313903E-2</v>
      </c>
      <c r="L40" s="516">
        <f>I40*'Standard values'!$D$10+J40*'Standard values'!$D$11+K40*'Standard values'!$D$12</f>
        <v>16.157215963349916</v>
      </c>
      <c r="M40" s="379"/>
      <c r="N40" s="1201">
        <f>+L40/E$24</f>
        <v>35.79269097616249</v>
      </c>
      <c r="O40" s="1202">
        <f>L40*$E$152/1000</f>
        <v>2464.6884019949098</v>
      </c>
    </row>
    <row r="41" spans="1:15" x14ac:dyDescent="0.2">
      <c r="A41" s="503"/>
      <c r="B41" s="511"/>
      <c r="C41" s="671" t="s">
        <v>665</v>
      </c>
      <c r="D41" s="495"/>
      <c r="E41" s="513"/>
      <c r="F41" s="514"/>
      <c r="G41" s="514"/>
      <c r="H41" s="514"/>
      <c r="I41" s="416"/>
      <c r="J41" s="416"/>
      <c r="K41" s="416"/>
      <c r="L41" s="436"/>
      <c r="M41" s="379"/>
      <c r="N41" s="1203"/>
      <c r="O41" s="1204"/>
    </row>
    <row r="42" spans="1:15" ht="14.25" x14ac:dyDescent="0.25">
      <c r="A42" s="519"/>
      <c r="B42" s="520"/>
      <c r="C42" s="520"/>
      <c r="D42" s="520"/>
      <c r="E42" s="519"/>
      <c r="F42" s="521"/>
      <c r="G42" s="521"/>
      <c r="H42" s="521" t="s">
        <v>534</v>
      </c>
      <c r="I42" s="522"/>
      <c r="J42" s="523" t="s">
        <v>1048</v>
      </c>
      <c r="K42" s="524"/>
      <c r="L42" s="525">
        <f>N40*E$24</f>
        <v>16.157215963349916</v>
      </c>
      <c r="M42" s="379"/>
      <c r="N42" s="390"/>
      <c r="O42" s="390"/>
    </row>
    <row r="43" spans="1:15" x14ac:dyDescent="0.2">
      <c r="A43" s="379"/>
      <c r="B43" s="379"/>
      <c r="C43" s="379"/>
      <c r="D43" s="379"/>
      <c r="E43" s="379"/>
      <c r="F43" s="526"/>
      <c r="G43" s="526"/>
      <c r="H43" s="526"/>
      <c r="I43" s="527"/>
      <c r="J43" s="528"/>
      <c r="K43" s="484"/>
      <c r="L43" s="430"/>
      <c r="M43" s="379"/>
      <c r="N43" s="390"/>
      <c r="O43" s="390"/>
    </row>
    <row r="44" spans="1:15" x14ac:dyDescent="0.2">
      <c r="A44" s="390"/>
      <c r="B44" s="390"/>
      <c r="C44" s="390"/>
      <c r="D44" s="390"/>
      <c r="E44" s="390"/>
      <c r="F44" s="390"/>
      <c r="G44" s="390"/>
      <c r="H44" s="390"/>
      <c r="I44" s="529"/>
      <c r="J44" s="529"/>
      <c r="K44" s="529"/>
      <c r="L44" s="529"/>
      <c r="M44" s="379"/>
      <c r="N44" s="390"/>
      <c r="O44" s="390"/>
    </row>
    <row r="45" spans="1:15" ht="15.75" x14ac:dyDescent="0.25">
      <c r="A45" s="530" t="s">
        <v>873</v>
      </c>
      <c r="B45" s="531"/>
      <c r="C45" s="531"/>
      <c r="D45" s="531"/>
      <c r="E45" s="530" t="s">
        <v>513</v>
      </c>
      <c r="F45" s="532"/>
      <c r="G45" s="532"/>
      <c r="H45" s="531"/>
      <c r="I45" s="532" t="s">
        <v>532</v>
      </c>
      <c r="J45" s="533"/>
      <c r="K45" s="533"/>
      <c r="L45" s="534"/>
      <c r="M45" s="379"/>
      <c r="N45" s="535" t="s">
        <v>162</v>
      </c>
      <c r="O45" s="390"/>
    </row>
    <row r="46" spans="1:15" ht="15.75" x14ac:dyDescent="0.3">
      <c r="A46" s="503"/>
      <c r="B46" s="511" t="s">
        <v>1098</v>
      </c>
      <c r="C46" s="536">
        <v>1</v>
      </c>
      <c r="D46" s="495" t="s">
        <v>874</v>
      </c>
      <c r="E46" s="553">
        <f>E22*C46</f>
        <v>280604.92140191916</v>
      </c>
      <c r="F46" s="674" t="s">
        <v>879</v>
      </c>
      <c r="G46" s="674"/>
      <c r="H46" s="495"/>
      <c r="I46" s="492" t="s">
        <v>138</v>
      </c>
      <c r="J46" s="514"/>
      <c r="K46" s="514"/>
      <c r="L46" s="537"/>
      <c r="M46" s="379"/>
      <c r="N46" s="554" t="s">
        <v>878</v>
      </c>
      <c r="O46" s="390"/>
    </row>
    <row r="47" spans="1:15" ht="15.75" x14ac:dyDescent="0.3">
      <c r="A47" s="503"/>
      <c r="B47" s="495"/>
      <c r="C47" s="495"/>
      <c r="D47" s="495"/>
      <c r="E47" s="505">
        <f>E23*C46</f>
        <v>1</v>
      </c>
      <c r="F47" s="506" t="s">
        <v>871</v>
      </c>
      <c r="G47" s="506"/>
      <c r="H47" s="495"/>
      <c r="I47" s="539" t="s">
        <v>1053</v>
      </c>
      <c r="J47" s="539" t="s">
        <v>1054</v>
      </c>
      <c r="K47" s="539" t="s">
        <v>1055</v>
      </c>
      <c r="L47" s="540" t="s">
        <v>1056</v>
      </c>
      <c r="M47" s="379"/>
      <c r="N47" s="501" t="s">
        <v>1056</v>
      </c>
      <c r="O47" s="390"/>
    </row>
    <row r="48" spans="1:15" x14ac:dyDescent="0.2">
      <c r="A48" s="503"/>
      <c r="B48" s="511" t="s">
        <v>498</v>
      </c>
      <c r="C48" s="495"/>
      <c r="D48" s="495"/>
      <c r="E48" s="505"/>
      <c r="F48" s="506"/>
      <c r="G48" s="506"/>
      <c r="H48" s="495"/>
      <c r="I48" s="539"/>
      <c r="J48" s="539"/>
      <c r="K48" s="539"/>
      <c r="L48" s="540"/>
      <c r="M48" s="379"/>
      <c r="N48" s="541"/>
      <c r="O48" s="390"/>
    </row>
    <row r="49" spans="1:15" ht="15.75" x14ac:dyDescent="0.3">
      <c r="A49" s="503"/>
      <c r="B49" s="495" t="s">
        <v>1111</v>
      </c>
      <c r="C49" s="542">
        <v>30</v>
      </c>
      <c r="D49" s="495" t="s">
        <v>510</v>
      </c>
      <c r="E49" s="543">
        <f>(C49*E47)/(VLOOKUP($B46,'Standard values'!$C$9:$S$162,14, FALSE))/(1-$C$23)/1000</f>
        <v>7.3619631901840482E-3</v>
      </c>
      <c r="F49" s="495" t="s">
        <v>243</v>
      </c>
      <c r="G49" s="495"/>
      <c r="H49" s="495"/>
      <c r="I49" s="544">
        <f>$E49*VLOOKUP($B49,'Standard values'!$C$9:$S$162,15, FALSE)*VLOOKUP(C50,'Standard values'!$C$9:$S$162,7, FALSE)/$E$153</f>
        <v>1.1108774355828221</v>
      </c>
      <c r="J49" s="544">
        <f>$E49*((VLOOKUP($B49,'Standard values'!$C$9:$S$162,15, FALSE)*VLOOKUP(C50,'Standard values'!$C$9:$S$162,8, FALSE))+VLOOKUP($B49,'Standard values'!$C$9:$S$162,16, FALSE))/$E$153</f>
        <v>6.7711656441717786E-5</v>
      </c>
      <c r="K49" s="544">
        <f>$E49*((VLOOKUP($B49,'Standard values'!$C$9:$S$162,15, FALSE)*VLOOKUP(C50,'Standard values'!$C$9:$S$162,9, FALSE))+VLOOKUP($B49,'Standard values'!$C$9:$S$162,17, FALSE))/$E$153</f>
        <v>0</v>
      </c>
      <c r="L49" s="516">
        <f>I49*'Standard values'!$D$10+J49*'Standard values'!$D$11+K49*'Standard values'!$D$12</f>
        <v>1.1125702269938651</v>
      </c>
      <c r="M49" s="379"/>
      <c r="N49" s="1201">
        <f>+L49/E$24</f>
        <v>2.4646500000000002</v>
      </c>
      <c r="O49" s="390"/>
    </row>
    <row r="50" spans="1:15" x14ac:dyDescent="0.2">
      <c r="A50" s="503"/>
      <c r="B50" s="546" t="s">
        <v>54</v>
      </c>
      <c r="C50" s="547" t="s">
        <v>509</v>
      </c>
      <c r="D50" s="495"/>
      <c r="E50" s="543"/>
      <c r="F50" s="495"/>
      <c r="G50" s="495"/>
      <c r="H50" s="495"/>
      <c r="I50" s="544"/>
      <c r="J50" s="544"/>
      <c r="K50" s="544"/>
      <c r="L50" s="516"/>
      <c r="M50" s="379"/>
      <c r="N50" s="1203"/>
      <c r="O50" s="390"/>
    </row>
    <row r="51" spans="1:15" x14ac:dyDescent="0.2">
      <c r="A51" s="503"/>
      <c r="B51" s="495"/>
      <c r="C51" s="495"/>
      <c r="D51" s="495"/>
      <c r="E51" s="503"/>
      <c r="F51" s="495"/>
      <c r="G51" s="495"/>
      <c r="H51" s="548"/>
      <c r="I51" s="544"/>
      <c r="J51" s="544"/>
      <c r="K51" s="544"/>
      <c r="L51" s="516"/>
      <c r="M51" s="379"/>
      <c r="N51" s="390"/>
      <c r="O51" s="390"/>
    </row>
    <row r="52" spans="1:15" ht="14.25" x14ac:dyDescent="0.25">
      <c r="A52" s="519"/>
      <c r="B52" s="520"/>
      <c r="C52" s="520"/>
      <c r="D52" s="520"/>
      <c r="E52" s="519"/>
      <c r="F52" s="521"/>
      <c r="G52" s="521"/>
      <c r="H52" s="521" t="s">
        <v>534</v>
      </c>
      <c r="I52" s="520"/>
      <c r="J52" s="523" t="s">
        <v>1048</v>
      </c>
      <c r="K52" s="549"/>
      <c r="L52" s="525">
        <f>N49*E$24</f>
        <v>1.1125702269938651</v>
      </c>
      <c r="M52" s="379"/>
      <c r="N52" s="390"/>
      <c r="O52" s="390"/>
    </row>
    <row r="53" spans="1:15" x14ac:dyDescent="0.2">
      <c r="A53" s="390"/>
      <c r="B53" s="390"/>
      <c r="C53" s="390"/>
      <c r="D53" s="390"/>
      <c r="E53" s="390"/>
      <c r="F53" s="376"/>
      <c r="G53" s="376"/>
      <c r="H53" s="376"/>
      <c r="I53" s="390"/>
      <c r="J53" s="550"/>
      <c r="K53" s="551"/>
      <c r="L53" s="552"/>
      <c r="M53" s="379"/>
      <c r="N53" s="379"/>
      <c r="O53" s="379"/>
    </row>
    <row r="54" spans="1:15" x14ac:dyDescent="0.2">
      <c r="A54" s="390"/>
      <c r="B54" s="390"/>
      <c r="C54" s="390"/>
      <c r="D54" s="390"/>
      <c r="E54" s="390"/>
      <c r="F54" s="390"/>
      <c r="G54" s="390"/>
      <c r="H54" s="390"/>
      <c r="I54" s="390"/>
      <c r="J54" s="390"/>
      <c r="K54" s="390"/>
      <c r="L54" s="375"/>
      <c r="M54" s="379"/>
      <c r="N54" s="379"/>
      <c r="O54" s="379"/>
    </row>
    <row r="55" spans="1:15" ht="15.75" x14ac:dyDescent="0.25">
      <c r="A55" s="530" t="s">
        <v>536</v>
      </c>
      <c r="B55" s="531"/>
      <c r="C55" s="531"/>
      <c r="D55" s="531"/>
      <c r="E55" s="530" t="s">
        <v>513</v>
      </c>
      <c r="F55" s="532"/>
      <c r="G55" s="532"/>
      <c r="H55" s="531"/>
      <c r="I55" s="532" t="s">
        <v>532</v>
      </c>
      <c r="J55" s="533"/>
      <c r="K55" s="533"/>
      <c r="L55" s="534"/>
      <c r="M55" s="379"/>
      <c r="N55" s="535" t="s">
        <v>162</v>
      </c>
      <c r="O55" s="379"/>
    </row>
    <row r="56" spans="1:15" x14ac:dyDescent="0.2">
      <c r="A56" s="503"/>
      <c r="B56" s="511" t="s">
        <v>524</v>
      </c>
      <c r="C56" s="495"/>
      <c r="D56" s="495"/>
      <c r="E56" s="553"/>
      <c r="F56" s="495"/>
      <c r="G56" s="495"/>
      <c r="H56" s="495"/>
      <c r="I56" s="492" t="s">
        <v>138</v>
      </c>
      <c r="J56" s="514"/>
      <c r="K56" s="514"/>
      <c r="L56" s="537"/>
      <c r="M56" s="379"/>
      <c r="N56" s="554" t="s">
        <v>1010</v>
      </c>
      <c r="O56" s="379"/>
    </row>
    <row r="57" spans="1:15" ht="15.75" x14ac:dyDescent="0.3">
      <c r="A57" s="503"/>
      <c r="B57" s="495" t="s">
        <v>499</v>
      </c>
      <c r="C57" s="536">
        <v>0.54362598532209838</v>
      </c>
      <c r="D57" s="495" t="s">
        <v>875</v>
      </c>
      <c r="E57" s="553">
        <f>E46*C57</f>
        <v>152544.12688334828</v>
      </c>
      <c r="F57" s="495" t="s">
        <v>1030</v>
      </c>
      <c r="G57" s="495"/>
      <c r="H57" s="495"/>
      <c r="I57" s="539" t="s">
        <v>1053</v>
      </c>
      <c r="J57" s="539" t="s">
        <v>1054</v>
      </c>
      <c r="K57" s="539" t="s">
        <v>1055</v>
      </c>
      <c r="L57" s="540" t="s">
        <v>1056</v>
      </c>
      <c r="M57" s="379"/>
      <c r="N57" s="501" t="s">
        <v>1056</v>
      </c>
      <c r="O57" s="379"/>
    </row>
    <row r="58" spans="1:15" ht="15.75" x14ac:dyDescent="0.3">
      <c r="A58" s="563"/>
      <c r="B58" s="506" t="s">
        <v>122</v>
      </c>
      <c r="C58" s="536">
        <v>0.21882280194592182</v>
      </c>
      <c r="D58" s="674" t="s">
        <v>877</v>
      </c>
      <c r="E58" s="505">
        <f>E47*C57</f>
        <v>0.54362598532209838</v>
      </c>
      <c r="F58" s="506" t="s">
        <v>871</v>
      </c>
      <c r="G58" s="506"/>
      <c r="H58" s="495"/>
      <c r="I58" s="495"/>
      <c r="J58" s="495"/>
      <c r="K58" s="495"/>
      <c r="L58" s="541"/>
      <c r="M58" s="379"/>
      <c r="N58" s="541"/>
      <c r="O58" s="379"/>
    </row>
    <row r="59" spans="1:15" ht="15.75" x14ac:dyDescent="0.3">
      <c r="A59" s="563"/>
      <c r="B59" s="506"/>
      <c r="C59" s="564"/>
      <c r="D59" s="506"/>
      <c r="E59" s="762">
        <f>E57/$E$152/VLOOKUP($B57,'Standard values'!$C$9:$S$162,14, FALSE)</f>
        <v>3.7299515106303617E-2</v>
      </c>
      <c r="F59" s="495" t="s">
        <v>1009</v>
      </c>
      <c r="G59" s="495"/>
      <c r="H59" s="495"/>
      <c r="I59" s="495"/>
      <c r="J59" s="495"/>
      <c r="K59" s="495"/>
      <c r="L59" s="541"/>
      <c r="M59" s="379"/>
      <c r="N59" s="562"/>
      <c r="O59" s="379"/>
    </row>
    <row r="60" spans="1:15" x14ac:dyDescent="0.2">
      <c r="A60" s="503"/>
      <c r="B60" s="511" t="s">
        <v>525</v>
      </c>
      <c r="C60" s="495"/>
      <c r="D60" s="495"/>
      <c r="E60" s="510"/>
      <c r="F60" s="495"/>
      <c r="G60" s="495"/>
      <c r="H60" s="495"/>
      <c r="I60" s="495"/>
      <c r="J60" s="495"/>
      <c r="K60" s="495"/>
      <c r="L60" s="541"/>
      <c r="M60" s="379"/>
      <c r="N60" s="562"/>
      <c r="O60" s="379"/>
    </row>
    <row r="61" spans="1:15" ht="15.75" x14ac:dyDescent="0.3">
      <c r="A61" s="503"/>
      <c r="B61" s="1301" t="s">
        <v>50</v>
      </c>
      <c r="C61" s="536">
        <f>1.4*0.0345</f>
        <v>4.8300000000000003E-2</v>
      </c>
      <c r="D61" s="495" t="s">
        <v>495</v>
      </c>
      <c r="E61" s="510"/>
      <c r="F61" s="495"/>
      <c r="G61" s="495"/>
      <c r="H61" s="495"/>
      <c r="I61" s="544">
        <f>$C61*$E$58*VLOOKUP($B61,'Standard values'!$C$9:$S$162,7, FALSE)/$E$153</f>
        <v>5.7651926500000004</v>
      </c>
      <c r="J61" s="544">
        <f>$C61*$E$58*VLOOKUP($B61,'Standard values'!$C$9:$S$162,8, FALSE)/$E$153</f>
        <v>1.4059325000000003E-2</v>
      </c>
      <c r="K61" s="544">
        <f>$C61*$E$58*VLOOKUP($B61,'Standard values'!$C$9:$S$162,9, FALSE)/$E$153</f>
        <v>2.6028333333333336E-4</v>
      </c>
      <c r="L61" s="419">
        <f>I61*'Standard values'!$D$10+J61*'Standard values'!$D$11+K61*'Standard values'!$D$12</f>
        <v>6.1942402083333334</v>
      </c>
      <c r="M61" s="379"/>
      <c r="N61" s="562">
        <f t="shared" ref="N61:N68" si="3">+L61/$E$59</f>
        <v>166.06757998541667</v>
      </c>
      <c r="O61" s="379"/>
    </row>
    <row r="62" spans="1:15" ht="15.75" x14ac:dyDescent="0.3">
      <c r="A62" s="503"/>
      <c r="B62" s="495" t="s">
        <v>827</v>
      </c>
      <c r="C62" s="536">
        <f>1.4*0.2806</f>
        <v>0.39284000000000002</v>
      </c>
      <c r="D62" s="495" t="s">
        <v>495</v>
      </c>
      <c r="E62" s="503"/>
      <c r="F62" s="495"/>
      <c r="G62" s="495"/>
      <c r="H62" s="495"/>
      <c r="I62" s="544"/>
      <c r="J62" s="774"/>
      <c r="K62" s="774"/>
      <c r="L62" s="419"/>
      <c r="M62" s="379"/>
      <c r="N62" s="562"/>
      <c r="O62" s="379"/>
    </row>
    <row r="63" spans="1:15" x14ac:dyDescent="0.2">
      <c r="A63" s="503"/>
      <c r="B63" s="571" t="s">
        <v>729</v>
      </c>
      <c r="C63" s="566"/>
      <c r="D63" s="566"/>
      <c r="E63" s="567"/>
      <c r="F63" s="568"/>
      <c r="G63" s="568"/>
      <c r="H63" s="568"/>
      <c r="I63" s="569" t="s">
        <v>830</v>
      </c>
      <c r="J63" s="568"/>
      <c r="K63" s="568"/>
      <c r="L63" s="570"/>
      <c r="M63" s="379"/>
      <c r="N63" s="562"/>
      <c r="O63" s="379"/>
    </row>
    <row r="64" spans="1:15" ht="15.75" x14ac:dyDescent="0.3">
      <c r="A64" s="503"/>
      <c r="B64" s="679" t="s">
        <v>826</v>
      </c>
      <c r="C64" s="573"/>
      <c r="D64" s="566"/>
      <c r="E64" s="567"/>
      <c r="F64" s="568"/>
      <c r="G64" s="568"/>
      <c r="H64" s="568"/>
      <c r="I64" s="574">
        <f>$C62*$E$58*VLOOKUP($B64,'Standard values'!$C$9:$S$159,7, FALSE)/$E$153</f>
        <v>0</v>
      </c>
      <c r="J64" s="574">
        <f>$C62*$E$58*VLOOKUP($B64,'Standard values'!$C$9:$S$159,8, FALSE)/$E$153</f>
        <v>1.0912222222222224E-3</v>
      </c>
      <c r="K64" s="574">
        <f>$C62*$E$58*VLOOKUP($B64,'Standard values'!$C$9:$S$159,9, FALSE)/$E$153</f>
        <v>4.3648888888888894E-4</v>
      </c>
      <c r="L64" s="575">
        <f>I64*'Standard values'!$D$10+J64*'Standard values'!$D$11+K64*'Standard values'!$D$12</f>
        <v>0.15735424444444446</v>
      </c>
      <c r="M64" s="379"/>
      <c r="N64" s="562">
        <f t="shared" si="3"/>
        <v>4.2186672935555558</v>
      </c>
      <c r="O64" s="379"/>
    </row>
    <row r="65" spans="1:15" ht="14.25" x14ac:dyDescent="0.25">
      <c r="A65" s="503"/>
      <c r="B65" s="582" t="s">
        <v>828</v>
      </c>
      <c r="C65" s="536">
        <f>1/0.9</f>
        <v>1.1111111111111112</v>
      </c>
      <c r="D65" s="568" t="s">
        <v>419</v>
      </c>
      <c r="E65" s="567"/>
      <c r="F65" s="568"/>
      <c r="G65" s="568"/>
      <c r="H65" s="568"/>
      <c r="I65" s="574"/>
      <c r="J65" s="581"/>
      <c r="K65" s="581"/>
      <c r="L65" s="575"/>
      <c r="M65" s="379"/>
      <c r="N65" s="562"/>
      <c r="O65" s="379"/>
    </row>
    <row r="66" spans="1:15" ht="29.25" customHeight="1" x14ac:dyDescent="0.3">
      <c r="A66" s="503"/>
      <c r="B66" s="680" t="s">
        <v>158</v>
      </c>
      <c r="C66" s="573">
        <f>C65*C62</f>
        <v>0.43648888888888893</v>
      </c>
      <c r="D66" s="568" t="s">
        <v>495</v>
      </c>
      <c r="E66" s="567"/>
      <c r="F66" s="568"/>
      <c r="G66" s="568"/>
      <c r="H66" s="568"/>
      <c r="I66" s="574">
        <f>$C66*$E$58*VLOOKUP($B66,'Standard values'!$C$9:$S$162,7, FALSE)/$E$153</f>
        <v>27.483086400000001</v>
      </c>
      <c r="J66" s="574">
        <f>$C66*$E$58*VLOOKUP($B66,'Standard values'!$C$9:$S$162,8, FALSE)/$E$153</f>
        <v>8.6485423456790125E-2</v>
      </c>
      <c r="K66" s="574">
        <f>$C66*$E$58*VLOOKUP($B66,'Standard values'!$C$9:$S$162,9, FALSE)/$E$153</f>
        <v>9.6997530864197551E-5</v>
      </c>
      <c r="L66" s="575">
        <f>I66*'Standard values'!$D$10+J66*'Standard values'!$D$11+K66*'Standard values'!$D$12</f>
        <v>29.674127250617286</v>
      </c>
      <c r="M66" s="379"/>
      <c r="N66" s="562">
        <f t="shared" si="3"/>
        <v>795.56335158904949</v>
      </c>
      <c r="O66" s="379"/>
    </row>
    <row r="67" spans="1:15" ht="14.25" x14ac:dyDescent="0.25">
      <c r="A67" s="503"/>
      <c r="B67" s="582" t="s">
        <v>829</v>
      </c>
      <c r="C67" s="536">
        <v>0.02</v>
      </c>
      <c r="D67" s="568" t="s">
        <v>419</v>
      </c>
      <c r="E67" s="567"/>
      <c r="F67" s="568"/>
      <c r="G67" s="568"/>
      <c r="H67" s="568"/>
      <c r="I67" s="574"/>
      <c r="J67" s="581"/>
      <c r="K67" s="581"/>
      <c r="L67" s="575"/>
      <c r="M67" s="379"/>
      <c r="N67" s="562"/>
      <c r="O67" s="379"/>
    </row>
    <row r="68" spans="1:15" ht="15.75" x14ac:dyDescent="0.3">
      <c r="A68" s="503"/>
      <c r="B68" s="1301" t="s">
        <v>50</v>
      </c>
      <c r="C68" s="573">
        <f>C67*C62</f>
        <v>7.8568000000000006E-3</v>
      </c>
      <c r="D68" s="568" t="s">
        <v>495</v>
      </c>
      <c r="E68" s="567"/>
      <c r="F68" s="568"/>
      <c r="G68" s="568"/>
      <c r="H68" s="568"/>
      <c r="I68" s="574">
        <f>$C68*$E$58*VLOOKUP($B68,'Standard values'!$C$9:$S$162,7, FALSE)/$E$153</f>
        <v>0.93780467106666676</v>
      </c>
      <c r="J68" s="574">
        <f>$C68*$E$58*VLOOKUP($B68,'Standard values'!$C$9:$S$162,8, FALSE)/$E$153</f>
        <v>2.2869835333333339E-3</v>
      </c>
      <c r="K68" s="574">
        <f>$C68*$E$58*VLOOKUP($B68,'Standard values'!$C$9:$S$162,9, FALSE)/$E$153</f>
        <v>4.2339422222222235E-5</v>
      </c>
      <c r="L68" s="575">
        <f>I68*'Standard values'!$D$10+J68*'Standard values'!$D$11+K68*'Standard values'!$D$12</f>
        <v>1.0075964072222223</v>
      </c>
      <c r="M68" s="379"/>
      <c r="N68" s="562">
        <f t="shared" si="3"/>
        <v>27.013659677627782</v>
      </c>
      <c r="O68" s="379"/>
    </row>
    <row r="69" spans="1:15" x14ac:dyDescent="0.2">
      <c r="A69" s="503"/>
      <c r="B69" s="775"/>
      <c r="C69" s="776"/>
      <c r="D69" s="495"/>
      <c r="E69" s="503"/>
      <c r="F69" s="495"/>
      <c r="G69" s="495"/>
      <c r="H69" s="514" t="s">
        <v>1047</v>
      </c>
      <c r="I69" s="583">
        <f>SUM(I58:I68)</f>
        <v>34.186083721066666</v>
      </c>
      <c r="J69" s="583">
        <f>SUM(J58:J68)</f>
        <v>0.10392295421234568</v>
      </c>
      <c r="K69" s="583">
        <f>SUM(K58:K68)</f>
        <v>8.3610917530864209E-4</v>
      </c>
      <c r="L69" s="516">
        <f>I69*'Standard values'!$D$10+J69*'Standard values'!$D$11+K69*'Standard values'!$D$12</f>
        <v>37.03331811061728</v>
      </c>
      <c r="M69" s="379"/>
      <c r="N69" s="545">
        <f>+L69/E$59</f>
        <v>992.86325854564927</v>
      </c>
      <c r="O69" s="379"/>
    </row>
    <row r="70" spans="1:15" x14ac:dyDescent="0.2">
      <c r="A70" s="503"/>
      <c r="B70" s="682"/>
      <c r="C70" s="499"/>
      <c r="D70" s="499"/>
      <c r="E70" s="503"/>
      <c r="F70" s="495"/>
      <c r="G70" s="495"/>
      <c r="H70" s="495"/>
      <c r="I70" s="495"/>
      <c r="J70" s="495"/>
      <c r="K70" s="495"/>
      <c r="L70" s="541"/>
      <c r="M70" s="379"/>
      <c r="N70" s="736"/>
      <c r="O70" s="379"/>
    </row>
    <row r="71" spans="1:15" ht="14.25" x14ac:dyDescent="0.25">
      <c r="A71" s="519"/>
      <c r="B71" s="520"/>
      <c r="C71" s="520"/>
      <c r="D71" s="520"/>
      <c r="E71" s="519"/>
      <c r="F71" s="521"/>
      <c r="G71" s="521"/>
      <c r="H71" s="521" t="s">
        <v>534</v>
      </c>
      <c r="I71" s="520"/>
      <c r="J71" s="523" t="s">
        <v>1048</v>
      </c>
      <c r="K71" s="549"/>
      <c r="L71" s="525">
        <f>L69</f>
        <v>37.03331811061728</v>
      </c>
      <c r="M71" s="379"/>
      <c r="N71" s="517"/>
      <c r="O71" s="379"/>
    </row>
    <row r="72" spans="1:15" x14ac:dyDescent="0.2">
      <c r="A72" s="390"/>
      <c r="B72" s="390"/>
      <c r="C72" s="390"/>
      <c r="D72" s="390"/>
      <c r="E72" s="390"/>
      <c r="F72" s="376"/>
      <c r="G72" s="376"/>
      <c r="H72" s="376"/>
      <c r="I72" s="390"/>
      <c r="J72" s="550"/>
      <c r="K72" s="551"/>
      <c r="L72" s="585"/>
      <c r="M72" s="379"/>
      <c r="N72" s="390"/>
      <c r="O72" s="390"/>
    </row>
    <row r="73" spans="1:15" x14ac:dyDescent="0.2">
      <c r="A73" s="390"/>
      <c r="B73" s="390"/>
      <c r="C73" s="390"/>
      <c r="D73" s="390"/>
      <c r="E73" s="390"/>
      <c r="F73" s="376"/>
      <c r="G73" s="376"/>
      <c r="H73" s="376"/>
      <c r="I73" s="390"/>
      <c r="J73" s="550"/>
      <c r="K73" s="551"/>
      <c r="L73" s="585"/>
      <c r="M73" s="379"/>
      <c r="N73" s="390"/>
      <c r="O73" s="390"/>
    </row>
    <row r="74" spans="1:15" ht="15.75" x14ac:dyDescent="0.25">
      <c r="A74" s="530" t="s">
        <v>1057</v>
      </c>
      <c r="B74" s="531"/>
      <c r="C74" s="531"/>
      <c r="D74" s="531"/>
      <c r="E74" s="608" t="s">
        <v>526</v>
      </c>
      <c r="F74" s="606"/>
      <c r="G74" s="606"/>
      <c r="H74" s="606"/>
      <c r="I74" s="607"/>
      <c r="J74" s="608" t="s">
        <v>1048</v>
      </c>
      <c r="K74" s="607"/>
      <c r="L74" s="609">
        <f>L42+L52+L71</f>
        <v>54.30310430096106</v>
      </c>
      <c r="M74" s="379"/>
      <c r="N74" s="390"/>
      <c r="O74" s="390"/>
    </row>
    <row r="75" spans="1:15" ht="15.75" x14ac:dyDescent="0.25">
      <c r="A75" s="610" t="s">
        <v>937</v>
      </c>
      <c r="B75" s="611"/>
      <c r="C75" s="611"/>
      <c r="D75" s="611"/>
      <c r="E75" s="613"/>
      <c r="F75" s="613"/>
      <c r="G75" s="613"/>
      <c r="H75" s="613"/>
      <c r="I75" s="613"/>
      <c r="J75" s="613"/>
      <c r="K75" s="613"/>
      <c r="L75" s="614"/>
      <c r="M75" s="379"/>
      <c r="N75" s="535" t="s">
        <v>162</v>
      </c>
      <c r="O75" s="390"/>
    </row>
    <row r="76" spans="1:15" ht="15.75" x14ac:dyDescent="0.3">
      <c r="A76" s="567"/>
      <c r="B76" s="568"/>
      <c r="C76" s="568"/>
      <c r="D76" s="683"/>
      <c r="E76" s="683"/>
      <c r="F76" s="683"/>
      <c r="G76" s="683"/>
      <c r="H76" s="683" t="s">
        <v>667</v>
      </c>
      <c r="I76" s="684">
        <f>L74</f>
        <v>54.30310430096106</v>
      </c>
      <c r="J76" s="568" t="s">
        <v>137</v>
      </c>
      <c r="K76" s="568"/>
      <c r="L76" s="685"/>
      <c r="M76" s="379"/>
      <c r="N76" s="554" t="s">
        <v>1010</v>
      </c>
      <c r="O76" s="390"/>
    </row>
    <row r="77" spans="1:15" ht="15.75" x14ac:dyDescent="0.3">
      <c r="A77" s="567"/>
      <c r="B77" s="568" t="s">
        <v>51</v>
      </c>
      <c r="C77" s="568" t="s">
        <v>499</v>
      </c>
      <c r="D77" s="568"/>
      <c r="E77" s="683" t="s">
        <v>881</v>
      </c>
      <c r="F77" s="769">
        <f>C57</f>
        <v>0.54362598532209838</v>
      </c>
      <c r="G77" s="769"/>
      <c r="H77" s="568" t="s">
        <v>501</v>
      </c>
      <c r="I77" s="574">
        <f>$I$76*F77/F$79</f>
        <v>38.718113366585236</v>
      </c>
      <c r="J77" s="568" t="s">
        <v>137</v>
      </c>
      <c r="K77" s="568"/>
      <c r="L77" s="685"/>
      <c r="M77" s="379"/>
      <c r="N77" s="501" t="s">
        <v>1056</v>
      </c>
      <c r="O77" s="390"/>
    </row>
    <row r="78" spans="1:15" ht="15.75" x14ac:dyDescent="0.3">
      <c r="A78" s="567"/>
      <c r="B78" s="568" t="s">
        <v>123</v>
      </c>
      <c r="C78" s="568" t="s">
        <v>1102</v>
      </c>
      <c r="D78" s="568"/>
      <c r="E78" s="683" t="s">
        <v>876</v>
      </c>
      <c r="F78" s="769">
        <f>C58</f>
        <v>0.21882280194592182</v>
      </c>
      <c r="G78" s="769"/>
      <c r="H78" s="568" t="s">
        <v>501</v>
      </c>
      <c r="I78" s="574">
        <f>$I$76*F78/F$79</f>
        <v>15.584990934375826</v>
      </c>
      <c r="J78" s="568" t="s">
        <v>137</v>
      </c>
      <c r="K78" s="568"/>
      <c r="L78" s="685"/>
      <c r="M78" s="379"/>
      <c r="N78" s="541"/>
      <c r="O78" s="390"/>
    </row>
    <row r="79" spans="1:15" x14ac:dyDescent="0.2">
      <c r="A79" s="567"/>
      <c r="B79" s="568"/>
      <c r="C79" s="568"/>
      <c r="D79" s="568"/>
      <c r="E79" s="568" t="s">
        <v>533</v>
      </c>
      <c r="F79" s="769">
        <f>SUM(F77:F78)</f>
        <v>0.76244878726802023</v>
      </c>
      <c r="G79" s="769"/>
      <c r="H79" s="568" t="s">
        <v>501</v>
      </c>
      <c r="I79" s="568"/>
      <c r="J79" s="568"/>
      <c r="K79" s="568"/>
      <c r="L79" s="685"/>
      <c r="M79" s="379"/>
      <c r="N79" s="562"/>
      <c r="O79" s="390"/>
    </row>
    <row r="80" spans="1:15" ht="14.25" x14ac:dyDescent="0.25">
      <c r="A80" s="519"/>
      <c r="B80" s="520"/>
      <c r="C80" s="520"/>
      <c r="D80" s="520"/>
      <c r="E80" s="523" t="s">
        <v>1058</v>
      </c>
      <c r="F80" s="521"/>
      <c r="G80" s="521"/>
      <c r="H80" s="687"/>
      <c r="I80" s="520"/>
      <c r="J80" s="523" t="s">
        <v>1048</v>
      </c>
      <c r="K80" s="687"/>
      <c r="L80" s="525">
        <f>I77</f>
        <v>38.718113366585236</v>
      </c>
      <c r="M80" s="379"/>
      <c r="N80" s="545">
        <f>+L80/E$59</f>
        <v>1038.0326193581502</v>
      </c>
      <c r="O80" s="379"/>
    </row>
    <row r="81" spans="1:15" x14ac:dyDescent="0.2">
      <c r="A81" s="390"/>
      <c r="B81" s="390"/>
      <c r="C81" s="390"/>
      <c r="D81" s="379"/>
      <c r="E81" s="379"/>
      <c r="F81" s="551"/>
      <c r="G81" s="551"/>
      <c r="H81" s="437"/>
      <c r="I81" s="378"/>
      <c r="J81" s="379"/>
      <c r="K81" s="379"/>
      <c r="L81" s="586"/>
      <c r="M81" s="379"/>
      <c r="N81" s="379"/>
      <c r="O81" s="379"/>
    </row>
    <row r="82" spans="1:15" x14ac:dyDescent="0.2">
      <c r="A82" s="375"/>
      <c r="B82" s="585"/>
      <c r="C82" s="386"/>
      <c r="D82" s="390"/>
      <c r="E82" s="379"/>
      <c r="F82" s="379"/>
      <c r="G82" s="379"/>
      <c r="H82" s="379"/>
      <c r="I82" s="379"/>
      <c r="J82" s="591"/>
      <c r="K82" s="379"/>
      <c r="L82" s="379"/>
      <c r="M82" s="379"/>
      <c r="N82" s="379"/>
      <c r="O82" s="379"/>
    </row>
    <row r="83" spans="1:15" ht="15.75" x14ac:dyDescent="0.25">
      <c r="A83" s="530" t="s">
        <v>809</v>
      </c>
      <c r="B83" s="532"/>
      <c r="C83" s="531"/>
      <c r="D83" s="531"/>
      <c r="E83" s="530" t="s">
        <v>513</v>
      </c>
      <c r="F83" s="532"/>
      <c r="G83" s="532"/>
      <c r="H83" s="531"/>
      <c r="I83" s="532" t="s">
        <v>532</v>
      </c>
      <c r="J83" s="533"/>
      <c r="K83" s="533"/>
      <c r="L83" s="534"/>
      <c r="M83" s="379"/>
      <c r="N83" s="535" t="s">
        <v>162</v>
      </c>
      <c r="O83" s="379"/>
    </row>
    <row r="84" spans="1:15" ht="15.75" x14ac:dyDescent="0.3">
      <c r="A84" s="503"/>
      <c r="B84" s="511" t="s">
        <v>499</v>
      </c>
      <c r="C84" s="536">
        <v>1</v>
      </c>
      <c r="D84" s="495" t="s">
        <v>497</v>
      </c>
      <c r="E84" s="513">
        <f>E57*C84</f>
        <v>152544.12688334828</v>
      </c>
      <c r="F84" s="495" t="s">
        <v>1030</v>
      </c>
      <c r="G84" s="495"/>
      <c r="H84" s="594"/>
      <c r="I84" s="492" t="s">
        <v>138</v>
      </c>
      <c r="J84" s="514"/>
      <c r="K84" s="514"/>
      <c r="L84" s="537"/>
      <c r="M84" s="379"/>
      <c r="N84" s="554" t="s">
        <v>1010</v>
      </c>
      <c r="O84" s="379"/>
    </row>
    <row r="85" spans="1:15" ht="15.75" x14ac:dyDescent="0.3">
      <c r="A85" s="503"/>
      <c r="B85" s="495"/>
      <c r="C85" s="495"/>
      <c r="D85" s="495"/>
      <c r="E85" s="505">
        <f>E58*C84</f>
        <v>0.54362598532209838</v>
      </c>
      <c r="F85" s="506" t="s">
        <v>871</v>
      </c>
      <c r="G85" s="506"/>
      <c r="H85" s="594"/>
      <c r="I85" s="539" t="s">
        <v>1053</v>
      </c>
      <c r="J85" s="539" t="s">
        <v>1054</v>
      </c>
      <c r="K85" s="539" t="s">
        <v>1055</v>
      </c>
      <c r="L85" s="540" t="s">
        <v>1056</v>
      </c>
      <c r="M85" s="379"/>
      <c r="N85" s="501" t="s">
        <v>1056</v>
      </c>
      <c r="O85" s="379"/>
    </row>
    <row r="86" spans="1:15" x14ac:dyDescent="0.2">
      <c r="A86" s="503"/>
      <c r="B86" s="511" t="s">
        <v>498</v>
      </c>
      <c r="C86" s="495"/>
      <c r="D86" s="495"/>
      <c r="E86" s="513"/>
      <c r="F86" s="495"/>
      <c r="G86" s="495"/>
      <c r="H86" s="495"/>
      <c r="I86" s="495"/>
      <c r="J86" s="495"/>
      <c r="K86" s="495"/>
      <c r="L86" s="541"/>
      <c r="M86" s="379"/>
      <c r="N86" s="541"/>
      <c r="O86" s="379"/>
    </row>
    <row r="87" spans="1:15" ht="15.75" x14ac:dyDescent="0.3">
      <c r="A87" s="503"/>
      <c r="B87" s="495" t="s">
        <v>159</v>
      </c>
      <c r="C87" s="542">
        <v>150</v>
      </c>
      <c r="D87" s="495" t="s">
        <v>510</v>
      </c>
      <c r="E87" s="543">
        <f>(C87*E85/VLOOKUP($B84,'Standard values'!$C$9:$S$162,14, FALSE))/1000</f>
        <v>3.0415478477551199E-3</v>
      </c>
      <c r="F87" s="495" t="s">
        <v>243</v>
      </c>
      <c r="G87" s="495"/>
      <c r="H87" s="495"/>
      <c r="I87" s="544">
        <f>$E87*VLOOKUP($B87,'Standard values'!$C$9:$S$162,15, FALSE)*VLOOKUP(C88,'Standard values'!$C$9:$S$162,7, FALSE)/$E$153</f>
        <v>0.49425587467362925</v>
      </c>
      <c r="J87" s="544">
        <f>$E87*((VLOOKUP($B87,'Standard values'!$C$9:$S$162,15, FALSE)*VLOOKUP(C88,'Standard values'!$C$9:$S$162,8, FALSE))+VLOOKUP($B87,'Standard values'!$C$9:$S$162,16, FALSE))/$E$153</f>
        <v>2.7974636329727717E-5</v>
      </c>
      <c r="K87" s="544">
        <f>$E87*((VLOOKUP($B87,'Standard values'!$C$9:$S$162,15, FALSE)*VLOOKUP(C88,'Standard values'!$C$9:$S$162,9, FALSE))+VLOOKUP($B87,'Standard values'!$C$9:$S$162,17, FALSE))/$E$153</f>
        <v>0</v>
      </c>
      <c r="L87" s="516">
        <f>I87*'Standard values'!$D$10+J87*'Standard values'!$D$11+K87*'Standard values'!$D$12</f>
        <v>0.49495524058187246</v>
      </c>
      <c r="M87" s="379"/>
      <c r="N87" s="562">
        <f>+L87/E$59</f>
        <v>13.26975</v>
      </c>
      <c r="O87" s="379"/>
    </row>
    <row r="88" spans="1:15" x14ac:dyDescent="0.2">
      <c r="A88" s="503"/>
      <c r="B88" s="546" t="s">
        <v>54</v>
      </c>
      <c r="C88" s="547" t="s">
        <v>509</v>
      </c>
      <c r="D88" s="495"/>
      <c r="E88" s="503"/>
      <c r="F88" s="495"/>
      <c r="G88" s="495"/>
      <c r="H88" s="495"/>
      <c r="I88" s="544"/>
      <c r="J88" s="544"/>
      <c r="K88" s="544"/>
      <c r="L88" s="516"/>
      <c r="M88" s="379"/>
      <c r="N88" s="562"/>
      <c r="O88" s="379"/>
    </row>
    <row r="89" spans="1:15" x14ac:dyDescent="0.2">
      <c r="A89" s="503"/>
      <c r="B89" s="495"/>
      <c r="C89" s="668"/>
      <c r="D89" s="495"/>
      <c r="E89" s="543"/>
      <c r="F89" s="495"/>
      <c r="G89" s="495"/>
      <c r="H89" s="495"/>
      <c r="I89" s="544"/>
      <c r="J89" s="544"/>
      <c r="K89" s="544"/>
      <c r="L89" s="516"/>
      <c r="M89" s="379"/>
      <c r="N89" s="562"/>
      <c r="O89" s="379"/>
    </row>
    <row r="90" spans="1:15" x14ac:dyDescent="0.2">
      <c r="A90" s="503"/>
      <c r="B90" s="511" t="s">
        <v>444</v>
      </c>
      <c r="C90" s="495"/>
      <c r="D90" s="495"/>
      <c r="E90" s="503"/>
      <c r="F90" s="495"/>
      <c r="G90" s="495"/>
      <c r="H90" s="495"/>
      <c r="I90" s="544"/>
      <c r="J90" s="544"/>
      <c r="K90" s="544"/>
      <c r="L90" s="584"/>
      <c r="M90" s="379"/>
      <c r="N90" s="562"/>
      <c r="O90" s="379"/>
    </row>
    <row r="91" spans="1:15" ht="15.75" x14ac:dyDescent="0.3">
      <c r="A91" s="590"/>
      <c r="B91" s="1301" t="s">
        <v>49</v>
      </c>
      <c r="C91" s="542">
        <v>8.4000000000000003E-4</v>
      </c>
      <c r="D91" s="495" t="s">
        <v>495</v>
      </c>
      <c r="E91" s="503"/>
      <c r="F91" s="495"/>
      <c r="G91" s="495"/>
      <c r="H91" s="495"/>
      <c r="I91" s="544">
        <f>$C91*$E$85*VLOOKUP($B91,'Standard values'!$C$9:$S$162,7, FALSE)/$E$153</f>
        <v>0.10146738000000001</v>
      </c>
      <c r="J91" s="544">
        <f>$C91*$E$85*VLOOKUP($B91,'Standard values'!$C$9:$S$162,8, FALSE)/$E$153</f>
        <v>2.4745000000000002E-4</v>
      </c>
      <c r="K91" s="544">
        <f>$C91*$E$85*VLOOKUP($B91,'Standard values'!$C$9:$S$162,9, FALSE)/$E$153</f>
        <v>4.596666666666667E-6</v>
      </c>
      <c r="L91" s="516">
        <f>I91*'Standard values'!$D$10+J91*'Standard values'!$D$11+K91*'Standard values'!$D$12</f>
        <v>0.10902343666666668</v>
      </c>
      <c r="M91" s="379"/>
      <c r="N91" s="562">
        <f>+L91/E$59</f>
        <v>2.9229183370333338</v>
      </c>
      <c r="O91" s="379"/>
    </row>
    <row r="92" spans="1:15" ht="14.25" x14ac:dyDescent="0.25">
      <c r="A92" s="519"/>
      <c r="B92" s="520"/>
      <c r="C92" s="520"/>
      <c r="D92" s="520"/>
      <c r="E92" s="519"/>
      <c r="F92" s="521"/>
      <c r="G92" s="521"/>
      <c r="H92" s="521" t="s">
        <v>534</v>
      </c>
      <c r="I92" s="520"/>
      <c r="J92" s="523" t="s">
        <v>1048</v>
      </c>
      <c r="K92" s="549"/>
      <c r="L92" s="525">
        <f>L91+L87</f>
        <v>0.60397867724853915</v>
      </c>
      <c r="M92" s="379"/>
      <c r="N92" s="545">
        <f>+L92/E$59</f>
        <v>16.192668337033336</v>
      </c>
      <c r="O92" s="379"/>
    </row>
    <row r="93" spans="1:15" x14ac:dyDescent="0.2">
      <c r="A93" s="390"/>
      <c r="B93" s="390"/>
      <c r="C93" s="390"/>
      <c r="D93" s="390"/>
      <c r="E93" s="390"/>
      <c r="F93" s="376"/>
      <c r="G93" s="376"/>
      <c r="H93" s="376"/>
      <c r="I93" s="390"/>
      <c r="J93" s="550"/>
      <c r="K93" s="551"/>
      <c r="L93" s="552"/>
      <c r="M93" s="379"/>
      <c r="N93" s="379"/>
      <c r="O93" s="379"/>
    </row>
    <row r="94" spans="1:15" x14ac:dyDescent="0.2">
      <c r="A94" s="390"/>
      <c r="B94" s="390"/>
      <c r="C94" s="390"/>
      <c r="D94" s="390"/>
      <c r="E94" s="390"/>
      <c r="F94" s="376"/>
      <c r="G94" s="376"/>
      <c r="H94" s="376"/>
      <c r="I94" s="390"/>
      <c r="J94" s="550"/>
      <c r="K94" s="551"/>
      <c r="L94" s="552"/>
      <c r="M94" s="379"/>
      <c r="N94" s="379"/>
      <c r="O94" s="379"/>
    </row>
    <row r="95" spans="1:15" ht="15.75" x14ac:dyDescent="0.25">
      <c r="A95" s="530" t="s">
        <v>810</v>
      </c>
      <c r="B95" s="531"/>
      <c r="C95" s="531"/>
      <c r="D95" s="531"/>
      <c r="E95" s="530" t="s">
        <v>513</v>
      </c>
      <c r="F95" s="531"/>
      <c r="G95" s="531"/>
      <c r="H95" s="531"/>
      <c r="I95" s="531"/>
      <c r="J95" s="531"/>
      <c r="K95" s="531"/>
      <c r="L95" s="596"/>
      <c r="M95" s="379"/>
      <c r="N95" s="535" t="s">
        <v>162</v>
      </c>
      <c r="O95" s="379"/>
    </row>
    <row r="96" spans="1:15" ht="15.75" x14ac:dyDescent="0.3">
      <c r="A96" s="503"/>
      <c r="B96" s="511" t="s">
        <v>499</v>
      </c>
      <c r="C96" s="593">
        <v>1</v>
      </c>
      <c r="D96" s="495" t="s">
        <v>497</v>
      </c>
      <c r="E96" s="513">
        <f>E84*C96</f>
        <v>152544.12688334828</v>
      </c>
      <c r="F96" s="495" t="s">
        <v>1030</v>
      </c>
      <c r="G96" s="495"/>
      <c r="H96" s="495"/>
      <c r="I96" s="492" t="s">
        <v>138</v>
      </c>
      <c r="J96" s="514"/>
      <c r="K96" s="514"/>
      <c r="L96" s="537"/>
      <c r="M96" s="379"/>
      <c r="N96" s="554" t="s">
        <v>1010</v>
      </c>
      <c r="O96" s="379"/>
    </row>
    <row r="97" spans="1:15" ht="15.75" x14ac:dyDescent="0.3">
      <c r="A97" s="503"/>
      <c r="B97" s="495"/>
      <c r="C97" s="495"/>
      <c r="D97" s="495"/>
      <c r="E97" s="505">
        <f>E85*C96</f>
        <v>0.54362598532209838</v>
      </c>
      <c r="F97" s="506" t="s">
        <v>871</v>
      </c>
      <c r="G97" s="506"/>
      <c r="H97" s="495"/>
      <c r="I97" s="539" t="s">
        <v>1053</v>
      </c>
      <c r="J97" s="539" t="s">
        <v>1054</v>
      </c>
      <c r="K97" s="539" t="s">
        <v>1055</v>
      </c>
      <c r="L97" s="540" t="s">
        <v>1056</v>
      </c>
      <c r="M97" s="379"/>
      <c r="N97" s="501" t="s">
        <v>1056</v>
      </c>
      <c r="O97" s="379"/>
    </row>
    <row r="98" spans="1:15" x14ac:dyDescent="0.2">
      <c r="A98" s="503"/>
      <c r="B98" s="511" t="s">
        <v>498</v>
      </c>
      <c r="C98" s="495"/>
      <c r="D98" s="495"/>
      <c r="E98" s="513"/>
      <c r="F98" s="495"/>
      <c r="G98" s="495"/>
      <c r="H98" s="495"/>
      <c r="I98" s="495"/>
      <c r="J98" s="495"/>
      <c r="K98" s="495"/>
      <c r="L98" s="541"/>
      <c r="M98" s="379"/>
      <c r="N98" s="541"/>
      <c r="O98" s="379"/>
    </row>
    <row r="99" spans="1:15" ht="15.75" x14ac:dyDescent="0.3">
      <c r="A99" s="503"/>
      <c r="B99" s="495" t="s">
        <v>159</v>
      </c>
      <c r="C99" s="542">
        <v>150</v>
      </c>
      <c r="D99" s="495" t="s">
        <v>510</v>
      </c>
      <c r="E99" s="543">
        <f>(C99*E97/VLOOKUP($B96,'Standard values'!$C$9:$S$162,14, FALSE))/1000</f>
        <v>3.0415478477551199E-3</v>
      </c>
      <c r="F99" s="495" t="s">
        <v>243</v>
      </c>
      <c r="G99" s="495"/>
      <c r="H99" s="495"/>
      <c r="I99" s="544">
        <f>$E99*VLOOKUP($B99,'Standard values'!$C$9:$S$162,15, FALSE)*VLOOKUP(C100,'Standard values'!$C$9:$S$162,7, FALSE)/$E$153</f>
        <v>0.49425587467362925</v>
      </c>
      <c r="J99" s="544">
        <f>$E99*((VLOOKUP($B99,'Standard values'!$C$9:$S$162,15, FALSE)*VLOOKUP(C100,'Standard values'!$C$9:$S$162,8, FALSE))+VLOOKUP($B99,'Standard values'!$C$9:$S$162,16, FALSE))/$E$153</f>
        <v>2.7974636329727717E-5</v>
      </c>
      <c r="K99" s="544">
        <f>$E99*((VLOOKUP($B99,'Standard values'!$C$9:$S$162,15, FALSE)*VLOOKUP(C100,'Standard values'!$C$9:$S$162,9, FALSE))+VLOOKUP($B99,'Standard values'!$C$9:$S$162,17, FALSE))/$E$153</f>
        <v>0</v>
      </c>
      <c r="L99" s="516">
        <f>I99*'Standard values'!$D$10+J99*'Standard values'!$D$11+K99*'Standard values'!$D$12</f>
        <v>0.49495524058187246</v>
      </c>
      <c r="M99" s="379"/>
      <c r="N99" s="562">
        <f>+L99/E$59</f>
        <v>13.26975</v>
      </c>
      <c r="O99" s="379"/>
    </row>
    <row r="100" spans="1:15" x14ac:dyDescent="0.2">
      <c r="A100" s="503"/>
      <c r="B100" s="546" t="s">
        <v>54</v>
      </c>
      <c r="C100" s="547" t="s">
        <v>509</v>
      </c>
      <c r="D100" s="495"/>
      <c r="E100" s="503"/>
      <c r="F100" s="495"/>
      <c r="G100" s="495"/>
      <c r="H100" s="495"/>
      <c r="I100" s="544"/>
      <c r="J100" s="544"/>
      <c r="K100" s="544"/>
      <c r="L100" s="516"/>
      <c r="M100" s="379"/>
      <c r="N100" s="562"/>
      <c r="O100" s="379"/>
    </row>
    <row r="101" spans="1:15" x14ac:dyDescent="0.2">
      <c r="A101" s="503"/>
      <c r="B101" s="495"/>
      <c r="C101" s="668"/>
      <c r="D101" s="495"/>
      <c r="E101" s="543"/>
      <c r="F101" s="495"/>
      <c r="G101" s="495"/>
      <c r="H101" s="495"/>
      <c r="I101" s="544"/>
      <c r="J101" s="544"/>
      <c r="K101" s="544"/>
      <c r="L101" s="516"/>
      <c r="M101" s="379"/>
      <c r="N101" s="562"/>
      <c r="O101" s="379"/>
    </row>
    <row r="102" spans="1:15" x14ac:dyDescent="0.2">
      <c r="A102" s="503"/>
      <c r="B102" s="511" t="s">
        <v>441</v>
      </c>
      <c r="C102" s="495"/>
      <c r="D102" s="495"/>
      <c r="E102" s="503"/>
      <c r="F102" s="495"/>
      <c r="G102" s="495"/>
      <c r="H102" s="495"/>
      <c r="I102" s="544"/>
      <c r="J102" s="544"/>
      <c r="K102" s="544"/>
      <c r="L102" s="584"/>
      <c r="M102" s="379"/>
      <c r="N102" s="541"/>
      <c r="O102" s="379"/>
    </row>
    <row r="103" spans="1:15" ht="15.75" x14ac:dyDescent="0.3">
      <c r="A103" s="503"/>
      <c r="B103" s="1301" t="s">
        <v>49</v>
      </c>
      <c r="C103" s="542">
        <v>3.3999999999999998E-3</v>
      </c>
      <c r="D103" s="495" t="s">
        <v>495</v>
      </c>
      <c r="E103" s="503"/>
      <c r="F103" s="495"/>
      <c r="G103" s="495"/>
      <c r="H103" s="495"/>
      <c r="I103" s="544">
        <f>$C103*$E$97*VLOOKUP($B103,'Standard values'!$C$9:$S$162,7, FALSE)/$E$153</f>
        <v>0.41070129999999994</v>
      </c>
      <c r="J103" s="544">
        <f>$C103*$E$97*VLOOKUP($B103,'Standard values'!$C$9:$S$162,8, FALSE)/$E$153</f>
        <v>1.0015833333333333E-3</v>
      </c>
      <c r="K103" s="544">
        <f>$C103*$E$97*VLOOKUP($B103,'Standard values'!$C$9:$S$162,9, FALSE)/$E$153</f>
        <v>1.8605555555555555E-5</v>
      </c>
      <c r="L103" s="516">
        <f>I103*'Standard values'!$D$10+J103*'Standard values'!$D$11+K103*'Standard values'!$D$12</f>
        <v>0.44128533888888882</v>
      </c>
      <c r="M103" s="379"/>
      <c r="N103" s="562">
        <f>+L103/E$59</f>
        <v>11.830859935611109</v>
      </c>
      <c r="O103" s="379"/>
    </row>
    <row r="104" spans="1:15" ht="14.25" x14ac:dyDescent="0.25">
      <c r="A104" s="519"/>
      <c r="B104" s="520"/>
      <c r="C104" s="520"/>
      <c r="D104" s="520"/>
      <c r="E104" s="519"/>
      <c r="F104" s="521"/>
      <c r="G104" s="521"/>
      <c r="H104" s="521" t="s">
        <v>534</v>
      </c>
      <c r="I104" s="520"/>
      <c r="J104" s="523" t="s">
        <v>1048</v>
      </c>
      <c r="K104" s="549"/>
      <c r="L104" s="525">
        <f>L99+L103</f>
        <v>0.93624057947076134</v>
      </c>
      <c r="M104" s="379"/>
      <c r="N104" s="545">
        <f>+L104/E$59</f>
        <v>25.100609935611111</v>
      </c>
      <c r="O104" s="379"/>
    </row>
    <row r="105" spans="1:15" x14ac:dyDescent="0.2">
      <c r="A105" s="390"/>
      <c r="B105" s="390"/>
      <c r="C105" s="390"/>
      <c r="D105" s="390"/>
      <c r="E105" s="390"/>
      <c r="F105" s="376"/>
      <c r="G105" s="376"/>
      <c r="H105" s="376"/>
      <c r="I105" s="390"/>
      <c r="J105" s="550"/>
      <c r="K105" s="551"/>
      <c r="L105" s="597"/>
      <c r="M105" s="379"/>
      <c r="N105" s="379"/>
      <c r="O105" s="379"/>
    </row>
    <row r="106" spans="1:15" x14ac:dyDescent="0.2">
      <c r="A106" s="390"/>
      <c r="B106" s="390"/>
      <c r="C106" s="390"/>
      <c r="D106" s="390"/>
      <c r="E106" s="390"/>
      <c r="F106" s="376"/>
      <c r="G106" s="376"/>
      <c r="H106" s="376"/>
      <c r="I106" s="390"/>
      <c r="J106" s="550"/>
      <c r="K106" s="551"/>
      <c r="L106" s="597"/>
      <c r="M106" s="379"/>
      <c r="N106" s="379"/>
      <c r="O106" s="379"/>
    </row>
    <row r="107" spans="1:15" ht="15.75" x14ac:dyDescent="0.25">
      <c r="A107" s="530" t="s">
        <v>546</v>
      </c>
      <c r="B107" s="598"/>
      <c r="C107" s="599"/>
      <c r="D107" s="531"/>
      <c r="E107" s="600"/>
      <c r="F107" s="531"/>
      <c r="G107" s="531"/>
      <c r="H107" s="531"/>
      <c r="I107" s="531"/>
      <c r="J107" s="531"/>
      <c r="K107" s="531"/>
      <c r="L107" s="601"/>
      <c r="M107" s="379"/>
      <c r="N107" s="379"/>
      <c r="O107" s="379"/>
    </row>
    <row r="108" spans="1:15" ht="15.75" x14ac:dyDescent="0.25">
      <c r="A108" s="602"/>
      <c r="B108" s="603" t="s">
        <v>549</v>
      </c>
      <c r="C108" s="511" t="s">
        <v>908</v>
      </c>
      <c r="D108" s="495"/>
      <c r="E108" s="503"/>
      <c r="F108" s="495"/>
      <c r="G108" s="495"/>
      <c r="H108" s="495"/>
      <c r="I108" s="495"/>
      <c r="J108" s="495"/>
      <c r="K108" s="495"/>
      <c r="L108" s="537"/>
      <c r="M108" s="379"/>
      <c r="N108" s="390"/>
      <c r="O108" s="390"/>
    </row>
    <row r="109" spans="1:15" ht="15.75" customHeight="1" x14ac:dyDescent="0.25">
      <c r="A109" s="602"/>
      <c r="B109" s="511"/>
      <c r="C109" s="668"/>
      <c r="D109" s="691" t="s">
        <v>431</v>
      </c>
      <c r="E109" s="692" t="str">
        <f>IF(D111="Yes","From :  ", " ")</f>
        <v xml:space="preserve"> </v>
      </c>
      <c r="F109" s="1422" t="str">
        <f>IF(D111="Yes",LUC!H$35 &amp; " ; " &amp; LUC!H$36 &amp; " ; " &amp; LUC!H$39 &amp; " ; " &amp; LUC!H$40 &amp; " ; " &amp; LUC!H$45 &amp; " ; " &amp; LUC!H$46 &amp; " ; " &amp; LUC!H$47, " ")</f>
        <v xml:space="preserve"> </v>
      </c>
      <c r="G109" s="1422"/>
      <c r="H109" s="1422"/>
      <c r="I109" s="1422"/>
      <c r="J109" s="1422"/>
      <c r="K109" s="1422"/>
      <c r="L109" s="1423"/>
      <c r="M109" s="379"/>
      <c r="N109" s="390"/>
      <c r="O109" s="390"/>
    </row>
    <row r="110" spans="1:15" ht="15.75" x14ac:dyDescent="0.25">
      <c r="A110" s="602"/>
      <c r="B110" s="539" t="s">
        <v>450</v>
      </c>
      <c r="C110" s="693" t="s">
        <v>431</v>
      </c>
      <c r="D110" s="691" t="s">
        <v>432</v>
      </c>
      <c r="E110" s="513"/>
      <c r="F110" s="1422"/>
      <c r="G110" s="1422"/>
      <c r="H110" s="1422"/>
      <c r="I110" s="1422"/>
      <c r="J110" s="1422"/>
      <c r="K110" s="1422"/>
      <c r="L110" s="1423"/>
      <c r="M110" s="379"/>
      <c r="N110" s="390"/>
      <c r="O110" s="390"/>
    </row>
    <row r="111" spans="1:15" ht="15.75" customHeight="1" x14ac:dyDescent="0.25">
      <c r="A111" s="602"/>
      <c r="B111" s="511"/>
      <c r="C111" s="670" t="str">
        <f>IF(D111="Yes","Go to", " ")</f>
        <v xml:space="preserve"> </v>
      </c>
      <c r="D111" s="691" t="s">
        <v>432</v>
      </c>
      <c r="E111" s="692" t="str">
        <f>IF(D111="Yes","To    :   ", " ")</f>
        <v xml:space="preserve"> </v>
      </c>
      <c r="F111" s="1424" t="str">
        <f>IF(D111="Yes", LUC!D$35 &amp; " ; " &amp; LUC!D$36 &amp; " ; " &amp; LUC!D$39 &amp; " ; " &amp; LUC!D$40 &amp; " ; " &amp; LUC!D$45 &amp; " ; " &amp; LUC!D$46 &amp; " ; " &amp; LUC!D$47, " ")</f>
        <v xml:space="preserve"> </v>
      </c>
      <c r="G111" s="1424"/>
      <c r="H111" s="1424"/>
      <c r="I111" s="1424"/>
      <c r="J111" s="1424"/>
      <c r="K111" s="1424"/>
      <c r="L111" s="1425"/>
      <c r="M111" s="379"/>
      <c r="N111" s="390"/>
      <c r="O111" s="390"/>
    </row>
    <row r="112" spans="1:15" ht="15.75" x14ac:dyDescent="0.25">
      <c r="A112" s="602"/>
      <c r="B112" s="416"/>
      <c r="C112" s="671" t="str">
        <f>IF(D111="Yes","sheet 'LUC' ", " ")</f>
        <v xml:space="preserve"> </v>
      </c>
      <c r="D112" s="495"/>
      <c r="E112" s="696"/>
      <c r="F112" s="1424"/>
      <c r="G112" s="1424"/>
      <c r="H112" s="1424"/>
      <c r="I112" s="1424"/>
      <c r="J112" s="1424"/>
      <c r="K112" s="1424"/>
      <c r="L112" s="1425"/>
      <c r="M112" s="379"/>
      <c r="N112" s="390"/>
      <c r="O112" s="390"/>
    </row>
    <row r="113" spans="1:15" ht="15.75" x14ac:dyDescent="0.25">
      <c r="A113" s="602"/>
      <c r="B113" s="416"/>
      <c r="C113" s="670" t="str">
        <f>IF(D111="Yes","to calculate the land use change", " ")</f>
        <v xml:space="preserve"> </v>
      </c>
      <c r="D113" s="495"/>
      <c r="E113" s="696"/>
      <c r="F113" s="694"/>
      <c r="G113" s="694"/>
      <c r="H113" s="694"/>
      <c r="I113" s="492" t="s">
        <v>138</v>
      </c>
      <c r="J113" s="514"/>
      <c r="K113" s="694"/>
      <c r="L113" s="695"/>
      <c r="M113" s="379"/>
      <c r="N113" s="390"/>
      <c r="O113" s="390"/>
    </row>
    <row r="114" spans="1:15" ht="16.5" x14ac:dyDescent="0.3">
      <c r="A114" s="602"/>
      <c r="B114" s="416"/>
      <c r="C114" s="670"/>
      <c r="D114" s="495"/>
      <c r="E114" s="696"/>
      <c r="F114" s="694"/>
      <c r="G114" s="694"/>
      <c r="H114" s="694"/>
      <c r="I114" s="539" t="s">
        <v>1053</v>
      </c>
      <c r="J114" s="539" t="s">
        <v>1054</v>
      </c>
      <c r="K114" s="539" t="s">
        <v>1055</v>
      </c>
      <c r="L114" s="540" t="s">
        <v>1056</v>
      </c>
      <c r="M114" s="379"/>
      <c r="N114" s="390"/>
      <c r="O114" s="390"/>
    </row>
    <row r="115" spans="1:15" ht="16.5" x14ac:dyDescent="0.3">
      <c r="A115" s="602"/>
      <c r="B115" s="507" t="s">
        <v>451</v>
      </c>
      <c r="C115" s="697">
        <f>IF(D111="Yes",LUC!$J$86,0)</f>
        <v>0</v>
      </c>
      <c r="D115" s="497" t="s">
        <v>449</v>
      </c>
      <c r="E115" s="503"/>
      <c r="F115" s="495"/>
      <c r="G115" s="495"/>
      <c r="H115" s="495"/>
      <c r="I115" s="544">
        <f>$C115*1000000/$E$152</f>
        <v>0</v>
      </c>
      <c r="J115" s="544">
        <v>0</v>
      </c>
      <c r="K115" s="544">
        <v>0</v>
      </c>
      <c r="L115" s="419">
        <f>I115*'Standard values'!$D$10+J115*'Standard values'!$D$11+K115*'Standard values'!$D$12</f>
        <v>0</v>
      </c>
      <c r="M115" s="379"/>
      <c r="N115" s="390"/>
      <c r="O115" s="390"/>
    </row>
    <row r="116" spans="1:15" ht="15.75" x14ac:dyDescent="0.25">
      <c r="A116" s="602"/>
      <c r="B116" s="507"/>
      <c r="C116" s="698"/>
      <c r="D116" s="497"/>
      <c r="E116" s="503"/>
      <c r="F116" s="495"/>
      <c r="G116" s="495"/>
      <c r="H116" s="495"/>
      <c r="I116" s="544"/>
      <c r="J116" s="544"/>
      <c r="K116" s="544"/>
      <c r="L116" s="516">
        <f>SUM(L115:L115)</f>
        <v>0</v>
      </c>
      <c r="M116" s="379"/>
      <c r="N116" s="390"/>
      <c r="O116" s="390"/>
    </row>
    <row r="117" spans="1:15" ht="15.75" x14ac:dyDescent="0.25">
      <c r="A117" s="602"/>
      <c r="B117" s="416"/>
      <c r="C117" s="492"/>
      <c r="D117" s="495"/>
      <c r="E117" s="503"/>
      <c r="F117" s="495"/>
      <c r="G117" s="495"/>
      <c r="H117" s="495"/>
      <c r="I117" s="544"/>
      <c r="J117" s="544"/>
      <c r="K117" s="544"/>
      <c r="L117" s="516"/>
      <c r="M117" s="379"/>
      <c r="N117" s="390"/>
      <c r="O117" s="390"/>
    </row>
    <row r="118" spans="1:15" ht="15.75" x14ac:dyDescent="0.3">
      <c r="A118" s="503"/>
      <c r="B118" s="539" t="s">
        <v>452</v>
      </c>
      <c r="C118" s="595">
        <v>0</v>
      </c>
      <c r="D118" s="605" t="s">
        <v>1036</v>
      </c>
      <c r="E118" s="699"/>
      <c r="F118" s="495"/>
      <c r="G118" s="495"/>
      <c r="H118" s="495"/>
      <c r="I118" s="544">
        <f>-C118</f>
        <v>0</v>
      </c>
      <c r="J118" s="544">
        <v>0</v>
      </c>
      <c r="K118" s="544">
        <v>0</v>
      </c>
      <c r="L118" s="419">
        <f>I118*'Standard values'!$D$10+J118*'Standard values'!$D$11+K118*'Standard values'!$D$12</f>
        <v>0</v>
      </c>
      <c r="M118" s="379"/>
      <c r="N118" s="390"/>
      <c r="O118" s="390"/>
    </row>
    <row r="119" spans="1:15" x14ac:dyDescent="0.2">
      <c r="A119" s="503"/>
      <c r="B119" s="539" t="str">
        <f>IF(C118=-29,"Year of conversion:","")</f>
        <v/>
      </c>
      <c r="C119" s="539" t="str">
        <f>IF(D118=-29,"Year of conversion:","")</f>
        <v/>
      </c>
      <c r="D119" s="605" t="str">
        <f>IF(C118=-29,"Fill in the year of conversion","")</f>
        <v/>
      </c>
      <c r="E119" s="503"/>
      <c r="F119" s="495"/>
      <c r="G119" s="495"/>
      <c r="H119" s="495"/>
      <c r="I119" s="495"/>
      <c r="J119" s="495"/>
      <c r="K119" s="544"/>
      <c r="L119" s="516">
        <f>SUM(L118:L118)</f>
        <v>0</v>
      </c>
      <c r="M119" s="379"/>
      <c r="N119" s="390"/>
      <c r="O119" s="390"/>
    </row>
    <row r="120" spans="1:15" x14ac:dyDescent="0.2">
      <c r="A120" s="503"/>
      <c r="B120" s="539"/>
      <c r="C120" s="539"/>
      <c r="D120" s="605"/>
      <c r="E120" s="503"/>
      <c r="F120" s="495"/>
      <c r="G120" s="495"/>
      <c r="H120" s="495"/>
      <c r="I120" s="495"/>
      <c r="J120" s="495"/>
      <c r="K120" s="544"/>
      <c r="L120" s="700"/>
      <c r="M120" s="379"/>
      <c r="N120" s="390"/>
      <c r="O120" s="390"/>
    </row>
    <row r="121" spans="1:15" ht="14.25" x14ac:dyDescent="0.25">
      <c r="A121" s="519"/>
      <c r="B121" s="520"/>
      <c r="C121" s="520"/>
      <c r="D121" s="520"/>
      <c r="E121" s="519"/>
      <c r="F121" s="521"/>
      <c r="G121" s="521"/>
      <c r="H121" s="521" t="s">
        <v>534</v>
      </c>
      <c r="I121" s="520"/>
      <c r="J121" s="523" t="s">
        <v>1048</v>
      </c>
      <c r="K121" s="549"/>
      <c r="L121" s="525">
        <f>L116+L119</f>
        <v>0</v>
      </c>
      <c r="M121" s="379"/>
      <c r="N121" s="390"/>
      <c r="O121" s="390"/>
    </row>
    <row r="122" spans="1:15" x14ac:dyDescent="0.2">
      <c r="A122" s="390"/>
      <c r="B122" s="390"/>
      <c r="C122" s="390"/>
      <c r="D122" s="390"/>
      <c r="E122" s="390"/>
      <c r="F122" s="376"/>
      <c r="G122" s="376"/>
      <c r="H122" s="376"/>
      <c r="I122" s="390"/>
      <c r="J122" s="550"/>
      <c r="K122" s="551"/>
      <c r="L122" s="604"/>
      <c r="M122" s="379"/>
      <c r="N122" s="390"/>
      <c r="O122" s="390"/>
    </row>
    <row r="123" spans="1:15" x14ac:dyDescent="0.2">
      <c r="A123" s="390"/>
      <c r="B123" s="390"/>
      <c r="C123" s="390"/>
      <c r="D123" s="390"/>
      <c r="E123" s="390"/>
      <c r="F123" s="376"/>
      <c r="G123" s="376"/>
      <c r="H123" s="376"/>
      <c r="I123" s="390"/>
      <c r="J123" s="550"/>
      <c r="K123" s="551"/>
      <c r="L123" s="604"/>
      <c r="M123" s="379"/>
      <c r="N123" s="390"/>
      <c r="O123" s="390"/>
    </row>
    <row r="124" spans="1:15" ht="15.75" x14ac:dyDescent="0.25">
      <c r="A124" s="530" t="s">
        <v>547</v>
      </c>
      <c r="B124" s="598"/>
      <c r="C124" s="599"/>
      <c r="D124" s="531"/>
      <c r="E124" s="600"/>
      <c r="F124" s="531"/>
      <c r="G124" s="531"/>
      <c r="H124" s="531"/>
      <c r="I124" s="531"/>
      <c r="J124" s="531"/>
      <c r="K124" s="531"/>
      <c r="L124" s="601"/>
      <c r="M124" s="379"/>
      <c r="N124" s="390"/>
      <c r="O124" s="390"/>
    </row>
    <row r="125" spans="1:15" ht="15.75" x14ac:dyDescent="0.25">
      <c r="A125" s="602"/>
      <c r="B125" s="416" t="s">
        <v>548</v>
      </c>
      <c r="C125" s="492" t="s">
        <v>429</v>
      </c>
      <c r="D125" s="616"/>
      <c r="E125" s="503"/>
      <c r="F125" s="495"/>
      <c r="G125" s="495"/>
      <c r="H125" s="495"/>
      <c r="I125" s="492" t="s">
        <v>138</v>
      </c>
      <c r="J125" s="514"/>
      <c r="K125" s="514"/>
      <c r="L125" s="537"/>
      <c r="M125" s="379"/>
      <c r="N125" s="390"/>
      <c r="O125" s="390"/>
    </row>
    <row r="126" spans="1:15" ht="15.75" x14ac:dyDescent="0.25">
      <c r="A126" s="602"/>
      <c r="B126" s="511"/>
      <c r="C126" s="668"/>
      <c r="D126" s="691" t="s">
        <v>431</v>
      </c>
      <c r="E126" s="692" t="str">
        <f>IF(D128="Yes","From :  ", " ")</f>
        <v xml:space="preserve"> </v>
      </c>
      <c r="F126" s="1422" t="str">
        <f>IF(D128="Yes",Esca!H$42 &amp; ", " &amp; Esca!H$43 &amp; " input ","")</f>
        <v/>
      </c>
      <c r="G126" s="1422"/>
      <c r="H126" s="1422"/>
      <c r="I126" s="1422"/>
      <c r="J126" s="1422"/>
      <c r="K126" s="1422"/>
      <c r="L126" s="1423"/>
      <c r="M126" s="379"/>
      <c r="N126" s="390"/>
      <c r="O126" s="390"/>
    </row>
    <row r="127" spans="1:15" ht="15.75" x14ac:dyDescent="0.25">
      <c r="A127" s="602"/>
      <c r="B127" s="539" t="s">
        <v>430</v>
      </c>
      <c r="C127" s="668"/>
      <c r="D127" s="691" t="s">
        <v>432</v>
      </c>
      <c r="E127" s="513"/>
      <c r="F127" s="1422"/>
      <c r="G127" s="1422"/>
      <c r="H127" s="1422"/>
      <c r="I127" s="1422"/>
      <c r="J127" s="1422"/>
      <c r="K127" s="1422"/>
      <c r="L127" s="1423"/>
      <c r="M127" s="379"/>
      <c r="N127" s="390"/>
      <c r="O127" s="390"/>
    </row>
    <row r="128" spans="1:15" ht="15.75" x14ac:dyDescent="0.25">
      <c r="A128" s="602"/>
      <c r="B128" s="511"/>
      <c r="C128" s="670" t="str">
        <f>IF(D128="Yes","Go to", " ")</f>
        <v xml:space="preserve"> </v>
      </c>
      <c r="D128" s="691" t="s">
        <v>432</v>
      </c>
      <c r="E128" s="692" t="str">
        <f>IF(D128="Yes","To    :   ", " ")</f>
        <v xml:space="preserve"> </v>
      </c>
      <c r="F128" s="1422" t="str">
        <f>IF(D128="Yes",Esca!D$42 &amp; ", " &amp; Esca!D$43 &amp; " input ","")</f>
        <v/>
      </c>
      <c r="G128" s="1422"/>
      <c r="H128" s="1422"/>
      <c r="I128" s="1422"/>
      <c r="J128" s="1422"/>
      <c r="K128" s="1422"/>
      <c r="L128" s="1423"/>
      <c r="M128" s="379"/>
      <c r="N128" s="390"/>
      <c r="O128" s="390"/>
    </row>
    <row r="129" spans="1:15" ht="15.75" x14ac:dyDescent="0.25">
      <c r="A129" s="602"/>
      <c r="B129" s="416"/>
      <c r="C129" s="671" t="str">
        <f>IF(D128="Yes","sheet 'Esca' ", " ")</f>
        <v xml:space="preserve"> </v>
      </c>
      <c r="D129" s="495"/>
      <c r="E129" s="696"/>
      <c r="F129" s="1422"/>
      <c r="G129" s="1422"/>
      <c r="H129" s="1422"/>
      <c r="I129" s="1422"/>
      <c r="J129" s="1422"/>
      <c r="K129" s="1422"/>
      <c r="L129" s="1423"/>
      <c r="M129" s="379"/>
      <c r="N129" s="390"/>
      <c r="O129" s="390"/>
    </row>
    <row r="130" spans="1:15" ht="15.75" x14ac:dyDescent="0.25">
      <c r="A130" s="602"/>
      <c r="B130" s="416"/>
      <c r="C130" s="670" t="str">
        <f>IF(D128="Yes","to calculate the soil carbon accumulation", " ")</f>
        <v xml:space="preserve"> </v>
      </c>
      <c r="D130" s="495"/>
      <c r="E130" s="696"/>
      <c r="F130" s="694"/>
      <c r="G130" s="694"/>
      <c r="H130" s="694"/>
      <c r="I130" s="492" t="s">
        <v>138</v>
      </c>
      <c r="J130" s="514"/>
      <c r="K130" s="694"/>
      <c r="L130" s="695"/>
      <c r="M130" s="379"/>
      <c r="N130" s="390"/>
      <c r="O130" s="390"/>
    </row>
    <row r="131" spans="1:15" ht="16.5" x14ac:dyDescent="0.3">
      <c r="A131" s="602"/>
      <c r="B131" s="416"/>
      <c r="C131" s="670"/>
      <c r="D131" s="495"/>
      <c r="E131" s="696"/>
      <c r="F131" s="694"/>
      <c r="G131" s="694"/>
      <c r="H131" s="694"/>
      <c r="I131" s="539" t="s">
        <v>1053</v>
      </c>
      <c r="J131" s="539" t="s">
        <v>1054</v>
      </c>
      <c r="K131" s="539" t="s">
        <v>1055</v>
      </c>
      <c r="L131" s="540" t="s">
        <v>1056</v>
      </c>
      <c r="M131" s="379"/>
      <c r="N131" s="390"/>
      <c r="O131" s="390"/>
    </row>
    <row r="132" spans="1:15" ht="16.5" x14ac:dyDescent="0.3">
      <c r="A132" s="602"/>
      <c r="B132" s="507" t="s">
        <v>807</v>
      </c>
      <c r="C132" s="697">
        <f>IF(D128="yes",Esca!$J$81,0)</f>
        <v>0</v>
      </c>
      <c r="D132" s="497" t="s">
        <v>449</v>
      </c>
      <c r="E132" s="503"/>
      <c r="F132" s="495"/>
      <c r="G132" s="495"/>
      <c r="H132" s="495"/>
      <c r="I132" s="544">
        <f>$C132*1000000/$E$152</f>
        <v>0</v>
      </c>
      <c r="J132" s="544">
        <v>0</v>
      </c>
      <c r="K132" s="544">
        <v>0</v>
      </c>
      <c r="L132" s="419">
        <f>I132*'Standard values'!$D$10+J132*'Standard values'!$D$11+K132*'Standard values'!$D$12</f>
        <v>0</v>
      </c>
      <c r="M132" s="379"/>
      <c r="N132" s="390"/>
      <c r="O132" s="390"/>
    </row>
    <row r="133" spans="1:15" x14ac:dyDescent="0.2">
      <c r="A133" s="503"/>
      <c r="B133" s="539"/>
      <c r="C133" s="539"/>
      <c r="D133" s="605"/>
      <c r="E133" s="503"/>
      <c r="F133" s="495"/>
      <c r="G133" s="495"/>
      <c r="H133" s="495"/>
      <c r="I133" s="495"/>
      <c r="J133" s="495"/>
      <c r="K133" s="544"/>
      <c r="L133" s="516">
        <f>SUM(L132:L132)</f>
        <v>0</v>
      </c>
      <c r="M133" s="379"/>
      <c r="N133" s="390"/>
      <c r="O133" s="390"/>
    </row>
    <row r="134" spans="1:15" x14ac:dyDescent="0.2">
      <c r="A134" s="503"/>
      <c r="B134" s="539"/>
      <c r="C134" s="539"/>
      <c r="D134" s="605"/>
      <c r="E134" s="503"/>
      <c r="F134" s="495"/>
      <c r="G134" s="495"/>
      <c r="H134" s="495"/>
      <c r="I134" s="495"/>
      <c r="J134" s="495"/>
      <c r="K134" s="544"/>
      <c r="L134" s="700"/>
      <c r="M134" s="379"/>
      <c r="N134" s="390"/>
      <c r="O134" s="390"/>
    </row>
    <row r="135" spans="1:15" ht="14.25" x14ac:dyDescent="0.25">
      <c r="A135" s="519"/>
      <c r="B135" s="520"/>
      <c r="C135" s="520"/>
      <c r="D135" s="520"/>
      <c r="E135" s="519"/>
      <c r="F135" s="521"/>
      <c r="G135" s="521"/>
      <c r="H135" s="521" t="s">
        <v>534</v>
      </c>
      <c r="I135" s="520"/>
      <c r="J135" s="523" t="s">
        <v>1048</v>
      </c>
      <c r="K135" s="549"/>
      <c r="L135" s="525">
        <f>L133</f>
        <v>0</v>
      </c>
      <c r="M135" s="379"/>
      <c r="N135" s="390"/>
      <c r="O135" s="390"/>
    </row>
    <row r="136" spans="1:15" x14ac:dyDescent="0.2">
      <c r="A136" s="390"/>
      <c r="B136" s="390"/>
      <c r="C136" s="390"/>
      <c r="D136" s="390"/>
      <c r="E136" s="390"/>
      <c r="F136" s="376"/>
      <c r="G136" s="376"/>
      <c r="H136" s="376"/>
      <c r="I136" s="390"/>
      <c r="J136" s="550"/>
      <c r="K136" s="551"/>
      <c r="L136" s="604"/>
      <c r="M136" s="379"/>
      <c r="N136" s="390"/>
      <c r="O136" s="390"/>
    </row>
    <row r="137" spans="1:15" x14ac:dyDescent="0.2">
      <c r="A137" s="390"/>
      <c r="B137" s="390"/>
      <c r="C137" s="390"/>
      <c r="D137" s="390"/>
      <c r="E137" s="390"/>
      <c r="F137" s="376"/>
      <c r="G137" s="376"/>
      <c r="H137" s="376"/>
      <c r="I137" s="390"/>
      <c r="J137" s="550"/>
      <c r="K137" s="551"/>
      <c r="L137" s="604"/>
      <c r="M137" s="379"/>
      <c r="N137" s="390"/>
      <c r="O137" s="390"/>
    </row>
    <row r="138" spans="1:15" ht="18.75" x14ac:dyDescent="0.35">
      <c r="A138" s="530" t="s">
        <v>168</v>
      </c>
      <c r="B138" s="598"/>
      <c r="C138" s="599"/>
      <c r="D138" s="531"/>
      <c r="E138" s="600"/>
      <c r="F138" s="531"/>
      <c r="G138" s="531"/>
      <c r="H138" s="531"/>
      <c r="I138" s="531"/>
      <c r="J138" s="531"/>
      <c r="K138" s="531"/>
      <c r="L138" s="601"/>
      <c r="M138" s="379"/>
      <c r="N138" s="390"/>
      <c r="O138" s="390"/>
    </row>
    <row r="139" spans="1:15" ht="15.75" x14ac:dyDescent="0.25">
      <c r="A139" s="602"/>
      <c r="B139" s="416" t="s">
        <v>166</v>
      </c>
      <c r="C139" s="492"/>
      <c r="D139" s="495"/>
      <c r="E139" s="503"/>
      <c r="F139" s="495"/>
      <c r="G139" s="495"/>
      <c r="H139" s="495"/>
      <c r="I139" s="492" t="s">
        <v>138</v>
      </c>
      <c r="J139" s="514"/>
      <c r="K139" s="514"/>
      <c r="L139" s="537"/>
      <c r="M139" s="379"/>
      <c r="N139" s="390"/>
      <c r="O139" s="390"/>
    </row>
    <row r="140" spans="1:15" ht="15.75" x14ac:dyDescent="0.3">
      <c r="A140" s="503"/>
      <c r="B140" s="539"/>
      <c r="C140" s="595">
        <v>0</v>
      </c>
      <c r="D140" s="605" t="s">
        <v>1036</v>
      </c>
      <c r="E140" s="503"/>
      <c r="F140" s="495"/>
      <c r="G140" s="495"/>
      <c r="H140" s="495"/>
      <c r="I140" s="495"/>
      <c r="J140" s="495"/>
      <c r="K140" s="544"/>
      <c r="L140" s="516">
        <f>C140</f>
        <v>0</v>
      </c>
      <c r="M140" s="379"/>
      <c r="N140" s="390"/>
      <c r="O140" s="390"/>
    </row>
    <row r="141" spans="1:15" ht="14.25" x14ac:dyDescent="0.25">
      <c r="A141" s="519"/>
      <c r="B141" s="520"/>
      <c r="C141" s="770"/>
      <c r="D141" s="520"/>
      <c r="E141" s="519"/>
      <c r="F141" s="521"/>
      <c r="G141" s="521"/>
      <c r="H141" s="521" t="s">
        <v>534</v>
      </c>
      <c r="I141" s="520"/>
      <c r="J141" s="523" t="s">
        <v>1048</v>
      </c>
      <c r="K141" s="549"/>
      <c r="L141" s="525">
        <f>C140</f>
        <v>0</v>
      </c>
      <c r="M141" s="379"/>
      <c r="N141" s="390"/>
      <c r="O141" s="390"/>
    </row>
    <row r="142" spans="1:15" x14ac:dyDescent="0.2">
      <c r="A142" s="390"/>
      <c r="B142" s="390"/>
      <c r="C142" s="390"/>
      <c r="D142" s="390"/>
      <c r="E142" s="390"/>
      <c r="F142" s="376"/>
      <c r="G142" s="376"/>
      <c r="H142" s="376"/>
      <c r="I142" s="390"/>
      <c r="J142" s="550"/>
      <c r="K142" s="551"/>
      <c r="L142" s="604"/>
      <c r="M142" s="379"/>
      <c r="N142" s="390"/>
      <c r="O142" s="390"/>
    </row>
    <row r="143" spans="1:15" x14ac:dyDescent="0.2">
      <c r="A143" s="390"/>
      <c r="B143" s="390"/>
      <c r="C143" s="390"/>
      <c r="D143" s="390"/>
      <c r="E143" s="390"/>
      <c r="F143" s="376"/>
      <c r="G143" s="376"/>
      <c r="H143" s="376"/>
      <c r="I143" s="390"/>
      <c r="J143" s="550"/>
      <c r="K143" s="551"/>
      <c r="L143" s="604"/>
      <c r="M143" s="379"/>
      <c r="N143" s="390"/>
      <c r="O143" s="390"/>
    </row>
    <row r="144" spans="1:15" ht="18.75" x14ac:dyDescent="0.35">
      <c r="A144" s="530" t="s">
        <v>169</v>
      </c>
      <c r="B144" s="598"/>
      <c r="C144" s="599"/>
      <c r="D144" s="531"/>
      <c r="E144" s="600"/>
      <c r="F144" s="531"/>
      <c r="G144" s="531"/>
      <c r="H144" s="531"/>
      <c r="I144" s="531"/>
      <c r="J144" s="531"/>
      <c r="K144" s="531"/>
      <c r="L144" s="601"/>
      <c r="M144" s="379"/>
      <c r="N144" s="390"/>
      <c r="O144" s="390"/>
    </row>
    <row r="145" spans="1:15" ht="15.75" x14ac:dyDescent="0.25">
      <c r="A145" s="602"/>
      <c r="B145" s="416" t="s">
        <v>167</v>
      </c>
      <c r="C145" s="492"/>
      <c r="D145" s="495"/>
      <c r="E145" s="503"/>
      <c r="F145" s="495"/>
      <c r="G145" s="495"/>
      <c r="H145" s="495"/>
      <c r="I145" s="492" t="s">
        <v>138</v>
      </c>
      <c r="J145" s="514"/>
      <c r="K145" s="514"/>
      <c r="L145" s="537"/>
      <c r="M145" s="379"/>
      <c r="N145" s="390"/>
      <c r="O145" s="390"/>
    </row>
    <row r="146" spans="1:15" ht="15.75" x14ac:dyDescent="0.3">
      <c r="A146" s="503"/>
      <c r="B146" s="539"/>
      <c r="C146" s="595">
        <v>0</v>
      </c>
      <c r="D146" s="605" t="s">
        <v>1036</v>
      </c>
      <c r="E146" s="503"/>
      <c r="F146" s="495"/>
      <c r="G146" s="495"/>
      <c r="H146" s="495"/>
      <c r="I146" s="495"/>
      <c r="J146" s="495"/>
      <c r="K146" s="544"/>
      <c r="L146" s="516">
        <f>C146</f>
        <v>0</v>
      </c>
      <c r="M146" s="379"/>
      <c r="N146" s="390"/>
      <c r="O146" s="390"/>
    </row>
    <row r="147" spans="1:15" ht="14.25" x14ac:dyDescent="0.25">
      <c r="A147" s="519"/>
      <c r="B147" s="520"/>
      <c r="C147" s="520"/>
      <c r="D147" s="520"/>
      <c r="E147" s="519"/>
      <c r="F147" s="521"/>
      <c r="G147" s="521"/>
      <c r="H147" s="521" t="s">
        <v>534</v>
      </c>
      <c r="I147" s="520"/>
      <c r="J147" s="523" t="s">
        <v>1048</v>
      </c>
      <c r="K147" s="549"/>
      <c r="L147" s="525">
        <f>C146</f>
        <v>0</v>
      </c>
      <c r="M147" s="379"/>
      <c r="N147" s="390"/>
      <c r="O147" s="390"/>
    </row>
    <row r="148" spans="1:15" x14ac:dyDescent="0.2">
      <c r="A148" s="390"/>
      <c r="B148" s="390"/>
      <c r="C148" s="390"/>
      <c r="D148" s="390"/>
      <c r="E148" s="390"/>
      <c r="F148" s="376"/>
      <c r="G148" s="376"/>
      <c r="H148" s="376"/>
      <c r="I148" s="390"/>
      <c r="J148" s="550"/>
      <c r="K148" s="551"/>
      <c r="L148" s="604"/>
      <c r="M148" s="379"/>
      <c r="N148" s="390"/>
      <c r="O148" s="390"/>
    </row>
    <row r="149" spans="1:15" x14ac:dyDescent="0.2">
      <c r="A149" s="390"/>
      <c r="B149" s="390"/>
      <c r="C149" s="390"/>
      <c r="D149" s="390"/>
      <c r="E149" s="390"/>
      <c r="F149" s="376"/>
      <c r="G149" s="376"/>
      <c r="H149" s="376"/>
      <c r="I149" s="390"/>
      <c r="J149" s="550"/>
      <c r="K149" s="551"/>
      <c r="L149" s="604"/>
      <c r="M149" s="379"/>
      <c r="N149" s="390"/>
      <c r="O149" s="390"/>
    </row>
    <row r="150" spans="1:15" ht="15.75" x14ac:dyDescent="0.25">
      <c r="A150" s="530" t="s">
        <v>457</v>
      </c>
      <c r="B150" s="531"/>
      <c r="C150" s="531"/>
      <c r="D150" s="531"/>
      <c r="E150" s="532"/>
      <c r="F150" s="606"/>
      <c r="G150" s="606"/>
      <c r="H150" s="606"/>
      <c r="I150" s="607"/>
      <c r="J150" s="608"/>
      <c r="K150" s="607"/>
      <c r="L150" s="609"/>
      <c r="M150" s="379"/>
      <c r="N150" s="390"/>
      <c r="O150" s="390"/>
    </row>
    <row r="151" spans="1:15" ht="15.75" x14ac:dyDescent="0.25">
      <c r="A151" s="610"/>
      <c r="B151" s="611"/>
      <c r="C151" s="611"/>
      <c r="D151" s="611"/>
      <c r="E151" s="612"/>
      <c r="F151" s="613"/>
      <c r="G151" s="613"/>
      <c r="H151" s="613"/>
      <c r="I151" s="613"/>
      <c r="J151" s="613"/>
      <c r="K151" s="613"/>
      <c r="L151" s="614"/>
      <c r="M151" s="379"/>
      <c r="N151" s="390"/>
      <c r="O151" s="390"/>
    </row>
    <row r="152" spans="1:15" ht="15.75" x14ac:dyDescent="0.3">
      <c r="A152" s="503"/>
      <c r="B152" s="495"/>
      <c r="C152" s="495"/>
      <c r="D152" s="546" t="s">
        <v>300</v>
      </c>
      <c r="E152" s="702">
        <f>E22*C46*C57*C84*C96</f>
        <v>152544.12688334828</v>
      </c>
      <c r="F152" s="495" t="s">
        <v>1030</v>
      </c>
      <c r="G152" s="495"/>
      <c r="H152" s="495"/>
      <c r="I152" s="495"/>
      <c r="J152" s="495"/>
      <c r="K152" s="495"/>
      <c r="L152" s="616"/>
      <c r="M152" s="379"/>
      <c r="N152" s="390"/>
      <c r="O152" s="390"/>
    </row>
    <row r="153" spans="1:15" ht="15.75" x14ac:dyDescent="0.3">
      <c r="A153" s="503"/>
      <c r="B153" s="495"/>
      <c r="C153" s="495"/>
      <c r="D153" s="546" t="s">
        <v>299</v>
      </c>
      <c r="E153" s="615">
        <f>E152/E22</f>
        <v>0.54362598532209838</v>
      </c>
      <c r="F153" s="495" t="s">
        <v>882</v>
      </c>
      <c r="G153" s="495"/>
      <c r="H153" s="495"/>
      <c r="I153" s="544"/>
      <c r="J153" s="495"/>
      <c r="K153" s="495"/>
      <c r="L153" s="616"/>
      <c r="M153" s="379"/>
      <c r="N153" s="390"/>
      <c r="O153" s="390"/>
    </row>
    <row r="154" spans="1:15" x14ac:dyDescent="0.2">
      <c r="A154" s="503"/>
      <c r="B154" s="495"/>
      <c r="C154" s="495"/>
      <c r="D154" s="495"/>
      <c r="E154" s="495"/>
      <c r="F154" s="617"/>
      <c r="G154" s="617"/>
      <c r="H154" s="495"/>
      <c r="I154" s="544"/>
      <c r="J154" s="495"/>
      <c r="K154" s="495"/>
      <c r="L154" s="616"/>
      <c r="M154" s="379"/>
      <c r="N154" s="390"/>
      <c r="O154" s="390"/>
    </row>
    <row r="155" spans="1:15" x14ac:dyDescent="0.2">
      <c r="A155" s="503"/>
      <c r="B155" s="495"/>
      <c r="C155" s="495"/>
      <c r="D155" s="495"/>
      <c r="E155" s="495"/>
      <c r="F155" s="617"/>
      <c r="G155" s="617"/>
      <c r="H155" s="495"/>
      <c r="I155" s="495"/>
      <c r="J155" s="495"/>
      <c r="K155" s="495"/>
      <c r="L155" s="616"/>
      <c r="M155" s="379"/>
      <c r="N155" s="390"/>
      <c r="O155" s="390"/>
    </row>
    <row r="156" spans="1:15" ht="14.25" x14ac:dyDescent="0.25">
      <c r="A156" s="618"/>
      <c r="B156" s="619"/>
      <c r="C156" s="619"/>
      <c r="D156" s="619"/>
      <c r="E156" s="620" t="s">
        <v>1059</v>
      </c>
      <c r="F156" s="621"/>
      <c r="G156" s="621"/>
      <c r="H156" s="622"/>
      <c r="I156" s="622"/>
      <c r="J156" s="620" t="s">
        <v>885</v>
      </c>
      <c r="K156" s="622"/>
      <c r="L156" s="623">
        <f>L42+L52+L71+L92+L104+L121-L135-L141-L147</f>
        <v>55.843323557680364</v>
      </c>
      <c r="M156" s="379"/>
      <c r="N156" s="390"/>
      <c r="O156" s="390"/>
    </row>
    <row r="157" spans="1:15" ht="14.25" x14ac:dyDescent="0.25">
      <c r="A157" s="624"/>
      <c r="B157" s="625"/>
      <c r="C157" s="626"/>
      <c r="D157" s="619"/>
      <c r="E157" s="620" t="s">
        <v>1060</v>
      </c>
      <c r="F157" s="622"/>
      <c r="G157" s="622"/>
      <c r="H157" s="622"/>
      <c r="I157" s="622"/>
      <c r="J157" s="620" t="s">
        <v>885</v>
      </c>
      <c r="K157" s="622"/>
      <c r="L157" s="627">
        <f>L80+L92+L104+(L116*J6)+L119-L135-L141-L147</f>
        <v>40.25833262330454</v>
      </c>
      <c r="M157" s="379"/>
      <c r="N157" s="390"/>
      <c r="O157" s="390"/>
    </row>
    <row r="158" spans="1:15" x14ac:dyDescent="0.2">
      <c r="A158" s="618"/>
      <c r="B158" s="619"/>
      <c r="C158" s="619"/>
      <c r="D158" s="619"/>
      <c r="E158" s="622"/>
      <c r="F158" s="622"/>
      <c r="G158" s="622"/>
      <c r="H158" s="622"/>
      <c r="I158" s="622"/>
      <c r="J158" s="622"/>
      <c r="K158" s="622"/>
      <c r="L158" s="628"/>
      <c r="M158" s="379"/>
      <c r="N158" s="390"/>
      <c r="O158" s="390"/>
    </row>
    <row r="159" spans="1:15" x14ac:dyDescent="0.2">
      <c r="A159" s="629"/>
      <c r="B159" s="630"/>
      <c r="C159" s="630"/>
      <c r="D159" s="630"/>
      <c r="E159" s="631" t="s">
        <v>1061</v>
      </c>
      <c r="F159" s="632"/>
      <c r="G159" s="632"/>
      <c r="H159" s="632"/>
      <c r="I159" s="632"/>
      <c r="J159" s="632"/>
      <c r="K159" s="632"/>
      <c r="L159" s="633">
        <f>(83.8-L157)/83.8</f>
        <v>0.51959030282452812</v>
      </c>
      <c r="M159" s="379"/>
      <c r="N159" s="390"/>
      <c r="O159" s="390"/>
    </row>
    <row r="160" spans="1:15" x14ac:dyDescent="0.2">
      <c r="M160" s="361"/>
    </row>
    <row r="161" spans="5:14" x14ac:dyDescent="0.2">
      <c r="E161" s="634"/>
      <c r="F161" s="634"/>
      <c r="G161" s="634"/>
      <c r="H161" s="635"/>
      <c r="I161" s="634"/>
      <c r="J161" s="634"/>
      <c r="K161" s="634"/>
      <c r="L161" s="636"/>
      <c r="M161" s="361"/>
    </row>
    <row r="162" spans="5:14" x14ac:dyDescent="0.2">
      <c r="F162" s="634"/>
      <c r="G162" s="634"/>
      <c r="H162" s="634"/>
      <c r="I162" s="637"/>
      <c r="J162" s="634"/>
      <c r="K162" s="634"/>
      <c r="L162" s="638"/>
      <c r="M162" s="639"/>
      <c r="N162" s="361"/>
    </row>
    <row r="163" spans="5:14" x14ac:dyDescent="0.2">
      <c r="F163" s="634"/>
      <c r="G163" s="634"/>
      <c r="H163" s="634"/>
      <c r="I163" s="637"/>
      <c r="J163" s="634"/>
      <c r="K163" s="634"/>
      <c r="L163" s="638"/>
      <c r="M163" s="639"/>
      <c r="N163" s="361"/>
    </row>
    <row r="164" spans="5:14" ht="15.75" x14ac:dyDescent="0.25">
      <c r="F164" s="640"/>
      <c r="G164" s="640"/>
      <c r="H164" s="634"/>
      <c r="I164" s="634"/>
      <c r="J164" s="634"/>
      <c r="K164" s="634"/>
      <c r="L164" s="634"/>
      <c r="M164" s="634"/>
      <c r="N164" s="361"/>
    </row>
    <row r="165" spans="5:14" x14ac:dyDescent="0.2">
      <c r="F165" s="634"/>
      <c r="G165" s="634"/>
      <c r="H165" s="637"/>
      <c r="I165" s="634"/>
      <c r="J165" s="634"/>
      <c r="K165" s="634"/>
      <c r="L165" s="634"/>
      <c r="M165" s="634"/>
      <c r="N165" s="634"/>
    </row>
    <row r="166" spans="5:14" x14ac:dyDescent="0.2">
      <c r="F166" s="637"/>
      <c r="G166" s="637"/>
      <c r="H166" s="634"/>
      <c r="I166" s="641"/>
      <c r="J166" s="634"/>
      <c r="K166" s="634"/>
      <c r="L166" s="634"/>
      <c r="M166" s="634"/>
      <c r="N166" s="634"/>
    </row>
    <row r="167" spans="5:14" x14ac:dyDescent="0.2">
      <c r="F167" s="637"/>
      <c r="G167" s="637"/>
      <c r="H167" s="634"/>
      <c r="I167" s="641"/>
      <c r="J167" s="634"/>
      <c r="K167" s="634"/>
      <c r="L167" s="634"/>
      <c r="M167" s="634"/>
      <c r="N167" s="634"/>
    </row>
    <row r="168" spans="5:14" x14ac:dyDescent="0.2">
      <c r="F168" s="634"/>
      <c r="G168" s="634"/>
      <c r="H168" s="639"/>
      <c r="I168" s="634"/>
      <c r="J168" s="634"/>
      <c r="K168" s="634"/>
      <c r="L168" s="634"/>
      <c r="M168" s="634"/>
      <c r="N168" s="634"/>
    </row>
    <row r="169" spans="5:14" x14ac:dyDescent="0.2">
      <c r="F169" s="634"/>
      <c r="G169" s="634"/>
      <c r="H169" s="634"/>
      <c r="I169" s="634"/>
      <c r="J169" s="634"/>
      <c r="K169" s="634"/>
      <c r="L169" s="634"/>
      <c r="M169" s="634"/>
      <c r="N169" s="634"/>
    </row>
    <row r="170" spans="5:14" x14ac:dyDescent="0.2">
      <c r="F170" s="634"/>
      <c r="G170" s="634"/>
      <c r="H170" s="634"/>
      <c r="I170" s="634"/>
      <c r="J170" s="634"/>
      <c r="K170" s="634"/>
      <c r="L170" s="634"/>
      <c r="M170" s="634"/>
      <c r="N170" s="634"/>
    </row>
    <row r="171" spans="5:14" x14ac:dyDescent="0.2">
      <c r="F171" s="634"/>
      <c r="G171" s="634"/>
      <c r="H171" s="634"/>
      <c r="I171" s="634"/>
      <c r="J171" s="634"/>
      <c r="K171" s="634"/>
      <c r="L171" s="634"/>
      <c r="M171" s="634"/>
      <c r="N171" s="634"/>
    </row>
    <row r="172" spans="5:14" x14ac:dyDescent="0.2">
      <c r="F172" s="634"/>
      <c r="G172" s="634"/>
      <c r="H172" s="634"/>
      <c r="I172" s="634"/>
      <c r="J172" s="634"/>
      <c r="K172" s="634"/>
      <c r="L172" s="634"/>
      <c r="M172" s="634"/>
      <c r="N172" s="634"/>
    </row>
    <row r="173" spans="5:14" x14ac:dyDescent="0.2">
      <c r="F173" s="634"/>
      <c r="G173" s="634"/>
      <c r="H173" s="634"/>
      <c r="I173" s="634"/>
      <c r="J173" s="634"/>
      <c r="K173" s="634"/>
      <c r="L173" s="634"/>
      <c r="M173" s="634"/>
      <c r="N173" s="634"/>
    </row>
    <row r="174" spans="5:14" x14ac:dyDescent="0.2">
      <c r="F174" s="634"/>
      <c r="G174" s="634"/>
      <c r="H174" s="634"/>
      <c r="I174" s="634"/>
      <c r="J174" s="634"/>
      <c r="K174" s="634"/>
      <c r="L174" s="634"/>
      <c r="M174" s="634"/>
      <c r="N174" s="634"/>
    </row>
    <row r="175" spans="5:14" x14ac:dyDescent="0.2">
      <c r="F175" s="634"/>
      <c r="G175" s="634"/>
      <c r="H175" s="634"/>
      <c r="I175" s="634"/>
      <c r="J175" s="634"/>
      <c r="K175" s="634"/>
      <c r="L175" s="634"/>
      <c r="M175" s="634"/>
      <c r="N175" s="634"/>
    </row>
    <row r="176" spans="5:14" x14ac:dyDescent="0.2">
      <c r="F176" s="634"/>
      <c r="G176" s="634"/>
      <c r="H176" s="634"/>
      <c r="I176" s="634"/>
      <c r="J176" s="634"/>
      <c r="K176" s="634"/>
      <c r="L176" s="634"/>
      <c r="M176" s="634"/>
      <c r="N176" s="634"/>
    </row>
    <row r="177" spans="6:14" x14ac:dyDescent="0.2">
      <c r="F177" s="634"/>
      <c r="G177" s="634"/>
      <c r="H177" s="634"/>
      <c r="I177" s="634"/>
      <c r="J177" s="634"/>
      <c r="K177" s="634"/>
      <c r="L177" s="634"/>
      <c r="M177" s="634"/>
      <c r="N177" s="634"/>
    </row>
    <row r="178" spans="6:14" x14ac:dyDescent="0.2">
      <c r="F178" s="634"/>
      <c r="G178" s="634"/>
      <c r="H178" s="634"/>
      <c r="I178" s="634"/>
      <c r="J178" s="634"/>
      <c r="K178" s="634"/>
      <c r="L178" s="634"/>
      <c r="M178" s="634"/>
      <c r="N178" s="634"/>
    </row>
    <row r="179" spans="6:14" x14ac:dyDescent="0.2">
      <c r="F179" s="634"/>
      <c r="G179" s="634"/>
      <c r="H179" s="634"/>
      <c r="I179" s="634"/>
      <c r="J179" s="634"/>
      <c r="K179" s="634"/>
      <c r="L179" s="634"/>
      <c r="M179" s="634"/>
      <c r="N179" s="634"/>
    </row>
    <row r="180" spans="6:14" x14ac:dyDescent="0.2">
      <c r="F180" s="634"/>
      <c r="G180" s="634"/>
      <c r="H180" s="634"/>
      <c r="I180" s="634"/>
      <c r="J180" s="634"/>
      <c r="K180" s="634"/>
      <c r="L180" s="634"/>
      <c r="M180" s="634"/>
      <c r="N180" s="634"/>
    </row>
  </sheetData>
  <sheetProtection insertColumns="0" insertRows="0" deleteColumns="0" deleteRows="0"/>
  <customSheetViews>
    <customSheetView guid="{AD88818B-9F97-4B1E-9426-0DECE603685E}" scale="80" showGridLines="0" fitToPage="1" showRuler="0">
      <pane ySplit="18" topLeftCell="A19" activePane="bottomLeft" state="frozen"/>
      <selection pane="bottomLeft" activeCell="E3" sqref="E3"/>
      <pageMargins left="0.75" right="0.75" top="1" bottom="1" header="0.5" footer="0.5"/>
      <pageSetup paperSize="8" fitToHeight="0" orientation="landscape"/>
      <headerFooter alignWithMargins="0">
        <oddFooter>&amp;L&amp;8&amp;F&amp;C&amp;8&amp;A&amp;R&amp;8page&amp;P</oddFooter>
      </headerFooter>
    </customSheetView>
    <customSheetView guid="{7EB5D807-CE20-46E2-AEE6-2C193E010EA4}" scale="80" showGridLines="0" fitToPage="1" showRuler="0">
      <pane ySplit="18" topLeftCell="A19" activePane="bottomLeft" state="frozen"/>
      <selection pane="bottomLeft" activeCell="E3" sqref="E3"/>
      <pageMargins left="0.75" right="0.75" top="1" bottom="1" header="0.5" footer="0.5"/>
      <pageSetup paperSize="8" fitToHeight="0" orientation="landscape"/>
      <headerFooter alignWithMargins="0">
        <oddFooter>&amp;L&amp;8&amp;F&amp;C&amp;8&amp;A&amp;R&amp;8page&amp;P</oddFooter>
      </headerFooter>
    </customSheetView>
  </customSheetViews>
  <mergeCells count="4">
    <mergeCell ref="F109:L110"/>
    <mergeCell ref="F111:L112"/>
    <mergeCell ref="F126:L127"/>
    <mergeCell ref="F128:L129"/>
  </mergeCells>
  <phoneticPr fontId="0" type="noConversion"/>
  <conditionalFormatting sqref="O18 O9:O10">
    <cfRule type="cellIs" dxfId="133" priority="1" stopIfTrue="1" operator="notBetween">
      <formula>-0.05</formula>
      <formula>0.05</formula>
    </cfRule>
  </conditionalFormatting>
  <conditionalFormatting sqref="A7:G7 A11:G11">
    <cfRule type="expression" dxfId="132" priority="3" stopIfTrue="1">
      <formula>($E7&lt;&gt;"")</formula>
    </cfRule>
  </conditionalFormatting>
  <conditionalFormatting sqref="A14:D14 F14:G14">
    <cfRule type="expression" dxfId="131" priority="4" stopIfTrue="1">
      <formula>($E14="Combined result of previous calculation")</formula>
    </cfRule>
  </conditionalFormatting>
  <conditionalFormatting sqref="E14">
    <cfRule type="expression" dxfId="130" priority="5" stopIfTrue="1">
      <formula>($E14="Combined result of previous calculation")</formula>
    </cfRule>
  </conditionalFormatting>
  <conditionalFormatting sqref="E15">
    <cfRule type="expression" dxfId="129" priority="6" stopIfTrue="1">
      <formula>($E15="Esca included in combined result of previous calculation")</formula>
    </cfRule>
  </conditionalFormatting>
  <conditionalFormatting sqref="F15:G15">
    <cfRule type="expression" dxfId="128" priority="7" stopIfTrue="1">
      <formula>($E15="Esca included in combined result of previous calculation")</formula>
    </cfRule>
  </conditionalFormatting>
  <conditionalFormatting sqref="A15:D15">
    <cfRule type="expression" dxfId="127" priority="8" stopIfTrue="1">
      <formula>($E15="Esca included in combined result of previous calculation")</formula>
    </cfRule>
  </conditionalFormatting>
  <dataValidations count="8">
    <dataValidation type="list" showDropDown="1" showInputMessage="1" showErrorMessage="1" errorTitle="Wrong input" error="Only values &quot;0&quot; and &quot;29&quot; are allowed_x000a_" sqref="C118" xr:uid="{00000000-0002-0000-0900-000000000000}">
      <formula1>"0,29"</formula1>
    </dataValidation>
    <dataValidation type="list" allowBlank="1" showInputMessage="1" showErrorMessage="1" sqref="F10 F8 F6" xr:uid="{00000000-0002-0000-0900-000001000000}">
      <formula1>"A,D"</formula1>
    </dataValidation>
    <dataValidation allowBlank="1" showInputMessage="1" showErrorMessage="1" promptTitle="Input value for manure" prompt="Use of manure will not lead to direct GHG emissions as the emission coeffient is 0 g CO2,eq/MJ._x000a_Use of manure will indirectly lead to GHG emissions. When using actual inputs, field N2O emissions must be calculated which increase due to use of manure." sqref="C30" xr:uid="{00000000-0002-0000-0900-000002000000}"/>
    <dataValidation type="list" allowBlank="1" showInputMessage="1" showErrorMessage="1" sqref="E7 E11" xr:uid="{00000000-0002-0000-0900-000003000000}">
      <formula1>"- ,Individual result of previous calculation, Combined result of previous calculation"</formula1>
    </dataValidation>
    <dataValidation type="list" allowBlank="1" showInputMessage="1" showErrorMessage="1" sqref="E14" xr:uid="{00000000-0002-0000-0900-000004000000}">
      <formula1>"- , Combined result of previous calculation"</formula1>
    </dataValidation>
    <dataValidation type="list" allowBlank="1" showInputMessage="1" showErrorMessage="1" sqref="E15" xr:uid="{00000000-0002-0000-0900-000005000000}">
      <formula1>"- , Esca included in combined result of previous calculation"</formula1>
    </dataValidation>
    <dataValidation allowBlank="1" showInputMessage="1" showErrorMessage="1" promptTitle="Please note !" prompt="When changing the value in this cell, you must indicate in column E under &quot;overview results&quot; that you have used the result of a previous calculation. Please refer to paragraph 4.2 of the user manual for further instructions and examples." sqref="N40 N49" xr:uid="{00000000-0002-0000-0900-000006000000}"/>
    <dataValidation allowBlank="1" showInputMessage="1" showErrorMessage="1" promptTitle="Electricity mix" sqref="B61 B68 B91 B103" xr:uid="{00000000-0002-0000-0900-000007000000}"/>
  </dataValidations>
  <hyperlinks>
    <hyperlink ref="C112" location="LUC!A1" display="LUC!A1" xr:uid="{00000000-0004-0000-0900-000000000000}"/>
    <hyperlink ref="C129" location="Esca!A1" display="Esca!A1" xr:uid="{00000000-0004-0000-0900-000001000000}"/>
    <hyperlink ref="C41" location="'N2O emissions IPCC '!A1" display="N2O emissions IPCC" xr:uid="{00000000-0004-0000-0900-000002000000}"/>
  </hyperlinks>
  <pageMargins left="0.75" right="0.75" top="1" bottom="1" header="0.5" footer="0.5"/>
  <pageSetup paperSize="8" fitToHeight="0" orientation="landscape" r:id="rId1"/>
  <headerFooter alignWithMargins="0">
    <oddFooter>&amp;L&amp;8&amp;F&amp;C&amp;8&amp;A&amp;R&amp;8page&amp;P</oddFooter>
  </headerFooter>
  <drawing r:id="rId2"/>
  <legacyDrawing r:id="rId3"/>
  <controls>
    <mc:AlternateContent xmlns:mc="http://schemas.openxmlformats.org/markup-compatibility/2006">
      <mc:Choice Requires="x14">
        <control shapeId="24581" r:id="rId4" name="CheckBox2">
          <controlPr autoLine="0" linkedCell="About!N86" r:id="rId5">
            <anchor moveWithCells="1">
              <from>
                <xdr:col>9</xdr:col>
                <xdr:colOff>38100</xdr:colOff>
                <xdr:row>13</xdr:row>
                <xdr:rowOff>47625</xdr:rowOff>
              </from>
              <to>
                <xdr:col>13</xdr:col>
                <xdr:colOff>885825</xdr:colOff>
                <xdr:row>15</xdr:row>
                <xdr:rowOff>85725</xdr:rowOff>
              </to>
            </anchor>
          </controlPr>
        </control>
      </mc:Choice>
      <mc:Fallback>
        <control shapeId="24581" r:id="rId4" name="CheckBox2"/>
      </mc:Fallback>
    </mc:AlternateContent>
    <mc:AlternateContent xmlns:mc="http://schemas.openxmlformats.org/markup-compatibility/2006">
      <mc:Choice Requires="x14">
        <control shapeId="24582" r:id="rId6" name="CheckBox1">
          <controlPr autoLine="0" linkedCell="About!N88" r:id="rId7">
            <anchor moveWithCells="1">
              <from>
                <xdr:col>9</xdr:col>
                <xdr:colOff>38100</xdr:colOff>
                <xdr:row>11</xdr:row>
                <xdr:rowOff>0</xdr:rowOff>
              </from>
              <to>
                <xdr:col>13</xdr:col>
                <xdr:colOff>866775</xdr:colOff>
                <xdr:row>13</xdr:row>
                <xdr:rowOff>171450</xdr:rowOff>
              </to>
            </anchor>
          </controlPr>
        </control>
      </mc:Choice>
      <mc:Fallback>
        <control shapeId="24582" r:id="rId6" name="CheckBox1"/>
      </mc:Fallback>
    </mc:AlternateContent>
    <mc:AlternateContent xmlns:mc="http://schemas.openxmlformats.org/markup-compatibility/2006">
      <mc:Choice Requires="x14">
        <control shapeId="24595" r:id="rId8" name="ComboBox1">
          <controlPr locked="0" defaultSize="0" autoLine="0" linkedCell="D111" listFillRange="D109:D110" r:id="rId9">
            <anchor moveWithCells="1">
              <from>
                <xdr:col>2</xdr:col>
                <xdr:colOff>9525</xdr:colOff>
                <xdr:row>109</xdr:row>
                <xdr:rowOff>0</xdr:rowOff>
              </from>
              <to>
                <xdr:col>3</xdr:col>
                <xdr:colOff>19050</xdr:colOff>
                <xdr:row>110</xdr:row>
                <xdr:rowOff>9525</xdr:rowOff>
              </to>
            </anchor>
          </controlPr>
        </control>
      </mc:Choice>
      <mc:Fallback>
        <control shapeId="24595" r:id="rId8" name="ComboBox1"/>
      </mc:Fallback>
    </mc:AlternateContent>
    <mc:AlternateContent xmlns:mc="http://schemas.openxmlformats.org/markup-compatibility/2006">
      <mc:Choice Requires="x14">
        <control shapeId="24799" r:id="rId10" name="ComboBox2">
          <controlPr locked="0" defaultSize="0" autoLine="0" linkedCell="D128" listFillRange="D126:D127" r:id="rId11">
            <anchor moveWithCells="1">
              <from>
                <xdr:col>2</xdr:col>
                <xdr:colOff>9525</xdr:colOff>
                <xdr:row>126</xdr:row>
                <xdr:rowOff>9525</xdr:rowOff>
              </from>
              <to>
                <xdr:col>3</xdr:col>
                <xdr:colOff>19050</xdr:colOff>
                <xdr:row>127</xdr:row>
                <xdr:rowOff>19050</xdr:rowOff>
              </to>
            </anchor>
          </controlPr>
        </control>
      </mc:Choice>
      <mc:Fallback>
        <control shapeId="24799" r:id="rId10" name="ComboBox2"/>
      </mc:Fallback>
    </mc:AlternateContent>
    <mc:AlternateContent xmlns:mc="http://schemas.openxmlformats.org/markup-compatibility/2006">
      <mc:Choice Requires="x14">
        <control shapeId="25155" r:id="rId12" name="cmdTrackChanges">
          <controlPr defaultSize="0" autoLine="0" r:id="rId13">
            <anchor moveWithCells="1">
              <from>
                <xdr:col>1</xdr:col>
                <xdr:colOff>1295400</xdr:colOff>
                <xdr:row>17</xdr:row>
                <xdr:rowOff>95250</xdr:rowOff>
              </from>
              <to>
                <xdr:col>3</xdr:col>
                <xdr:colOff>466725</xdr:colOff>
                <xdr:row>18</xdr:row>
                <xdr:rowOff>219075</xdr:rowOff>
              </to>
            </anchor>
          </controlPr>
        </control>
      </mc:Choice>
      <mc:Fallback>
        <control shapeId="25155" r:id="rId12" name="cmdTrackChanges"/>
      </mc:Fallback>
    </mc:AlternateContent>
    <mc:AlternateContent xmlns:mc="http://schemas.openxmlformats.org/markup-compatibility/2006">
      <mc:Choice Requires="x14">
        <control shapeId="25221" r:id="rId14" name="Label 645">
          <controlPr defaultSize="0" autoFill="0" autoLine="0" autoPict="0" macro="[0]!GoToAbout">
            <anchor moveWithCells="1" sizeWithCells="1">
              <from>
                <xdr:col>10</xdr:col>
                <xdr:colOff>438150</xdr:colOff>
                <xdr:row>0</xdr:row>
                <xdr:rowOff>800100</xdr:rowOff>
              </from>
              <to>
                <xdr:col>12</xdr:col>
                <xdr:colOff>85725</xdr:colOff>
                <xdr:row>1</xdr:row>
                <xdr:rowOff>0</xdr:rowOff>
              </to>
            </anchor>
          </controlPr>
        </control>
      </mc:Choice>
    </mc:AlternateContent>
    <mc:AlternateContent xmlns:mc="http://schemas.openxmlformats.org/markup-compatibility/2006">
      <mc:Choice Requires="x14">
        <control shapeId="25222" r:id="rId15" name="Label 646">
          <controlPr defaultSize="0" autoFill="0" autoLine="0" autoPict="0" macro="[0]!GoToDirectory">
            <anchor moveWithCells="1" sizeWithCells="1">
              <from>
                <xdr:col>12</xdr:col>
                <xdr:colOff>161925</xdr:colOff>
                <xdr:row>0</xdr:row>
                <xdr:rowOff>800100</xdr:rowOff>
              </from>
              <to>
                <xdr:col>13</xdr:col>
                <xdr:colOff>990600</xdr:colOff>
                <xdr:row>1</xdr:row>
                <xdr:rowOff>0</xdr:rowOff>
              </to>
            </anchor>
          </controlPr>
        </control>
      </mc:Choice>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E2">
    <pageSetUpPr fitToPage="1"/>
  </sheetPr>
  <dimension ref="A1:O199"/>
  <sheetViews>
    <sheetView showGridLines="0" zoomScale="80" zoomScaleNormal="100" workbookViewId="0">
      <selection activeCell="A2" sqref="A2"/>
    </sheetView>
  </sheetViews>
  <sheetFormatPr baseColWidth="10" defaultColWidth="8.85546875" defaultRowHeight="12.75" x14ac:dyDescent="0.2"/>
  <cols>
    <col min="1" max="1" width="22.5703125" style="360" customWidth="1"/>
    <col min="2" max="2" width="25.85546875" style="360" customWidth="1"/>
    <col min="3" max="3" width="9.7109375" style="360" customWidth="1"/>
    <col min="4" max="4" width="20.140625" style="360" customWidth="1"/>
    <col min="5" max="5" width="14.85546875" style="360" customWidth="1"/>
    <col min="6" max="6" width="8.5703125" style="360" customWidth="1"/>
    <col min="7" max="7" width="2.85546875" style="360" customWidth="1"/>
    <col min="8" max="8" width="19.5703125" style="360" customWidth="1"/>
    <col min="9" max="12" width="9.140625" style="360" customWidth="1"/>
    <col min="13" max="13" width="2.5703125" style="360" customWidth="1"/>
    <col min="14" max="14" width="16.7109375" style="360" customWidth="1"/>
    <col min="15" max="15" width="13.7109375" style="360" customWidth="1"/>
    <col min="16" max="16384" width="8.85546875" style="361"/>
  </cols>
  <sheetData>
    <row r="1" spans="1:15" ht="102" customHeight="1" x14ac:dyDescent="0.2"/>
    <row r="2" spans="1:15" ht="27.75" customHeight="1" x14ac:dyDescent="0.25">
      <c r="A2" s="362" t="s">
        <v>945</v>
      </c>
      <c r="B2" s="363"/>
      <c r="C2" s="364"/>
      <c r="D2" s="364"/>
      <c r="E2" s="364"/>
      <c r="F2" s="365"/>
      <c r="G2" s="365"/>
      <c r="H2" s="366"/>
      <c r="I2" s="367"/>
      <c r="J2" s="368"/>
      <c r="K2" s="369"/>
      <c r="L2" s="370"/>
      <c r="M2" s="367"/>
      <c r="N2" s="367"/>
      <c r="O2" s="371" t="str">
        <f>About!D2</f>
        <v>Version 4d for Testing</v>
      </c>
    </row>
    <row r="3" spans="1:15" ht="27.75" customHeight="1" x14ac:dyDescent="0.25">
      <c r="A3" s="372" t="s">
        <v>1050</v>
      </c>
      <c r="B3" s="373"/>
      <c r="C3" s="374"/>
      <c r="D3" s="374"/>
      <c r="E3" s="373"/>
      <c r="F3" s="373"/>
      <c r="G3" s="373"/>
      <c r="H3" s="375"/>
      <c r="I3" s="376"/>
      <c r="J3" s="377"/>
      <c r="K3" s="378"/>
      <c r="L3" s="377"/>
      <c r="M3" s="377"/>
      <c r="N3" s="379"/>
      <c r="O3" s="378"/>
    </row>
    <row r="4" spans="1:15" ht="16.5" customHeight="1" x14ac:dyDescent="0.25">
      <c r="A4" s="380" t="s">
        <v>861</v>
      </c>
      <c r="B4" s="381" t="s">
        <v>854</v>
      </c>
      <c r="C4" s="381" t="s">
        <v>1057</v>
      </c>
      <c r="D4" s="381" t="s">
        <v>852</v>
      </c>
      <c r="E4" s="382" t="s">
        <v>1047</v>
      </c>
      <c r="F4" s="383" t="s">
        <v>1125</v>
      </c>
      <c r="G4" s="384"/>
      <c r="H4" s="385" t="s">
        <v>869</v>
      </c>
      <c r="I4" s="386"/>
      <c r="J4" s="387" t="s">
        <v>1063</v>
      </c>
      <c r="K4" s="388"/>
      <c r="L4" s="389"/>
      <c r="M4" s="390"/>
      <c r="N4" s="387" t="s">
        <v>391</v>
      </c>
      <c r="O4" s="391"/>
    </row>
    <row r="5" spans="1:15" ht="16.5" customHeight="1" x14ac:dyDescent="0.25">
      <c r="A5" s="392" t="s">
        <v>863</v>
      </c>
      <c r="B5" s="393" t="s">
        <v>853</v>
      </c>
      <c r="C5" s="393" t="s">
        <v>1062</v>
      </c>
      <c r="D5" s="393" t="s">
        <v>853</v>
      </c>
      <c r="E5" s="394"/>
      <c r="F5" s="395" t="s">
        <v>1126</v>
      </c>
      <c r="G5" s="396"/>
      <c r="H5" s="397" t="s">
        <v>866</v>
      </c>
      <c r="I5" s="390"/>
      <c r="J5" s="398" t="str">
        <f>A65</f>
        <v>Ethanol plant</v>
      </c>
      <c r="K5" s="399"/>
      <c r="L5" s="400"/>
      <c r="M5" s="390"/>
      <c r="N5" s="398" t="s">
        <v>392</v>
      </c>
      <c r="O5" s="400"/>
    </row>
    <row r="6" spans="1:15" ht="16.5" customHeight="1" x14ac:dyDescent="0.35">
      <c r="A6" s="401" t="s">
        <v>170</v>
      </c>
      <c r="B6" s="402"/>
      <c r="C6" s="403"/>
      <c r="D6" s="404"/>
      <c r="E6" s="405">
        <f>IF(F6="A",D7,H6)</f>
        <v>23.428245342469936</v>
      </c>
      <c r="F6" s="406" t="s">
        <v>1127</v>
      </c>
      <c r="G6" s="407"/>
      <c r="H6" s="408">
        <v>23</v>
      </c>
      <c r="I6" s="390"/>
      <c r="J6" s="409">
        <f>F96/F98</f>
        <v>0.59511653718091007</v>
      </c>
      <c r="K6" s="410" t="s">
        <v>1032</v>
      </c>
      <c r="L6" s="411"/>
      <c r="M6" s="390"/>
      <c r="N6" s="412">
        <v>83.8</v>
      </c>
      <c r="O6" s="413" t="s">
        <v>394</v>
      </c>
    </row>
    <row r="7" spans="1:15" ht="12" customHeight="1" x14ac:dyDescent="0.2">
      <c r="A7" s="398" t="str">
        <f>A21</f>
        <v>Cultivation of wheat</v>
      </c>
      <c r="B7" s="414">
        <f>L43</f>
        <v>39.367491707507298</v>
      </c>
      <c r="C7" s="415">
        <f>J6</f>
        <v>0.59511653718091007</v>
      </c>
      <c r="D7" s="416">
        <f>C7*B7</f>
        <v>23.428245342469936</v>
      </c>
      <c r="E7" s="1215"/>
      <c r="F7" s="418"/>
      <c r="G7" s="418"/>
      <c r="H7" s="419">
        <f>23.43</f>
        <v>23.43</v>
      </c>
      <c r="I7" s="390"/>
      <c r="J7" s="420">
        <f>1-J6</f>
        <v>0.40488346281908993</v>
      </c>
      <c r="K7" s="421" t="s">
        <v>1033</v>
      </c>
      <c r="L7" s="422"/>
      <c r="M7" s="390"/>
      <c r="N7" s="398" t="s">
        <v>393</v>
      </c>
      <c r="O7" s="400"/>
    </row>
    <row r="8" spans="1:15" ht="16.5" customHeight="1" x14ac:dyDescent="0.35">
      <c r="A8" s="401" t="s">
        <v>544</v>
      </c>
      <c r="B8" s="423"/>
      <c r="C8" s="423"/>
      <c r="D8" s="424"/>
      <c r="E8" s="425">
        <f>IF(F8="A",D9,H8)</f>
        <v>44.554379885147981</v>
      </c>
      <c r="F8" s="406" t="s">
        <v>1127</v>
      </c>
      <c r="G8" s="407"/>
      <c r="H8" s="408">
        <v>45</v>
      </c>
      <c r="I8" s="390"/>
      <c r="J8" s="390"/>
      <c r="K8" s="390"/>
      <c r="L8" s="390"/>
      <c r="M8" s="390"/>
      <c r="N8" s="426">
        <f>(N6-E18)/N6</f>
        <v>0.16598068591785561</v>
      </c>
      <c r="O8" s="427"/>
    </row>
    <row r="9" spans="1:15" ht="12" customHeight="1" x14ac:dyDescent="0.2">
      <c r="A9" s="398" t="str">
        <f>A65</f>
        <v>Ethanol plant</v>
      </c>
      <c r="B9" s="414">
        <f>L90</f>
        <v>74.866647289291933</v>
      </c>
      <c r="C9" s="415">
        <f>J6</f>
        <v>0.59511653718091007</v>
      </c>
      <c r="D9" s="416">
        <f>C9*B9</f>
        <v>44.554379885147981</v>
      </c>
      <c r="E9" s="1216"/>
      <c r="F9" s="418"/>
      <c r="G9" s="418"/>
      <c r="H9" s="419">
        <f>1.4*31.87</f>
        <v>44.618000000000002</v>
      </c>
      <c r="I9" s="390"/>
      <c r="J9" s="390"/>
      <c r="K9" s="390"/>
      <c r="L9" s="390"/>
      <c r="M9" s="390"/>
      <c r="N9" s="390"/>
      <c r="O9" s="428"/>
    </row>
    <row r="10" spans="1:15" ht="16.5" customHeight="1" x14ac:dyDescent="0.35">
      <c r="A10" s="401" t="s">
        <v>545</v>
      </c>
      <c r="B10" s="423"/>
      <c r="C10" s="423"/>
      <c r="D10" s="424"/>
      <c r="E10" s="425">
        <f>IF(F10="A",D11+D12+D13+D14, H10)</f>
        <v>1.908193292465783</v>
      </c>
      <c r="F10" s="406" t="s">
        <v>1127</v>
      </c>
      <c r="G10" s="407"/>
      <c r="H10" s="408">
        <v>2</v>
      </c>
      <c r="I10" s="390"/>
      <c r="J10" s="390"/>
      <c r="K10" s="390"/>
      <c r="L10" s="390"/>
      <c r="M10" s="390"/>
      <c r="N10" s="390"/>
      <c r="O10" s="430"/>
    </row>
    <row r="11" spans="1:15" ht="12" customHeight="1" thickBot="1" x14ac:dyDescent="0.25">
      <c r="A11" s="398" t="str">
        <f>A46</f>
        <v xml:space="preserve">Handling &amp; storage </v>
      </c>
      <c r="B11" s="414">
        <f>L52</f>
        <v>9.7721115771996853E-2</v>
      </c>
      <c r="C11" s="415">
        <f>J6</f>
        <v>0.59511653718091007</v>
      </c>
      <c r="D11" s="416">
        <f t="shared" ref="D11:D17" si="0">C11*B11</f>
        <v>5.8155452027685579E-2</v>
      </c>
      <c r="E11" s="1215"/>
      <c r="F11" s="407"/>
      <c r="G11" s="407"/>
      <c r="H11" s="1426">
        <f>0.38</f>
        <v>0.38</v>
      </c>
      <c r="I11" s="390"/>
      <c r="J11" s="390"/>
      <c r="K11" s="390"/>
      <c r="L11" s="390"/>
      <c r="M11" s="390"/>
      <c r="N11" s="390"/>
      <c r="O11" s="1428"/>
    </row>
    <row r="12" spans="1:15" ht="12" customHeight="1" x14ac:dyDescent="0.2">
      <c r="A12" s="398" t="str">
        <f>A55</f>
        <v>Transport of wheat</v>
      </c>
      <c r="B12" s="414">
        <f>L62</f>
        <v>0.52060153661066044</v>
      </c>
      <c r="C12" s="415">
        <f>J6</f>
        <v>0.59511653718091007</v>
      </c>
      <c r="D12" s="416">
        <f t="shared" si="0"/>
        <v>0.309818583718797</v>
      </c>
      <c r="E12" s="1215"/>
      <c r="F12" s="418"/>
      <c r="G12" s="418"/>
      <c r="H12" s="1427"/>
      <c r="I12" s="390"/>
      <c r="J12" s="432" t="s">
        <v>140</v>
      </c>
      <c r="K12" s="433"/>
      <c r="L12" s="433"/>
      <c r="M12" s="433"/>
      <c r="N12" s="434"/>
      <c r="O12" s="1428"/>
    </row>
    <row r="13" spans="1:15" ht="12" customHeight="1" x14ac:dyDescent="0.2">
      <c r="A13" s="398" t="str">
        <f>A102</f>
        <v>Transport of ethanol to depot</v>
      </c>
      <c r="B13" s="414">
        <f>L111</f>
        <v>0.60397867724853904</v>
      </c>
      <c r="C13" s="415">
        <v>1</v>
      </c>
      <c r="D13" s="416">
        <f t="shared" si="0"/>
        <v>0.60397867724853904</v>
      </c>
      <c r="E13" s="1217"/>
      <c r="F13" s="437"/>
      <c r="G13" s="437"/>
      <c r="H13" s="419">
        <f>1.1</f>
        <v>1.1000000000000001</v>
      </c>
      <c r="I13" s="390"/>
      <c r="J13" s="438"/>
      <c r="K13" s="439"/>
      <c r="L13" s="439"/>
      <c r="M13" s="439"/>
      <c r="N13" s="440"/>
      <c r="O13" s="441"/>
    </row>
    <row r="14" spans="1:15" ht="12" customHeight="1" x14ac:dyDescent="0.2">
      <c r="A14" s="398" t="str">
        <f>A114</f>
        <v>Transport to filling station</v>
      </c>
      <c r="B14" s="414">
        <f>L123</f>
        <v>0.93624057947076134</v>
      </c>
      <c r="C14" s="415">
        <v>1</v>
      </c>
      <c r="D14" s="416">
        <f t="shared" si="0"/>
        <v>0.93624057947076134</v>
      </c>
      <c r="E14" s="1217"/>
      <c r="F14" s="437"/>
      <c r="G14" s="437"/>
      <c r="H14" s="419">
        <f>0.44</f>
        <v>0.44</v>
      </c>
      <c r="I14" s="390"/>
      <c r="J14" s="438"/>
      <c r="K14" s="439"/>
      <c r="L14" s="439"/>
      <c r="M14" s="442"/>
      <c r="N14" s="443"/>
      <c r="O14" s="441"/>
    </row>
    <row r="15" spans="1:15" ht="17.25" customHeight="1" x14ac:dyDescent="0.35">
      <c r="A15" s="444" t="s">
        <v>551</v>
      </c>
      <c r="B15" s="445">
        <f>L135</f>
        <v>0</v>
      </c>
      <c r="C15" s="446">
        <f>J6</f>
        <v>0.59511653718091007</v>
      </c>
      <c r="D15" s="445">
        <f t="shared" si="0"/>
        <v>0</v>
      </c>
      <c r="E15" s="425">
        <f>D15</f>
        <v>0</v>
      </c>
      <c r="F15" s="451"/>
      <c r="G15" s="451"/>
      <c r="H15" s="447">
        <v>0</v>
      </c>
      <c r="I15" s="390"/>
      <c r="J15" s="438"/>
      <c r="K15" s="439"/>
      <c r="L15" s="439"/>
      <c r="M15" s="448"/>
      <c r="N15" s="449"/>
      <c r="O15" s="450"/>
    </row>
    <row r="16" spans="1:15" ht="16.5" customHeight="1" x14ac:dyDescent="0.35">
      <c r="A16" s="444" t="s">
        <v>724</v>
      </c>
      <c r="B16" s="445">
        <f>L154-L138</f>
        <v>0</v>
      </c>
      <c r="C16" s="446">
        <v>1</v>
      </c>
      <c r="D16" s="445">
        <f t="shared" si="0"/>
        <v>0</v>
      </c>
      <c r="E16" s="425">
        <f>D16</f>
        <v>0</v>
      </c>
      <c r="F16" s="451"/>
      <c r="G16" s="451"/>
      <c r="H16" s="447">
        <v>0</v>
      </c>
      <c r="I16" s="379"/>
      <c r="J16" s="438"/>
      <c r="K16" s="439"/>
      <c r="L16" s="439"/>
      <c r="M16" s="448"/>
      <c r="N16" s="449"/>
      <c r="O16" s="450"/>
    </row>
    <row r="17" spans="1:15" ht="16.5" customHeight="1" thickBot="1" x14ac:dyDescent="0.4">
      <c r="A17" s="444" t="s">
        <v>725</v>
      </c>
      <c r="B17" s="445">
        <f>L160+L166</f>
        <v>0</v>
      </c>
      <c r="C17" s="446">
        <v>1</v>
      </c>
      <c r="D17" s="445">
        <f t="shared" si="0"/>
        <v>0</v>
      </c>
      <c r="E17" s="425">
        <f>D17</f>
        <v>0</v>
      </c>
      <c r="F17" s="451"/>
      <c r="G17" s="451"/>
      <c r="H17" s="447">
        <v>0</v>
      </c>
      <c r="I17" s="379"/>
      <c r="J17" s="459" t="s">
        <v>1</v>
      </c>
      <c r="K17" s="460"/>
      <c r="L17" s="460"/>
      <c r="M17" s="461"/>
      <c r="N17" s="462"/>
      <c r="O17" s="450"/>
    </row>
    <row r="18" spans="1:15" ht="16.5" customHeight="1" thickBot="1" x14ac:dyDescent="0.3">
      <c r="A18" s="452" t="s">
        <v>1049</v>
      </c>
      <c r="B18" s="453">
        <f>SUM(B7:B15)-SUM(B16:B17)</f>
        <v>116.39268090590119</v>
      </c>
      <c r="C18" s="454"/>
      <c r="D18" s="455"/>
      <c r="E18" s="456">
        <f>SUM(E6:E15)-SUM(E16:E17)</f>
        <v>69.890818520083698</v>
      </c>
      <c r="F18" s="457"/>
      <c r="G18" s="457"/>
      <c r="H18" s="458">
        <v>70</v>
      </c>
      <c r="I18" s="379"/>
      <c r="J18" s="650"/>
      <c r="K18" s="651"/>
      <c r="L18" s="651"/>
      <c r="M18" s="652"/>
      <c r="N18" s="652"/>
      <c r="O18" s="463"/>
    </row>
    <row r="19" spans="1:15" ht="16.5" customHeight="1" x14ac:dyDescent="0.25">
      <c r="A19" s="464"/>
      <c r="B19" s="465"/>
      <c r="E19" s="466" t="s">
        <v>859</v>
      </c>
      <c r="F19" s="467"/>
      <c r="G19" s="467"/>
      <c r="H19" s="468"/>
      <c r="I19" s="469"/>
      <c r="J19" s="470"/>
      <c r="K19" s="433"/>
      <c r="L19" s="471"/>
      <c r="M19" s="433"/>
      <c r="N19" s="433"/>
      <c r="O19" s="472"/>
    </row>
    <row r="20" spans="1:15" ht="22.5" customHeight="1" thickBot="1" x14ac:dyDescent="0.25">
      <c r="A20" s="473" t="s">
        <v>1051</v>
      </c>
      <c r="B20" s="379"/>
      <c r="E20" s="474" t="s">
        <v>860</v>
      </c>
      <c r="F20" s="442"/>
      <c r="G20" s="442"/>
      <c r="H20" s="442"/>
      <c r="I20" s="439"/>
      <c r="J20" s="475"/>
      <c r="K20" s="475"/>
      <c r="L20" s="476"/>
      <c r="M20" s="477"/>
      <c r="N20" s="477"/>
      <c r="O20" s="478"/>
    </row>
    <row r="21" spans="1:15" ht="15.75" x14ac:dyDescent="0.25">
      <c r="A21" s="479" t="s">
        <v>490</v>
      </c>
      <c r="B21" s="480"/>
      <c r="C21" s="480"/>
      <c r="D21" s="480"/>
      <c r="E21" s="479" t="s">
        <v>513</v>
      </c>
      <c r="F21" s="481"/>
      <c r="G21" s="481"/>
      <c r="H21" s="480"/>
      <c r="I21" s="482" t="s">
        <v>532</v>
      </c>
      <c r="J21" s="481"/>
      <c r="K21" s="481"/>
      <c r="L21" s="483"/>
      <c r="M21" s="715"/>
      <c r="N21" s="530" t="s">
        <v>162</v>
      </c>
      <c r="O21" s="773"/>
    </row>
    <row r="22" spans="1:15" ht="15.75" x14ac:dyDescent="0.25">
      <c r="A22" s="486"/>
      <c r="B22" s="487" t="s">
        <v>524</v>
      </c>
      <c r="C22" s="488"/>
      <c r="D22" s="488"/>
      <c r="E22" s="489" t="s">
        <v>524</v>
      </c>
      <c r="F22" s="490"/>
      <c r="G22" s="490"/>
      <c r="H22" s="491"/>
      <c r="I22" s="492" t="s">
        <v>138</v>
      </c>
      <c r="J22" s="490"/>
      <c r="K22" s="490"/>
      <c r="L22" s="493"/>
      <c r="M22" s="484"/>
      <c r="N22" s="538" t="s">
        <v>163</v>
      </c>
      <c r="O22" s="749" t="s">
        <v>139</v>
      </c>
    </row>
    <row r="23" spans="1:15" ht="16.5" x14ac:dyDescent="0.3">
      <c r="A23" s="494"/>
      <c r="B23" s="495" t="s">
        <v>1034</v>
      </c>
      <c r="C23" s="496">
        <v>5208.2168117301198</v>
      </c>
      <c r="D23" s="497" t="s">
        <v>527</v>
      </c>
      <c r="E23" s="656">
        <f>C23*(1-C24)*VLOOKUP($B23,'Standard values'!$C$9:$S$162,14, FALSE)</f>
        <v>76586.828216491413</v>
      </c>
      <c r="F23" s="499" t="s">
        <v>1052</v>
      </c>
      <c r="G23" s="499"/>
      <c r="H23" s="499"/>
      <c r="I23" s="500" t="s">
        <v>1053</v>
      </c>
      <c r="J23" s="500" t="s">
        <v>1054</v>
      </c>
      <c r="K23" s="500" t="s">
        <v>1055</v>
      </c>
      <c r="L23" s="501" t="s">
        <v>1056</v>
      </c>
      <c r="M23" s="379"/>
      <c r="N23" s="540" t="s">
        <v>1056</v>
      </c>
      <c r="O23" s="540" t="s">
        <v>550</v>
      </c>
    </row>
    <row r="24" spans="1:15" ht="15.75" x14ac:dyDescent="0.3">
      <c r="A24" s="503"/>
      <c r="B24" s="495" t="s">
        <v>521</v>
      </c>
      <c r="C24" s="504">
        <v>0.13500000000000001</v>
      </c>
      <c r="D24" s="497"/>
      <c r="E24" s="505">
        <v>1</v>
      </c>
      <c r="F24" s="506" t="s">
        <v>53</v>
      </c>
      <c r="G24" s="506"/>
      <c r="H24" s="495"/>
      <c r="I24" s="507"/>
      <c r="J24" s="508"/>
      <c r="K24" s="508"/>
      <c r="L24" s="509"/>
      <c r="M24" s="379"/>
      <c r="N24" s="541"/>
      <c r="O24" s="541"/>
    </row>
    <row r="25" spans="1:15" ht="15.75" x14ac:dyDescent="0.3">
      <c r="A25" s="503"/>
      <c r="B25" s="495" t="s">
        <v>124</v>
      </c>
      <c r="C25" s="723">
        <v>2148.3894348386743</v>
      </c>
      <c r="D25" s="497" t="s">
        <v>527</v>
      </c>
      <c r="E25" s="510">
        <f>+C23/E171</f>
        <v>0.12800378600858547</v>
      </c>
      <c r="F25" s="506" t="s">
        <v>161</v>
      </c>
      <c r="G25" s="506"/>
      <c r="H25" s="495"/>
      <c r="I25" s="508"/>
      <c r="J25" s="508"/>
      <c r="K25" s="508"/>
      <c r="L25" s="509"/>
      <c r="M25" s="379"/>
      <c r="N25" s="541"/>
      <c r="O25" s="541"/>
    </row>
    <row r="26" spans="1:15" x14ac:dyDescent="0.2">
      <c r="A26" s="503"/>
      <c r="B26" s="495"/>
      <c r="C26" s="660"/>
      <c r="D26" s="497"/>
      <c r="E26" s="503"/>
      <c r="F26" s="495"/>
      <c r="G26" s="495"/>
      <c r="H26" s="495"/>
      <c r="I26" s="546"/>
      <c r="J26" s="546"/>
      <c r="K26" s="546"/>
      <c r="L26" s="661"/>
      <c r="M26" s="379"/>
      <c r="N26" s="541"/>
      <c r="O26" s="541"/>
    </row>
    <row r="27" spans="1:15" x14ac:dyDescent="0.2">
      <c r="A27" s="503"/>
      <c r="B27" s="511" t="s">
        <v>525</v>
      </c>
      <c r="C27" s="660"/>
      <c r="D27" s="497"/>
      <c r="E27" s="503"/>
      <c r="F27" s="495"/>
      <c r="G27" s="495"/>
      <c r="H27" s="495"/>
      <c r="I27" s="546"/>
      <c r="J27" s="546"/>
      <c r="K27" s="546"/>
      <c r="L27" s="661"/>
      <c r="M27" s="379"/>
      <c r="N27" s="541"/>
      <c r="O27" s="541"/>
    </row>
    <row r="28" spans="1:15" ht="14.25" x14ac:dyDescent="0.2">
      <c r="A28" s="503"/>
      <c r="B28" s="495" t="s">
        <v>509</v>
      </c>
      <c r="C28" s="723">
        <v>3716.5</v>
      </c>
      <c r="D28" s="497" t="s">
        <v>528</v>
      </c>
      <c r="E28" s="513"/>
      <c r="F28" s="495"/>
      <c r="G28" s="495"/>
      <c r="H28" s="495"/>
      <c r="I28" s="508">
        <f>$C28*VLOOKUP($B28,'Standard values'!$C$9:$S$162,7, FALSE)/$E$171</f>
        <v>8.0050631067823872</v>
      </c>
      <c r="J28" s="508">
        <f>$C28*VLOOKUP($B28,'Standard values'!$C$9:$S$162,8, FALSE)/$E$171</f>
        <v>0</v>
      </c>
      <c r="K28" s="508">
        <f>$C28*VLOOKUP($B28,'Standard values'!$C$9:$S$162,9, FALSE)/$E$171</f>
        <v>0</v>
      </c>
      <c r="L28" s="509">
        <f>I28*'Standard values'!$D$10+J28*'Standard values'!$D$11+K28*'Standard values'!$D$12</f>
        <v>8.0050631067823872</v>
      </c>
      <c r="M28" s="379"/>
      <c r="N28" s="562">
        <f>+L28/$E$25</f>
        <v>62.537705769464282</v>
      </c>
      <c r="O28" s="750">
        <f>L28*$E$171/1000</f>
        <v>325.70993055555556</v>
      </c>
    </row>
    <row r="29" spans="1:15" x14ac:dyDescent="0.2">
      <c r="A29" s="503"/>
      <c r="B29" s="495"/>
      <c r="C29" s="660"/>
      <c r="D29" s="497"/>
      <c r="E29" s="513"/>
      <c r="F29" s="495"/>
      <c r="G29" s="495"/>
      <c r="H29" s="495"/>
      <c r="I29" s="508"/>
      <c r="J29" s="508"/>
      <c r="K29" s="508"/>
      <c r="L29" s="509"/>
      <c r="M29" s="379"/>
      <c r="N29" s="562"/>
      <c r="O29" s="750"/>
    </row>
    <row r="30" spans="1:15" x14ac:dyDescent="0.2">
      <c r="A30" s="503"/>
      <c r="B30" s="511" t="s">
        <v>1045</v>
      </c>
      <c r="C30" s="660"/>
      <c r="D30" s="497"/>
      <c r="E30" s="513"/>
      <c r="F30" s="495"/>
      <c r="G30" s="495"/>
      <c r="H30" s="495"/>
      <c r="I30" s="508"/>
      <c r="J30" s="508"/>
      <c r="K30" s="508"/>
      <c r="L30" s="509"/>
      <c r="M30" s="379"/>
      <c r="N30" s="562"/>
      <c r="O30" s="750"/>
    </row>
    <row r="31" spans="1:15" ht="14.25" x14ac:dyDescent="0.2">
      <c r="A31" s="503"/>
      <c r="B31" s="495" t="s">
        <v>231</v>
      </c>
      <c r="C31" s="556">
        <v>109.30441083988111</v>
      </c>
      <c r="D31" s="497" t="s">
        <v>529</v>
      </c>
      <c r="E31" s="513"/>
      <c r="F31" s="495"/>
      <c r="G31" s="495"/>
      <c r="H31" s="495"/>
      <c r="I31" s="508">
        <f>$C31*VLOOKUP($B31,'Standard values'!$C$9:$S$162,3, FALSE)/$E$171</f>
        <v>7.5944794094809875</v>
      </c>
      <c r="J31" s="508">
        <f>$C31*VLOOKUP($B31,'Standard values'!$C$9:$S$162,4, FALSE)/$E$171</f>
        <v>2.3314769599091817E-2</v>
      </c>
      <c r="K31" s="508">
        <f>$C31*VLOOKUP($B31,'Standard values'!$C$9:$S$162,5, FALSE)/$E$171</f>
        <v>2.5901777379421516E-2</v>
      </c>
      <c r="L31" s="509">
        <f>I31*'Standard values'!$D$10+J31*'Standard values'!$D$11+K31*'Standard values'!$D$12</f>
        <v>15.896078308525894</v>
      </c>
      <c r="M31" s="379"/>
      <c r="N31" s="562">
        <f>+L31/$E$25</f>
        <v>124.18443863418003</v>
      </c>
      <c r="O31" s="750">
        <f>L31*$E$171/1000</f>
        <v>646.77948104980374</v>
      </c>
    </row>
    <row r="32" spans="1:15" ht="14.25" x14ac:dyDescent="0.2">
      <c r="A32" s="503"/>
      <c r="B32" s="495" t="s">
        <v>504</v>
      </c>
      <c r="C32" s="556">
        <v>0</v>
      </c>
      <c r="D32" s="497" t="s">
        <v>529</v>
      </c>
      <c r="E32" s="513"/>
      <c r="F32" s="495"/>
      <c r="G32" s="495"/>
      <c r="H32" s="495"/>
      <c r="I32" s="508">
        <f>$C32*VLOOKUP($B32,'Standard values'!$C$9:$S$162,3, FALSE)/$E$171</f>
        <v>0</v>
      </c>
      <c r="J32" s="508">
        <f>$C32*VLOOKUP($B32,'Standard values'!$C$9:$S$162,4, FALSE)/$E$171</f>
        <v>0</v>
      </c>
      <c r="K32" s="508">
        <f>$C32*VLOOKUP($B32,'Standard values'!$C$9:$S$162,5, FALSE)/$E$171</f>
        <v>0</v>
      </c>
      <c r="L32" s="509">
        <f>I32*'Standard values'!$D$10+J32*'Standard values'!$D$11+K32*'Standard values'!$D$12</f>
        <v>0</v>
      </c>
      <c r="M32" s="379"/>
      <c r="N32" s="562">
        <f>+L32/$E$25</f>
        <v>0</v>
      </c>
      <c r="O32" s="750">
        <f>L32*$E$171/1000</f>
        <v>0</v>
      </c>
    </row>
    <row r="33" spans="1:15" ht="15.75" x14ac:dyDescent="0.3">
      <c r="A33" s="503"/>
      <c r="B33" s="495" t="s">
        <v>233</v>
      </c>
      <c r="C33" s="556">
        <v>16.357714030632511</v>
      </c>
      <c r="D33" s="497" t="s">
        <v>530</v>
      </c>
      <c r="E33" s="513"/>
      <c r="F33" s="495"/>
      <c r="G33" s="495"/>
      <c r="H33" s="495"/>
      <c r="I33" s="508">
        <f>$C33*VLOOKUP($B33,'Standard values'!$C$9:$S$162,3, FALSE)/$E$171</f>
        <v>0.21561203330840112</v>
      </c>
      <c r="J33" s="508">
        <f>$C33*VLOOKUP($B33,'Standard values'!$C$9:$S$162,4, FALSE)/$E$171</f>
        <v>6.3154588714152068E-4</v>
      </c>
      <c r="K33" s="508">
        <f>$C33*VLOOKUP($B33,'Standard values'!$C$9:$S$162,5, FALSE)/$E$171</f>
        <v>4.9449451981925676E-6</v>
      </c>
      <c r="L33" s="509">
        <f>I33*'Standard values'!$D$10+J33*'Standard values'!$D$11+K33*'Standard values'!$D$12</f>
        <v>0.23287427415600051</v>
      </c>
      <c r="M33" s="379"/>
      <c r="N33" s="562">
        <f>+L33/$E$25</f>
        <v>1.8192764559353045</v>
      </c>
      <c r="O33" s="750">
        <f>L33*$E$171/1000</f>
        <v>9.4751862229870447</v>
      </c>
    </row>
    <row r="34" spans="1:15" ht="15.75" x14ac:dyDescent="0.3">
      <c r="A34" s="503"/>
      <c r="B34" s="495" t="s">
        <v>232</v>
      </c>
      <c r="C34" s="556">
        <v>21.636015155139138</v>
      </c>
      <c r="D34" s="497" t="s">
        <v>531</v>
      </c>
      <c r="E34" s="513"/>
      <c r="F34" s="495"/>
      <c r="G34" s="495"/>
      <c r="H34" s="495"/>
      <c r="I34" s="508">
        <f>$C34*VLOOKUP($B34,'Standard values'!$C$9:$S$162,3, FALSE)/$E$171</f>
        <v>0.51308257670131951</v>
      </c>
      <c r="J34" s="508">
        <f>$C34*VLOOKUP($B34,'Standard values'!$C$9:$S$162,4, FALSE)/$E$171</f>
        <v>7.0776501649619532E-4</v>
      </c>
      <c r="K34" s="508">
        <f>$C34*VLOOKUP($B34,'Standard values'!$C$9:$S$162,5, FALSE)/$E$171</f>
        <v>2.7385348121377956E-5</v>
      </c>
      <c r="L34" s="509">
        <f>I34*'Standard values'!$D$10+J34*'Standard values'!$D$11+K34*'Standard values'!$D$12</f>
        <v>0.53893753585389503</v>
      </c>
      <c r="M34" s="379"/>
      <c r="N34" s="562">
        <f>+L34/$E$25</f>
        <v>4.2103249650580441</v>
      </c>
      <c r="O34" s="750">
        <f>L34*$E$171/1000</f>
        <v>21.928285265862336</v>
      </c>
    </row>
    <row r="35" spans="1:15" ht="14.25" x14ac:dyDescent="0.2">
      <c r="A35" s="503"/>
      <c r="B35" s="495" t="s">
        <v>502</v>
      </c>
      <c r="C35" s="556">
        <v>2.335</v>
      </c>
      <c r="D35" s="497" t="s">
        <v>527</v>
      </c>
      <c r="E35" s="513"/>
      <c r="F35" s="665"/>
      <c r="G35" s="665"/>
      <c r="H35" s="665"/>
      <c r="I35" s="508">
        <f>$C35*VLOOKUP($B35,'Standard values'!$C$9:$S$162,3, FALSE)/$E$171</f>
        <v>0.5673659957944569</v>
      </c>
      <c r="J35" s="508">
        <f>$C35*VLOOKUP($B35,'Standard values'!$C$9:$S$162,4, FALSE)/$E$171</f>
        <v>1.4649477146967333E-3</v>
      </c>
      <c r="K35" s="508">
        <f>$C35*VLOOKUP($B35,'Standard values'!$C$9:$S$162,5, FALSE)/$E$171</f>
        <v>9.64920843923159E-5</v>
      </c>
      <c r="L35" s="509">
        <f>I35*'Standard values'!$D$10+J35*'Standard values'!$D$11+K35*'Standard values'!$D$12</f>
        <v>0.63274432981078532</v>
      </c>
      <c r="M35" s="379"/>
      <c r="N35" s="562">
        <f>+L35/$E$25</f>
        <v>4.943168866648568</v>
      </c>
      <c r="O35" s="750">
        <f>L35*$E$171/1000</f>
        <v>25.745095194499996</v>
      </c>
    </row>
    <row r="36" spans="1:15" x14ac:dyDescent="0.2">
      <c r="A36" s="503"/>
      <c r="B36" s="495"/>
      <c r="C36" s="666"/>
      <c r="D36" s="497"/>
      <c r="E36" s="513"/>
      <c r="F36" s="665"/>
      <c r="G36" s="665"/>
      <c r="H36" s="665"/>
      <c r="I36" s="508"/>
      <c r="J36" s="508"/>
      <c r="K36" s="508"/>
      <c r="L36" s="509"/>
      <c r="M36" s="379"/>
      <c r="N36" s="562"/>
      <c r="O36" s="750"/>
    </row>
    <row r="37" spans="1:15" x14ac:dyDescent="0.2">
      <c r="A37" s="503"/>
      <c r="B37" s="511" t="s">
        <v>511</v>
      </c>
      <c r="C37" s="666"/>
      <c r="D37" s="497"/>
      <c r="E37" s="513"/>
      <c r="F37" s="495"/>
      <c r="G37" s="495"/>
      <c r="H37" s="665"/>
      <c r="I37" s="508"/>
      <c r="J37" s="508"/>
      <c r="K37" s="508"/>
      <c r="L37" s="509"/>
      <c r="M37" s="379"/>
      <c r="N37" s="562"/>
      <c r="O37" s="750"/>
    </row>
    <row r="38" spans="1:15" ht="14.25" x14ac:dyDescent="0.2">
      <c r="A38" s="503"/>
      <c r="B38" s="499" t="s">
        <v>1080</v>
      </c>
      <c r="C38" s="726">
        <v>120</v>
      </c>
      <c r="D38" s="497" t="s">
        <v>527</v>
      </c>
      <c r="E38" s="513"/>
      <c r="F38" s="495"/>
      <c r="G38" s="495"/>
      <c r="H38" s="495"/>
      <c r="I38" s="508">
        <f>$C38*VLOOKUP($B38,'Standard values'!$C$9:$S$162,3, FALSE)/$E$171</f>
        <v>0.44550452941118518</v>
      </c>
      <c r="J38" s="508">
        <f>$C38*VLOOKUP($B38,'Standard values'!$C$9:$S$162,4, FALSE)/$E$171</f>
        <v>8.172436068274115E-4</v>
      </c>
      <c r="K38" s="508">
        <f>$C38*VLOOKUP($B38,'Standard values'!$C$9:$S$162,5, FALSE)/$E$171</f>
        <v>1.1805940664489816E-3</v>
      </c>
      <c r="L38" s="509">
        <f>I38*'Standard values'!$D$10+J38*'Standard values'!$D$11+K38*'Standard values'!$D$12</f>
        <v>0.81775265138366704</v>
      </c>
      <c r="M38" s="379"/>
      <c r="N38" s="562">
        <f>+L38/$E$25</f>
        <v>6.3885036285475083</v>
      </c>
      <c r="O38" s="750">
        <f>L38*$E$171/1000</f>
        <v>33.272711999999999</v>
      </c>
    </row>
    <row r="39" spans="1:15" x14ac:dyDescent="0.2">
      <c r="A39" s="503"/>
      <c r="B39" s="511"/>
      <c r="C39" s="668"/>
      <c r="D39" s="497"/>
      <c r="E39" s="513"/>
      <c r="F39" s="495"/>
      <c r="G39" s="495"/>
      <c r="H39" s="495"/>
      <c r="I39" s="508"/>
      <c r="J39" s="508"/>
      <c r="K39" s="508"/>
      <c r="L39" s="509"/>
      <c r="M39" s="379"/>
      <c r="N39" s="562"/>
      <c r="O39" s="750"/>
    </row>
    <row r="40" spans="1:15" ht="15" x14ac:dyDescent="0.25">
      <c r="A40" s="503"/>
      <c r="B40" s="511" t="s">
        <v>1046</v>
      </c>
      <c r="C40" s="728">
        <v>1.8083001106671583</v>
      </c>
      <c r="D40" s="497" t="s">
        <v>527</v>
      </c>
      <c r="E40" s="513"/>
      <c r="F40" s="495"/>
      <c r="G40" s="495"/>
      <c r="H40" s="495"/>
      <c r="I40" s="508">
        <v>0</v>
      </c>
      <c r="J40" s="508">
        <v>0</v>
      </c>
      <c r="K40" s="508">
        <f>1000*$C40/$E$171</f>
        <v>4.4443092285216999E-2</v>
      </c>
      <c r="L40" s="509">
        <f>I40*'Standard values'!$D$10+J40*'Standard values'!$D$11+K40*'Standard values'!$D$12</f>
        <v>13.244041500994665</v>
      </c>
      <c r="M40" s="379"/>
      <c r="N40" s="562">
        <f>+L40/$E$25</f>
        <v>103.46601388888888</v>
      </c>
      <c r="O40" s="750">
        <f>L40*$E$171/1000</f>
        <v>538.87343297881318</v>
      </c>
    </row>
    <row r="41" spans="1:15" ht="15.75" x14ac:dyDescent="0.3">
      <c r="A41" s="503"/>
      <c r="B41" s="511"/>
      <c r="C41" s="670" t="s">
        <v>664</v>
      </c>
      <c r="D41" s="495"/>
      <c r="E41" s="513"/>
      <c r="F41" s="514"/>
      <c r="G41" s="514"/>
      <c r="H41" s="514" t="s">
        <v>1047</v>
      </c>
      <c r="I41" s="515">
        <f>SUM(I24:I40)</f>
        <v>17.341107651478737</v>
      </c>
      <c r="J41" s="515">
        <f>SUM(J24:J40)</f>
        <v>2.6936271824253677E-2</v>
      </c>
      <c r="K41" s="515">
        <f>SUM(K24:K40)</f>
        <v>7.1654286108799384E-2</v>
      </c>
      <c r="L41" s="516">
        <f>I41*'Standard values'!$D$10+J41*'Standard values'!$D$11+K41*'Standard values'!$D$12</f>
        <v>39.367491707507298</v>
      </c>
      <c r="M41" s="379"/>
      <c r="N41" s="1201">
        <f>+L41/E$25</f>
        <v>307.54943220872264</v>
      </c>
      <c r="O41" s="1202">
        <f>L41*$E$171/1000</f>
        <v>1601.7841232675221</v>
      </c>
    </row>
    <row r="42" spans="1:15" x14ac:dyDescent="0.2">
      <c r="A42" s="503"/>
      <c r="B42" s="511"/>
      <c r="C42" s="671" t="s">
        <v>665</v>
      </c>
      <c r="D42" s="495"/>
      <c r="E42" s="513"/>
      <c r="F42" s="514"/>
      <c r="G42" s="514"/>
      <c r="H42" s="514"/>
      <c r="I42" s="416"/>
      <c r="J42" s="416"/>
      <c r="K42" s="416"/>
      <c r="L42" s="436"/>
      <c r="M42" s="379"/>
      <c r="N42" s="1203"/>
      <c r="O42" s="1204"/>
    </row>
    <row r="43" spans="1:15" ht="14.25" x14ac:dyDescent="0.25">
      <c r="A43" s="519"/>
      <c r="B43" s="520"/>
      <c r="C43" s="520"/>
      <c r="D43" s="520"/>
      <c r="E43" s="519"/>
      <c r="F43" s="521"/>
      <c r="G43" s="521"/>
      <c r="H43" s="521" t="s">
        <v>534</v>
      </c>
      <c r="I43" s="522"/>
      <c r="J43" s="523" t="s">
        <v>1048</v>
      </c>
      <c r="K43" s="524"/>
      <c r="L43" s="525">
        <f>N41*E$25</f>
        <v>39.367491707507298</v>
      </c>
      <c r="M43" s="379"/>
      <c r="N43" s="390"/>
      <c r="O43" s="390"/>
    </row>
    <row r="44" spans="1:15" x14ac:dyDescent="0.2">
      <c r="A44" s="379"/>
      <c r="B44" s="379"/>
      <c r="C44" s="379"/>
      <c r="D44" s="379"/>
      <c r="E44" s="379"/>
      <c r="F44" s="526"/>
      <c r="G44" s="526"/>
      <c r="H44" s="526"/>
      <c r="I44" s="527"/>
      <c r="J44" s="528"/>
      <c r="K44" s="484"/>
      <c r="L44" s="430"/>
      <c r="M44" s="379"/>
      <c r="N44" s="390"/>
      <c r="O44" s="390"/>
    </row>
    <row r="45" spans="1:15" x14ac:dyDescent="0.2">
      <c r="A45" s="390"/>
      <c r="B45" s="390"/>
      <c r="C45" s="390"/>
      <c r="D45" s="390"/>
      <c r="E45" s="390"/>
      <c r="F45" s="390"/>
      <c r="G45" s="390"/>
      <c r="H45" s="390"/>
      <c r="I45" s="529"/>
      <c r="J45" s="529"/>
      <c r="K45" s="529"/>
      <c r="L45" s="529"/>
      <c r="M45" s="379"/>
      <c r="N45" s="390"/>
      <c r="O45" s="390"/>
    </row>
    <row r="46" spans="1:15" ht="15.75" x14ac:dyDescent="0.25">
      <c r="A46" s="530" t="s">
        <v>338</v>
      </c>
      <c r="B46" s="532" t="s">
        <v>339</v>
      </c>
      <c r="C46" s="531"/>
      <c r="D46" s="531"/>
      <c r="E46" s="530" t="s">
        <v>513</v>
      </c>
      <c r="F46" s="532"/>
      <c r="G46" s="532"/>
      <c r="H46" s="531"/>
      <c r="I46" s="532" t="s">
        <v>532</v>
      </c>
      <c r="J46" s="533"/>
      <c r="K46" s="533"/>
      <c r="L46" s="534"/>
      <c r="M46" s="379"/>
      <c r="N46" s="535" t="s">
        <v>162</v>
      </c>
      <c r="O46" s="390"/>
    </row>
    <row r="47" spans="1:15" ht="15.75" x14ac:dyDescent="0.3">
      <c r="A47" s="587"/>
      <c r="B47" s="511" t="s">
        <v>1034</v>
      </c>
      <c r="C47" s="536">
        <v>1</v>
      </c>
      <c r="D47" s="495" t="s">
        <v>492</v>
      </c>
      <c r="E47" s="588">
        <f>E23*C47</f>
        <v>76586.828216491413</v>
      </c>
      <c r="F47" s="495" t="s">
        <v>493</v>
      </c>
      <c r="G47" s="495"/>
      <c r="H47" s="495"/>
      <c r="I47" s="492" t="s">
        <v>138</v>
      </c>
      <c r="J47" s="514"/>
      <c r="K47" s="514"/>
      <c r="L47" s="537"/>
      <c r="M47" s="379"/>
      <c r="N47" s="554" t="s">
        <v>163</v>
      </c>
      <c r="O47" s="390"/>
    </row>
    <row r="48" spans="1:15" ht="15.75" x14ac:dyDescent="0.3">
      <c r="A48" s="587"/>
      <c r="B48" s="495"/>
      <c r="C48" s="512"/>
      <c r="D48" s="495"/>
      <c r="E48" s="505">
        <f>E24*C47</f>
        <v>1</v>
      </c>
      <c r="F48" s="506" t="s">
        <v>53</v>
      </c>
      <c r="G48" s="506"/>
      <c r="H48" s="495"/>
      <c r="I48" s="539" t="s">
        <v>1053</v>
      </c>
      <c r="J48" s="539" t="s">
        <v>1054</v>
      </c>
      <c r="K48" s="539" t="s">
        <v>1055</v>
      </c>
      <c r="L48" s="540" t="s">
        <v>1056</v>
      </c>
      <c r="M48" s="379"/>
      <c r="N48" s="540" t="s">
        <v>1056</v>
      </c>
      <c r="O48" s="390"/>
    </row>
    <row r="49" spans="1:15" x14ac:dyDescent="0.2">
      <c r="A49" s="503"/>
      <c r="B49" s="511" t="s">
        <v>525</v>
      </c>
      <c r="C49" s="495"/>
      <c r="D49" s="495"/>
      <c r="E49" s="503"/>
      <c r="F49" s="495"/>
      <c r="G49" s="495"/>
      <c r="H49" s="495"/>
      <c r="I49" s="495"/>
      <c r="J49" s="495"/>
      <c r="K49" s="495"/>
      <c r="L49" s="541"/>
      <c r="M49" s="379"/>
      <c r="N49" s="541"/>
      <c r="O49" s="390"/>
    </row>
    <row r="50" spans="1:15" ht="15.75" x14ac:dyDescent="0.3">
      <c r="A50" s="503"/>
      <c r="B50" s="1301" t="s">
        <v>49</v>
      </c>
      <c r="C50" s="542">
        <v>4.0000000000000002E-4</v>
      </c>
      <c r="D50" s="495" t="s">
        <v>1035</v>
      </c>
      <c r="E50" s="503"/>
      <c r="F50" s="495"/>
      <c r="G50" s="495"/>
      <c r="H50" s="495"/>
      <c r="I50" s="544">
        <f>$C50*$E$48*VLOOKUP($B50,'Standard values'!$C$9:$S$162,7, FALSE)/$E$172</f>
        <v>9.0948385881260807E-2</v>
      </c>
      <c r="J50" s="544">
        <f>$C50*$E$48*VLOOKUP($B50,'Standard values'!$C$9:$S$162,8, FALSE)/$E$172</f>
        <v>2.2179717349869472E-4</v>
      </c>
      <c r="K50" s="544">
        <f>$C50*$E$48*VLOOKUP($B50,'Standard values'!$C$9:$S$162,9, FALSE)/$E$172</f>
        <v>4.1201360847942346E-6</v>
      </c>
      <c r="L50" s="516">
        <f>I50*'Standard values'!$D$10+J50*'Standard values'!$D$11+K50*'Standard values'!$D$12</f>
        <v>9.7721115771996853E-2</v>
      </c>
      <c r="M50" s="379"/>
      <c r="N50" s="1201">
        <f>+L50/E$25</f>
        <v>0.76342363627777776</v>
      </c>
      <c r="O50" s="390"/>
    </row>
    <row r="51" spans="1:15" x14ac:dyDescent="0.2">
      <c r="A51" s="590"/>
      <c r="B51" s="495"/>
      <c r="C51" s="492"/>
      <c r="D51" s="495"/>
      <c r="E51" s="503"/>
      <c r="F51" s="495"/>
      <c r="G51" s="495"/>
      <c r="H51" s="495"/>
      <c r="I51" s="495"/>
      <c r="J51" s="495"/>
      <c r="K51" s="495"/>
      <c r="L51" s="541"/>
      <c r="M51" s="379"/>
      <c r="N51" s="1203"/>
      <c r="O51" s="390"/>
    </row>
    <row r="52" spans="1:15" ht="14.25" x14ac:dyDescent="0.25">
      <c r="A52" s="519"/>
      <c r="B52" s="520"/>
      <c r="C52" s="520"/>
      <c r="D52" s="520"/>
      <c r="E52" s="519"/>
      <c r="F52" s="521"/>
      <c r="G52" s="521"/>
      <c r="H52" s="521" t="s">
        <v>534</v>
      </c>
      <c r="I52" s="520"/>
      <c r="J52" s="523" t="s">
        <v>1048</v>
      </c>
      <c r="K52" s="549"/>
      <c r="L52" s="525">
        <f>N50*E$25</f>
        <v>9.7721115771996853E-2</v>
      </c>
      <c r="M52" s="379"/>
      <c r="N52" s="390"/>
      <c r="O52" s="390"/>
    </row>
    <row r="53" spans="1:15" x14ac:dyDescent="0.2">
      <c r="A53" s="390"/>
      <c r="B53" s="390"/>
      <c r="C53" s="390"/>
      <c r="D53" s="390"/>
      <c r="E53" s="390"/>
      <c r="F53" s="376"/>
      <c r="G53" s="376"/>
      <c r="H53" s="376"/>
      <c r="I53" s="390"/>
      <c r="J53" s="550"/>
      <c r="K53" s="551"/>
      <c r="L53" s="552"/>
      <c r="M53" s="379"/>
      <c r="N53" s="390"/>
      <c r="O53" s="390"/>
    </row>
    <row r="54" spans="1:15" x14ac:dyDescent="0.2">
      <c r="A54" s="390"/>
      <c r="B54" s="390"/>
      <c r="C54" s="390"/>
      <c r="D54" s="390"/>
      <c r="E54" s="390"/>
      <c r="F54" s="390"/>
      <c r="G54" s="390"/>
      <c r="H54" s="390"/>
      <c r="I54" s="529"/>
      <c r="J54" s="529"/>
      <c r="K54" s="529"/>
      <c r="L54" s="529"/>
      <c r="M54" s="379"/>
      <c r="N54" s="390"/>
      <c r="O54" s="390"/>
    </row>
    <row r="55" spans="1:15" ht="15.75" x14ac:dyDescent="0.25">
      <c r="A55" s="530" t="s">
        <v>491</v>
      </c>
      <c r="B55" s="531"/>
      <c r="C55" s="531"/>
      <c r="D55" s="531"/>
      <c r="E55" s="530" t="s">
        <v>513</v>
      </c>
      <c r="F55" s="532"/>
      <c r="G55" s="532"/>
      <c r="H55" s="531"/>
      <c r="I55" s="532" t="s">
        <v>532</v>
      </c>
      <c r="J55" s="533"/>
      <c r="K55" s="533"/>
      <c r="L55" s="534"/>
      <c r="M55" s="379"/>
      <c r="N55" s="535" t="s">
        <v>162</v>
      </c>
      <c r="O55" s="390"/>
    </row>
    <row r="56" spans="1:15" ht="15.75" x14ac:dyDescent="0.3">
      <c r="A56" s="503"/>
      <c r="B56" s="511" t="s">
        <v>1034</v>
      </c>
      <c r="C56" s="536">
        <v>0.99009900990099009</v>
      </c>
      <c r="D56" s="495" t="s">
        <v>492</v>
      </c>
      <c r="E56" s="553">
        <f>E47*C56</f>
        <v>75828.542788605351</v>
      </c>
      <c r="F56" s="495" t="s">
        <v>493</v>
      </c>
      <c r="G56" s="495"/>
      <c r="H56" s="495"/>
      <c r="I56" s="492" t="s">
        <v>138</v>
      </c>
      <c r="J56" s="514"/>
      <c r="K56" s="514"/>
      <c r="L56" s="537"/>
      <c r="M56" s="379"/>
      <c r="N56" s="554" t="s">
        <v>163</v>
      </c>
      <c r="O56" s="390"/>
    </row>
    <row r="57" spans="1:15" ht="15.75" x14ac:dyDescent="0.3">
      <c r="A57" s="503"/>
      <c r="B57" s="495"/>
      <c r="C57" s="495"/>
      <c r="D57" s="495"/>
      <c r="E57" s="505">
        <f>E48*C56</f>
        <v>0.99009900990099009</v>
      </c>
      <c r="F57" s="506" t="s">
        <v>53</v>
      </c>
      <c r="G57" s="506"/>
      <c r="H57" s="495"/>
      <c r="I57" s="539" t="s">
        <v>1053</v>
      </c>
      <c r="J57" s="539" t="s">
        <v>1054</v>
      </c>
      <c r="K57" s="539" t="s">
        <v>1055</v>
      </c>
      <c r="L57" s="540" t="s">
        <v>1056</v>
      </c>
      <c r="M57" s="379"/>
      <c r="N57" s="540" t="s">
        <v>1056</v>
      </c>
      <c r="O57" s="390"/>
    </row>
    <row r="58" spans="1:15" x14ac:dyDescent="0.2">
      <c r="A58" s="503"/>
      <c r="B58" s="511" t="s">
        <v>498</v>
      </c>
      <c r="C58" s="495"/>
      <c r="D58" s="495"/>
      <c r="E58" s="505"/>
      <c r="F58" s="506"/>
      <c r="G58" s="506"/>
      <c r="H58" s="495"/>
      <c r="I58" s="539"/>
      <c r="J58" s="539"/>
      <c r="K58" s="539"/>
      <c r="L58" s="540"/>
      <c r="M58" s="379"/>
      <c r="N58" s="541"/>
      <c r="O58" s="390"/>
    </row>
    <row r="59" spans="1:15" ht="15.75" x14ac:dyDescent="0.3">
      <c r="A59" s="503"/>
      <c r="B59" s="495" t="s">
        <v>1111</v>
      </c>
      <c r="C59" s="542">
        <v>50</v>
      </c>
      <c r="D59" s="495" t="s">
        <v>510</v>
      </c>
      <c r="E59" s="543">
        <f>(C59*E57)/(VLOOKUP($B56,'Standard values'!$C$9:$S$162,14, FALSE))/(1-$C$24)/1000</f>
        <v>3.3665386259809252E-3</v>
      </c>
      <c r="F59" s="495" t="s">
        <v>242</v>
      </c>
      <c r="G59" s="495"/>
      <c r="H59" s="495"/>
      <c r="I59" s="544">
        <f>$E59*VLOOKUP($B59,'Standard values'!$C$9:$S$162,15, FALSE)*VLOOKUP(C60,'Standard values'!$C$9:$S$162,7, FALSE)/$E$172</f>
        <v>0.51980943397446866</v>
      </c>
      <c r="J59" s="544">
        <f>$E59*((VLOOKUP($B59,'Standard values'!$C$9:$S$162,15, FALSE)*VLOOKUP(C60,'Standard values'!$C$9:$S$162,8, FALSE))+VLOOKUP($B59,'Standard values'!$C$9:$S$162,16, FALSE))/$E$172</f>
        <v>3.168410544766967E-5</v>
      </c>
      <c r="K59" s="544">
        <f>$E59*((VLOOKUP($B59,'Standard values'!$C$9:$S$162,15, FALSE)*VLOOKUP(C60,'Standard values'!$C$9:$S$162,9, FALSE))+VLOOKUP($B59,'Standard values'!$C$9:$S$162,17, FALSE))/$E$172</f>
        <v>0</v>
      </c>
      <c r="L59" s="516">
        <f>I59*'Standard values'!$D$10+J59*'Standard values'!$D$11+K59*'Standard values'!$D$12</f>
        <v>0.52060153661066044</v>
      </c>
      <c r="M59" s="379"/>
      <c r="N59" s="1201">
        <f>+L59/E$25</f>
        <v>4.0670792079207922</v>
      </c>
      <c r="O59" s="390"/>
    </row>
    <row r="60" spans="1:15" x14ac:dyDescent="0.2">
      <c r="A60" s="503"/>
      <c r="B60" s="546" t="s">
        <v>54</v>
      </c>
      <c r="C60" s="547" t="s">
        <v>509</v>
      </c>
      <c r="D60" s="495"/>
      <c r="E60" s="543"/>
      <c r="F60" s="495"/>
      <c r="G60" s="495"/>
      <c r="H60" s="495"/>
      <c r="I60" s="544"/>
      <c r="J60" s="544"/>
      <c r="K60" s="544"/>
      <c r="L60" s="516"/>
      <c r="M60" s="379"/>
      <c r="N60" s="1203"/>
      <c r="O60" s="390"/>
    </row>
    <row r="61" spans="1:15" x14ac:dyDescent="0.2">
      <c r="A61" s="503"/>
      <c r="B61" s="495"/>
      <c r="C61" s="495"/>
      <c r="D61" s="495"/>
      <c r="E61" s="503"/>
      <c r="F61" s="495"/>
      <c r="G61" s="495"/>
      <c r="H61" s="548"/>
      <c r="I61" s="544"/>
      <c r="J61" s="544"/>
      <c r="K61" s="544"/>
      <c r="L61" s="516"/>
      <c r="M61" s="379"/>
      <c r="N61" s="390"/>
      <c r="O61" s="390"/>
    </row>
    <row r="62" spans="1:15" ht="14.25" x14ac:dyDescent="0.25">
      <c r="A62" s="519"/>
      <c r="B62" s="520"/>
      <c r="C62" s="520"/>
      <c r="D62" s="520"/>
      <c r="E62" s="519"/>
      <c r="F62" s="521"/>
      <c r="G62" s="521"/>
      <c r="H62" s="521" t="s">
        <v>534</v>
      </c>
      <c r="I62" s="520"/>
      <c r="J62" s="523" t="s">
        <v>1048</v>
      </c>
      <c r="K62" s="549"/>
      <c r="L62" s="525">
        <f>N59*E$25</f>
        <v>0.52060153661066044</v>
      </c>
      <c r="M62" s="379"/>
      <c r="N62" s="390"/>
      <c r="O62" s="390"/>
    </row>
    <row r="63" spans="1:15" x14ac:dyDescent="0.2">
      <c r="A63" s="390"/>
      <c r="B63" s="390"/>
      <c r="C63" s="390"/>
      <c r="D63" s="390"/>
      <c r="E63" s="390"/>
      <c r="F63" s="376"/>
      <c r="G63" s="376"/>
      <c r="H63" s="376"/>
      <c r="I63" s="390"/>
      <c r="J63" s="550"/>
      <c r="K63" s="551"/>
      <c r="L63" s="552"/>
      <c r="M63" s="379"/>
      <c r="N63" s="379"/>
      <c r="O63" s="379"/>
    </row>
    <row r="64" spans="1:15" x14ac:dyDescent="0.2">
      <c r="A64" s="390"/>
      <c r="B64" s="390"/>
      <c r="C64" s="390"/>
      <c r="D64" s="390"/>
      <c r="E64" s="390"/>
      <c r="F64" s="390"/>
      <c r="G64" s="390"/>
      <c r="H64" s="390"/>
      <c r="I64" s="390"/>
      <c r="J64" s="390"/>
      <c r="K64" s="390"/>
      <c r="L64" s="375"/>
      <c r="M64" s="379"/>
      <c r="N64" s="379"/>
      <c r="O64" s="379"/>
    </row>
    <row r="65" spans="1:15" ht="15.75" x14ac:dyDescent="0.25">
      <c r="A65" s="530" t="s">
        <v>536</v>
      </c>
      <c r="B65" s="531"/>
      <c r="C65" s="531"/>
      <c r="D65" s="531"/>
      <c r="E65" s="530" t="s">
        <v>513</v>
      </c>
      <c r="F65" s="532"/>
      <c r="G65" s="532"/>
      <c r="H65" s="531"/>
      <c r="I65" s="532" t="s">
        <v>532</v>
      </c>
      <c r="J65" s="533"/>
      <c r="K65" s="533"/>
      <c r="L65" s="534"/>
      <c r="M65" s="379"/>
      <c r="N65" s="535" t="s">
        <v>162</v>
      </c>
      <c r="O65" s="379"/>
    </row>
    <row r="66" spans="1:15" x14ac:dyDescent="0.2">
      <c r="A66" s="503"/>
      <c r="B66" s="511" t="s">
        <v>524</v>
      </c>
      <c r="C66" s="495"/>
      <c r="D66" s="495"/>
      <c r="E66" s="553"/>
      <c r="F66" s="495"/>
      <c r="G66" s="495"/>
      <c r="H66" s="495"/>
      <c r="I66" s="492" t="s">
        <v>138</v>
      </c>
      <c r="J66" s="514"/>
      <c r="K66" s="514"/>
      <c r="L66" s="537"/>
      <c r="M66" s="379"/>
      <c r="N66" s="554" t="s">
        <v>1010</v>
      </c>
      <c r="O66" s="379"/>
    </row>
    <row r="67" spans="1:15" ht="15.75" x14ac:dyDescent="0.3">
      <c r="A67" s="503"/>
      <c r="B67" s="495" t="s">
        <v>499</v>
      </c>
      <c r="C67" s="536">
        <v>0.53657882465020257</v>
      </c>
      <c r="D67" s="495" t="s">
        <v>494</v>
      </c>
      <c r="E67" s="553">
        <f>E56*C67</f>
        <v>40687.990364447454</v>
      </c>
      <c r="F67" s="495" t="s">
        <v>1030</v>
      </c>
      <c r="G67" s="495"/>
      <c r="H67" s="495"/>
      <c r="I67" s="539" t="s">
        <v>1053</v>
      </c>
      <c r="J67" s="539" t="s">
        <v>1054</v>
      </c>
      <c r="K67" s="539" t="s">
        <v>1055</v>
      </c>
      <c r="L67" s="540" t="s">
        <v>1056</v>
      </c>
      <c r="M67" s="379"/>
      <c r="N67" s="540" t="s">
        <v>1056</v>
      </c>
      <c r="O67" s="379"/>
    </row>
    <row r="68" spans="1:15" ht="15.75" x14ac:dyDescent="0.3">
      <c r="A68" s="563"/>
      <c r="B68" s="506" t="s">
        <v>125</v>
      </c>
      <c r="C68" s="728">
        <v>1.1399999999999999</v>
      </c>
      <c r="D68" s="506" t="s">
        <v>489</v>
      </c>
      <c r="E68" s="505">
        <f>E57*C67</f>
        <v>0.53126616302000251</v>
      </c>
      <c r="F68" s="506" t="s">
        <v>53</v>
      </c>
      <c r="G68" s="506"/>
      <c r="H68" s="495"/>
      <c r="I68" s="495"/>
      <c r="J68" s="495"/>
      <c r="K68" s="495"/>
      <c r="L68" s="541"/>
      <c r="M68" s="379"/>
      <c r="N68" s="541"/>
      <c r="O68" s="379"/>
    </row>
    <row r="69" spans="1:15" ht="15.75" x14ac:dyDescent="0.3">
      <c r="A69" s="563"/>
      <c r="B69" s="506"/>
      <c r="C69" s="564"/>
      <c r="D69" s="506"/>
      <c r="E69" s="762">
        <f>E67/$E$171/VLOOKUP($B67,'Standard values'!$C$9:$S$162,14, FALSE)</f>
        <v>3.7299515106303617E-2</v>
      </c>
      <c r="F69" s="495" t="s">
        <v>1009</v>
      </c>
      <c r="G69" s="495"/>
      <c r="H69" s="495"/>
      <c r="I69" s="495"/>
      <c r="J69" s="495"/>
      <c r="K69" s="495"/>
      <c r="L69" s="541"/>
      <c r="M69" s="379"/>
      <c r="N69" s="562"/>
      <c r="O69" s="379"/>
    </row>
    <row r="70" spans="1:15" x14ac:dyDescent="0.2">
      <c r="A70" s="503"/>
      <c r="B70" s="511" t="s">
        <v>525</v>
      </c>
      <c r="C70" s="495"/>
      <c r="D70" s="495"/>
      <c r="E70" s="513"/>
      <c r="F70" s="495"/>
      <c r="G70" s="495"/>
      <c r="H70" s="495"/>
      <c r="I70" s="495"/>
      <c r="J70" s="495"/>
      <c r="K70" s="495"/>
      <c r="L70" s="541"/>
      <c r="M70" s="379"/>
      <c r="N70" s="562"/>
      <c r="O70" s="379"/>
    </row>
    <row r="71" spans="1:15" ht="15.75" x14ac:dyDescent="0.3">
      <c r="A71" s="503"/>
      <c r="B71" s="495" t="s">
        <v>382</v>
      </c>
      <c r="C71" s="536">
        <f>1.4*0.0540842969041402</f>
        <v>7.5718015665796265E-2</v>
      </c>
      <c r="D71" s="495" t="s">
        <v>495</v>
      </c>
      <c r="E71" s="503" t="s">
        <v>750</v>
      </c>
      <c r="F71" s="495"/>
      <c r="G71" s="495"/>
      <c r="H71" s="495"/>
      <c r="I71" s="544"/>
      <c r="J71" s="544"/>
      <c r="K71" s="544"/>
      <c r="L71" s="419"/>
      <c r="M71" s="379"/>
      <c r="N71" s="562"/>
      <c r="O71" s="379"/>
    </row>
    <row r="72" spans="1:15" ht="15.75" x14ac:dyDescent="0.3">
      <c r="A72" s="503"/>
      <c r="B72" s="495" t="s">
        <v>751</v>
      </c>
      <c r="C72" s="536">
        <f>1.4*0.36367027228646</f>
        <v>0.50913838120104393</v>
      </c>
      <c r="D72" s="495" t="s">
        <v>495</v>
      </c>
      <c r="E72" s="503"/>
      <c r="F72" s="495"/>
      <c r="G72" s="495"/>
      <c r="H72" s="495"/>
      <c r="I72" s="544"/>
      <c r="J72" s="774"/>
      <c r="K72" s="774"/>
      <c r="L72" s="419"/>
      <c r="M72" s="379"/>
      <c r="N72" s="562"/>
      <c r="O72" s="379"/>
    </row>
    <row r="73" spans="1:15" x14ac:dyDescent="0.2">
      <c r="A73" s="503"/>
      <c r="B73" s="565" t="s">
        <v>730</v>
      </c>
      <c r="C73" s="566"/>
      <c r="D73" s="566"/>
      <c r="E73" s="567"/>
      <c r="F73" s="568"/>
      <c r="G73" s="568"/>
      <c r="H73" s="568"/>
      <c r="I73" s="566"/>
      <c r="J73" s="568"/>
      <c r="K73" s="568"/>
      <c r="L73" s="570"/>
      <c r="M73" s="379"/>
      <c r="N73" s="562"/>
      <c r="O73" s="379"/>
    </row>
    <row r="74" spans="1:15" x14ac:dyDescent="0.2">
      <c r="A74" s="503"/>
      <c r="B74" s="571" t="s">
        <v>377</v>
      </c>
      <c r="C74" s="566"/>
      <c r="D74" s="566"/>
      <c r="E74" s="567" t="s">
        <v>799</v>
      </c>
      <c r="F74" s="568"/>
      <c r="G74" s="568"/>
      <c r="H74" s="568"/>
      <c r="I74" s="569"/>
      <c r="J74" s="568"/>
      <c r="K74" s="568"/>
      <c r="L74" s="570"/>
      <c r="M74" s="379"/>
      <c r="N74" s="562"/>
      <c r="O74" s="379"/>
    </row>
    <row r="75" spans="1:15" ht="15.75" x14ac:dyDescent="0.3">
      <c r="A75" s="503"/>
      <c r="B75" s="572" t="s">
        <v>380</v>
      </c>
      <c r="C75" s="573">
        <f>C72</f>
        <v>0.50913838120104393</v>
      </c>
      <c r="D75" s="568" t="s">
        <v>495</v>
      </c>
      <c r="E75" s="567" t="s">
        <v>768</v>
      </c>
      <c r="F75" s="568"/>
      <c r="G75" s="568"/>
      <c r="H75" s="568"/>
      <c r="I75" s="574"/>
      <c r="J75" s="574"/>
      <c r="K75" s="574"/>
      <c r="L75" s="575"/>
      <c r="M75" s="379"/>
      <c r="N75" s="562"/>
      <c r="O75" s="379"/>
    </row>
    <row r="76" spans="1:15" x14ac:dyDescent="0.2">
      <c r="A76" s="503"/>
      <c r="B76" s="571" t="s">
        <v>378</v>
      </c>
      <c r="C76" s="573"/>
      <c r="D76" s="566"/>
      <c r="E76" s="576"/>
      <c r="F76" s="568"/>
      <c r="G76" s="568"/>
      <c r="H76" s="568"/>
      <c r="I76" s="574"/>
      <c r="J76" s="574"/>
      <c r="K76" s="574"/>
      <c r="L76" s="575"/>
      <c r="M76" s="379"/>
      <c r="N76" s="562"/>
      <c r="O76" s="379"/>
    </row>
    <row r="77" spans="1:15" ht="14.25" x14ac:dyDescent="0.25">
      <c r="A77" s="503"/>
      <c r="B77" s="577" t="s">
        <v>916</v>
      </c>
      <c r="C77" s="536">
        <v>1.4049</v>
      </c>
      <c r="D77" s="568" t="s">
        <v>419</v>
      </c>
      <c r="E77" s="578"/>
      <c r="F77" s="568"/>
      <c r="G77" s="568"/>
      <c r="H77" s="568"/>
      <c r="I77" s="574"/>
      <c r="J77" s="574"/>
      <c r="K77" s="574"/>
      <c r="L77" s="575"/>
      <c r="M77" s="379"/>
      <c r="N77" s="562"/>
      <c r="O77" s="379"/>
    </row>
    <row r="78" spans="1:15" ht="15.75" x14ac:dyDescent="0.3">
      <c r="A78" s="503"/>
      <c r="B78" s="572" t="s">
        <v>800</v>
      </c>
      <c r="C78" s="573">
        <f>C77*C72</f>
        <v>0.7152885117493466</v>
      </c>
      <c r="D78" s="568" t="s">
        <v>495</v>
      </c>
      <c r="E78" s="578"/>
      <c r="F78" s="568"/>
      <c r="G78" s="568"/>
      <c r="H78" s="568"/>
      <c r="I78" s="574"/>
      <c r="J78" s="574"/>
      <c r="K78" s="574"/>
      <c r="L78" s="575"/>
      <c r="M78" s="379"/>
      <c r="N78" s="562"/>
      <c r="O78" s="379"/>
    </row>
    <row r="79" spans="1:15" x14ac:dyDescent="0.2">
      <c r="A79" s="503"/>
      <c r="B79" s="571" t="s">
        <v>935</v>
      </c>
      <c r="C79" s="573"/>
      <c r="D79" s="566"/>
      <c r="E79" s="567"/>
      <c r="F79" s="568"/>
      <c r="G79" s="568"/>
      <c r="H79" s="568"/>
      <c r="I79" s="569" t="s">
        <v>532</v>
      </c>
      <c r="J79" s="574"/>
      <c r="K79" s="574"/>
      <c r="L79" s="575"/>
      <c r="M79" s="379"/>
      <c r="N79" s="562"/>
      <c r="O79" s="379"/>
    </row>
    <row r="80" spans="1:15" ht="15.75" x14ac:dyDescent="0.3">
      <c r="A80" s="503"/>
      <c r="B80" s="572" t="s">
        <v>448</v>
      </c>
      <c r="C80" s="573"/>
      <c r="D80" s="566"/>
      <c r="E80" s="567"/>
      <c r="F80" s="568"/>
      <c r="G80" s="568"/>
      <c r="H80" s="568"/>
      <c r="I80" s="574">
        <f>$C72*$E$68*VLOOKUP($B80,'Standard values'!$C$9:$S$159,7, FALSE)/$E$172</f>
        <v>0</v>
      </c>
      <c r="J80" s="574">
        <f>$C72*$E$68*VLOOKUP($B80,'Standard values'!$C$9:$S$159,8, FALSE)/$E$172</f>
        <v>1.1738468233246291E-3</v>
      </c>
      <c r="K80" s="574">
        <f>$C72*$E$68*VLOOKUP($B80,'Standard values'!$C$9:$S$159,9, FALSE)/$E$172</f>
        <v>6.4208006962576097E-3</v>
      </c>
      <c r="L80" s="575">
        <f>I80*'Standard values'!$D$10+J80*'Standard values'!$D$11+K80*'Standard values'!$D$12</f>
        <v>1.9427447780678835</v>
      </c>
      <c r="M80" s="379"/>
      <c r="N80" s="562">
        <f>+L80/$E$69</f>
        <v>52.084987499999954</v>
      </c>
      <c r="O80" s="379"/>
    </row>
    <row r="81" spans="1:15" ht="15.75" x14ac:dyDescent="0.3">
      <c r="A81" s="503"/>
      <c r="B81" s="579" t="s">
        <v>1038</v>
      </c>
      <c r="C81" s="573">
        <f>C77*C72</f>
        <v>0.7152885117493466</v>
      </c>
      <c r="D81" s="568" t="s">
        <v>495</v>
      </c>
      <c r="E81" s="567"/>
      <c r="F81" s="568"/>
      <c r="G81" s="568"/>
      <c r="H81" s="568"/>
      <c r="I81" s="574">
        <f>$C81*$E$68*VLOOKUP($B81,'Standard values'!$C$9:$S$162,7, FALSE)/$E$172</f>
        <v>83.515020242819773</v>
      </c>
      <c r="J81" s="574">
        <f>$C81*$E$68*VLOOKUP($B81,'Standard values'!$C$9:$S$162,8, FALSE)/$E$172</f>
        <v>6.4773348563968601E-3</v>
      </c>
      <c r="K81" s="574">
        <f>$C81*$E$68*VLOOKUP($B81,'Standard values'!$C$9:$S$162,9, FALSE)/$E$172</f>
        <v>3.973825065274148E-5</v>
      </c>
      <c r="L81" s="575">
        <f>I81*'Standard values'!$D$10+J81*'Standard values'!$D$11+K81*'Standard values'!$D$12</f>
        <v>83.68879561292421</v>
      </c>
      <c r="M81" s="379"/>
      <c r="N81" s="562">
        <f>+L81/$E$69</f>
        <v>2243.696610382498</v>
      </c>
      <c r="O81" s="379"/>
    </row>
    <row r="82" spans="1:15" x14ac:dyDescent="0.2">
      <c r="A82" s="503"/>
      <c r="B82" s="580" t="s">
        <v>801</v>
      </c>
      <c r="C82" s="573"/>
      <c r="D82" s="568"/>
      <c r="E82" s="567"/>
      <c r="F82" s="568"/>
      <c r="G82" s="568"/>
      <c r="H82" s="568"/>
      <c r="I82" s="574"/>
      <c r="J82" s="574"/>
      <c r="K82" s="574"/>
      <c r="L82" s="575"/>
      <c r="M82" s="379"/>
      <c r="N82" s="562"/>
      <c r="O82" s="379"/>
    </row>
    <row r="83" spans="1:15" ht="14.25" x14ac:dyDescent="0.25">
      <c r="A83" s="503"/>
      <c r="B83" s="577" t="s">
        <v>348</v>
      </c>
      <c r="C83" s="536">
        <v>0.22220000000000001</v>
      </c>
      <c r="D83" s="568" t="s">
        <v>419</v>
      </c>
      <c r="E83" s="567"/>
      <c r="F83" s="568"/>
      <c r="G83" s="568"/>
      <c r="H83" s="568"/>
      <c r="I83" s="574"/>
      <c r="J83" s="581"/>
      <c r="K83" s="581"/>
      <c r="L83" s="575"/>
      <c r="M83" s="379"/>
      <c r="N83" s="562"/>
      <c r="O83" s="379"/>
    </row>
    <row r="84" spans="1:15" ht="15.75" x14ac:dyDescent="0.3">
      <c r="A84" s="503"/>
      <c r="B84" s="577" t="s">
        <v>454</v>
      </c>
      <c r="C84" s="573">
        <f>C83*C72</f>
        <v>0.11313054830287196</v>
      </c>
      <c r="D84" s="568" t="s">
        <v>495</v>
      </c>
      <c r="E84" s="567" t="s">
        <v>381</v>
      </c>
      <c r="F84" s="568"/>
      <c r="G84" s="568"/>
      <c r="H84" s="568"/>
      <c r="I84" s="574"/>
      <c r="J84" s="581"/>
      <c r="K84" s="581"/>
      <c r="L84" s="575"/>
      <c r="M84" s="379"/>
      <c r="N84" s="562"/>
      <c r="O84" s="379"/>
    </row>
    <row r="85" spans="1:15" ht="27" x14ac:dyDescent="0.3">
      <c r="A85" s="503"/>
      <c r="B85" s="579" t="s">
        <v>347</v>
      </c>
      <c r="C85" s="573">
        <f>C71-C84</f>
        <v>-3.7412532637075696E-2</v>
      </c>
      <c r="D85" s="568" t="s">
        <v>495</v>
      </c>
      <c r="E85" s="567"/>
      <c r="F85" s="568"/>
      <c r="G85" s="568"/>
      <c r="H85" s="568"/>
      <c r="I85" s="574"/>
      <c r="J85" s="581"/>
      <c r="K85" s="581"/>
      <c r="L85" s="575"/>
      <c r="M85" s="379"/>
      <c r="N85" s="562"/>
      <c r="O85" s="379"/>
    </row>
    <row r="86" spans="1:15" ht="15.75" x14ac:dyDescent="0.3">
      <c r="A86" s="503"/>
      <c r="B86" s="577" t="str">
        <f>IF(C85&gt;0, "Specify national electricity mix", "Electricity credit (Lignite ST)")</f>
        <v>Electricity credit (Lignite ST)</v>
      </c>
      <c r="C86" s="573">
        <f>ABS(C71-C84)</f>
        <v>3.7412532637075696E-2</v>
      </c>
      <c r="D86" s="568" t="s">
        <v>495</v>
      </c>
      <c r="E86" s="567" t="str">
        <f>IF(C85&gt;0, "Electricity use in ethanol plant larger than generation", "Surplus electricity. Credit is calculated following")</f>
        <v>Surplus electricity. Credit is calculated following</v>
      </c>
      <c r="F86" s="568"/>
      <c r="G86" s="568"/>
      <c r="H86" s="568"/>
      <c r="I86" s="574">
        <f>$C86*$E$68*VLOOKUP($B86,'Standard values'!$C$9:$S$162,7, FALSE)/$E$172</f>
        <v>-10.653989142104432</v>
      </c>
      <c r="J86" s="574">
        <f>$C86*$E$68*VLOOKUP($B86,'Standard values'!$C$9:$S$162,8, FALSE)/$E$172</f>
        <v>-9.6737793487090319E-4</v>
      </c>
      <c r="K86" s="574">
        <f>$C86*$E$68*VLOOKUP($B86,'Standard values'!$C$9:$S$162,9, FALSE)/$E$172</f>
        <v>-2.9100507122135184E-4</v>
      </c>
      <c r="L86" s="575">
        <f>I86*'Standard values'!$D$10+J86*'Standard values'!$D$11+K86*'Standard values'!$D$12</f>
        <v>-10.764893101700167</v>
      </c>
      <c r="M86" s="379"/>
      <c r="N86" s="562">
        <f>+L86/$E$69</f>
        <v>-288.60678405658149</v>
      </c>
      <c r="O86" s="379"/>
    </row>
    <row r="87" spans="1:15" x14ac:dyDescent="0.2">
      <c r="A87" s="503"/>
      <c r="B87" s="582"/>
      <c r="C87" s="573"/>
      <c r="D87" s="568"/>
      <c r="E87" s="567" t="str">
        <f>IF(C85&gt;0, "   in NG CHP. Therefore calculated as national electricity mix", "   RED Annex V.C.16")</f>
        <v xml:space="preserve">   RED Annex V.C.16</v>
      </c>
      <c r="F87" s="568"/>
      <c r="G87" s="568"/>
      <c r="H87" s="568"/>
      <c r="I87" s="574"/>
      <c r="J87" s="574"/>
      <c r="K87" s="574"/>
      <c r="L87" s="575"/>
      <c r="M87" s="379"/>
      <c r="N87" s="562"/>
      <c r="O87" s="379"/>
    </row>
    <row r="88" spans="1:15" x14ac:dyDescent="0.2">
      <c r="A88" s="503"/>
      <c r="B88" s="511"/>
      <c r="C88" s="495"/>
      <c r="D88" s="495"/>
      <c r="E88" s="503"/>
      <c r="F88" s="495"/>
      <c r="G88" s="495"/>
      <c r="H88" s="514" t="s">
        <v>1047</v>
      </c>
      <c r="I88" s="583">
        <f>SUM(I70:I86)</f>
        <v>72.861031100715337</v>
      </c>
      <c r="J88" s="583">
        <f>SUM(J70:J86)</f>
        <v>6.683803744850586E-3</v>
      </c>
      <c r="K88" s="583">
        <f>SUM(K70:K86)</f>
        <v>6.1695338756889992E-3</v>
      </c>
      <c r="L88" s="516">
        <f>I88*'Standard values'!$D$10+J88*'Standard values'!$D$11+K88*'Standard values'!$D$12</f>
        <v>74.866647289291933</v>
      </c>
      <c r="M88" s="379"/>
      <c r="N88" s="545">
        <f>+L88/$E$69</f>
        <v>2007.1748138259168</v>
      </c>
      <c r="O88" s="379"/>
    </row>
    <row r="89" spans="1:15" x14ac:dyDescent="0.2">
      <c r="A89" s="503"/>
      <c r="B89" s="682"/>
      <c r="C89" s="499"/>
      <c r="D89" s="499"/>
      <c r="E89" s="503"/>
      <c r="F89" s="495"/>
      <c r="G89" s="495"/>
      <c r="H89" s="495"/>
      <c r="I89" s="495"/>
      <c r="J89" s="495"/>
      <c r="K89" s="495"/>
      <c r="L89" s="541"/>
      <c r="M89" s="379"/>
      <c r="N89" s="390"/>
      <c r="O89" s="379"/>
    </row>
    <row r="90" spans="1:15" ht="14.25" x14ac:dyDescent="0.25">
      <c r="A90" s="519"/>
      <c r="B90" s="520"/>
      <c r="C90" s="520"/>
      <c r="D90" s="520"/>
      <c r="E90" s="519"/>
      <c r="F90" s="521"/>
      <c r="G90" s="521"/>
      <c r="H90" s="521" t="s">
        <v>534</v>
      </c>
      <c r="I90" s="520"/>
      <c r="J90" s="523" t="s">
        <v>1048</v>
      </c>
      <c r="K90" s="549"/>
      <c r="L90" s="525">
        <f>L88</f>
        <v>74.866647289291933</v>
      </c>
      <c r="M90" s="379"/>
      <c r="N90" s="390"/>
      <c r="O90" s="379"/>
    </row>
    <row r="91" spans="1:15" x14ac:dyDescent="0.2">
      <c r="A91" s="390"/>
      <c r="B91" s="390"/>
      <c r="C91" s="390"/>
      <c r="D91" s="390"/>
      <c r="E91" s="390"/>
      <c r="F91" s="376"/>
      <c r="G91" s="376"/>
      <c r="H91" s="376"/>
      <c r="I91" s="390"/>
      <c r="J91" s="550"/>
      <c r="K91" s="551"/>
      <c r="L91" s="585"/>
      <c r="M91" s="379"/>
      <c r="N91" s="390"/>
      <c r="O91" s="390"/>
    </row>
    <row r="92" spans="1:15" x14ac:dyDescent="0.2">
      <c r="A92" s="390"/>
      <c r="B92" s="390"/>
      <c r="C92" s="390"/>
      <c r="D92" s="390"/>
      <c r="E92" s="390"/>
      <c r="F92" s="376"/>
      <c r="G92" s="376"/>
      <c r="H92" s="376"/>
      <c r="I92" s="390"/>
      <c r="J92" s="550"/>
      <c r="K92" s="551"/>
      <c r="L92" s="585"/>
      <c r="M92" s="379"/>
      <c r="N92" s="390"/>
      <c r="O92" s="390"/>
    </row>
    <row r="93" spans="1:15" ht="15.75" x14ac:dyDescent="0.25">
      <c r="A93" s="530" t="s">
        <v>1057</v>
      </c>
      <c r="B93" s="531"/>
      <c r="C93" s="531"/>
      <c r="D93" s="531"/>
      <c r="E93" s="608" t="s">
        <v>526</v>
      </c>
      <c r="F93" s="606"/>
      <c r="G93" s="606"/>
      <c r="H93" s="606"/>
      <c r="I93" s="607"/>
      <c r="J93" s="608" t="s">
        <v>1048</v>
      </c>
      <c r="K93" s="607"/>
      <c r="L93" s="609">
        <f>L43+L52+L62+L90</f>
        <v>114.85246164918189</v>
      </c>
      <c r="M93" s="379"/>
      <c r="N93" s="535" t="s">
        <v>162</v>
      </c>
      <c r="O93" s="390"/>
    </row>
    <row r="94" spans="1:15" ht="15.75" x14ac:dyDescent="0.25">
      <c r="A94" s="610" t="s">
        <v>937</v>
      </c>
      <c r="B94" s="611"/>
      <c r="C94" s="611"/>
      <c r="D94" s="611"/>
      <c r="E94" s="613"/>
      <c r="F94" s="613"/>
      <c r="G94" s="613"/>
      <c r="H94" s="613"/>
      <c r="I94" s="613"/>
      <c r="J94" s="613"/>
      <c r="K94" s="613"/>
      <c r="L94" s="614"/>
      <c r="M94" s="379"/>
      <c r="N94" s="554" t="s">
        <v>1010</v>
      </c>
      <c r="O94" s="390"/>
    </row>
    <row r="95" spans="1:15" ht="15.75" x14ac:dyDescent="0.3">
      <c r="A95" s="567"/>
      <c r="B95" s="568"/>
      <c r="C95" s="568"/>
      <c r="D95" s="683"/>
      <c r="E95" s="683"/>
      <c r="F95" s="683"/>
      <c r="G95" s="683"/>
      <c r="H95" s="683" t="s">
        <v>667</v>
      </c>
      <c r="I95" s="684">
        <f>L93</f>
        <v>114.85246164918189</v>
      </c>
      <c r="J95" s="568" t="s">
        <v>137</v>
      </c>
      <c r="K95" s="568"/>
      <c r="L95" s="685"/>
      <c r="M95" s="379"/>
      <c r="N95" s="540" t="s">
        <v>1056</v>
      </c>
      <c r="O95" s="390"/>
    </row>
    <row r="96" spans="1:15" ht="15.75" x14ac:dyDescent="0.3">
      <c r="A96" s="567"/>
      <c r="B96" s="568" t="s">
        <v>51</v>
      </c>
      <c r="C96" s="568" t="s">
        <v>499</v>
      </c>
      <c r="D96" s="568"/>
      <c r="E96" s="683" t="s">
        <v>118</v>
      </c>
      <c r="F96" s="747">
        <f>1*1000*VLOOKUP($C96,'Standard values'!$C$9:$S$162,14, FALSE)</f>
        <v>26810</v>
      </c>
      <c r="G96" s="747"/>
      <c r="H96" s="568" t="s">
        <v>501</v>
      </c>
      <c r="I96" s="574">
        <f>$I$95*F96/F$98</f>
        <v>68.350599263364415</v>
      </c>
      <c r="J96" s="568" t="s">
        <v>137</v>
      </c>
      <c r="K96" s="568"/>
      <c r="L96" s="685"/>
      <c r="M96" s="379"/>
      <c r="N96" s="541"/>
      <c r="O96" s="390"/>
    </row>
    <row r="97" spans="1:15" ht="15.75" x14ac:dyDescent="0.3">
      <c r="A97" s="567"/>
      <c r="B97" s="568" t="s">
        <v>123</v>
      </c>
      <c r="C97" s="568" t="s">
        <v>121</v>
      </c>
      <c r="D97" s="568"/>
      <c r="E97" s="683" t="s">
        <v>119</v>
      </c>
      <c r="F97" s="747">
        <f>C68*1000*VLOOKUP($C97,'Standard values'!$C$9:$S$162,14, FALSE)</f>
        <v>18240</v>
      </c>
      <c r="G97" s="747"/>
      <c r="H97" s="568" t="s">
        <v>501</v>
      </c>
      <c r="I97" s="574">
        <f>$I$95*F97/F$98</f>
        <v>46.501862385817482</v>
      </c>
      <c r="J97" s="568" t="s">
        <v>137</v>
      </c>
      <c r="K97" s="568"/>
      <c r="L97" s="685"/>
      <c r="M97" s="379"/>
      <c r="N97" s="562"/>
      <c r="O97" s="390"/>
    </row>
    <row r="98" spans="1:15" x14ac:dyDescent="0.2">
      <c r="A98" s="567"/>
      <c r="B98" s="568"/>
      <c r="C98" s="568"/>
      <c r="D98" s="568"/>
      <c r="E98" s="568" t="s">
        <v>533</v>
      </c>
      <c r="F98" s="747">
        <f>SUM(F96:F97)</f>
        <v>45050</v>
      </c>
      <c r="G98" s="747"/>
      <c r="H98" s="568" t="s">
        <v>501</v>
      </c>
      <c r="I98" s="568"/>
      <c r="J98" s="568"/>
      <c r="K98" s="568"/>
      <c r="L98" s="685"/>
      <c r="M98" s="379"/>
      <c r="N98" s="562"/>
      <c r="O98" s="390"/>
    </row>
    <row r="99" spans="1:15" ht="14.25" x14ac:dyDescent="0.25">
      <c r="A99" s="519"/>
      <c r="B99" s="520"/>
      <c r="C99" s="520"/>
      <c r="D99" s="520"/>
      <c r="E99" s="523" t="s">
        <v>1058</v>
      </c>
      <c r="F99" s="521"/>
      <c r="G99" s="521"/>
      <c r="H99" s="687"/>
      <c r="I99" s="520"/>
      <c r="J99" s="523" t="s">
        <v>1048</v>
      </c>
      <c r="K99" s="687"/>
      <c r="L99" s="525">
        <f>I96</f>
        <v>68.350599263364415</v>
      </c>
      <c r="M99" s="379"/>
      <c r="N99" s="545">
        <f>+L99/$E$69</f>
        <v>1832.4795662508</v>
      </c>
      <c r="O99" s="379"/>
    </row>
    <row r="100" spans="1:15" x14ac:dyDescent="0.2">
      <c r="A100" s="390"/>
      <c r="B100" s="390"/>
      <c r="C100" s="390"/>
      <c r="D100" s="379"/>
      <c r="E100" s="379"/>
      <c r="F100" s="551"/>
      <c r="G100" s="551"/>
      <c r="H100" s="437"/>
      <c r="I100" s="378"/>
      <c r="J100" s="379"/>
      <c r="K100" s="379"/>
      <c r="L100" s="586"/>
      <c r="M100" s="379"/>
      <c r="N100" s="379"/>
      <c r="O100" s="379"/>
    </row>
    <row r="101" spans="1:15" x14ac:dyDescent="0.2">
      <c r="A101" s="375"/>
      <c r="B101" s="585"/>
      <c r="C101" s="386"/>
      <c r="D101" s="390"/>
      <c r="E101" s="379"/>
      <c r="F101" s="379"/>
      <c r="G101" s="379"/>
      <c r="H101" s="379"/>
      <c r="I101" s="379"/>
      <c r="J101" s="591"/>
      <c r="K101" s="379"/>
      <c r="L101" s="379"/>
      <c r="M101" s="379"/>
      <c r="N101" s="379"/>
      <c r="O101" s="379"/>
    </row>
    <row r="102" spans="1:15" ht="15.75" x14ac:dyDescent="0.25">
      <c r="A102" s="530" t="s">
        <v>809</v>
      </c>
      <c r="B102" s="532"/>
      <c r="C102" s="531"/>
      <c r="D102" s="531"/>
      <c r="E102" s="530" t="s">
        <v>513</v>
      </c>
      <c r="F102" s="532"/>
      <c r="G102" s="532"/>
      <c r="H102" s="531"/>
      <c r="I102" s="532" t="s">
        <v>532</v>
      </c>
      <c r="J102" s="533"/>
      <c r="K102" s="533"/>
      <c r="L102" s="534"/>
      <c r="M102" s="379"/>
      <c r="N102" s="535" t="s">
        <v>162</v>
      </c>
      <c r="O102" s="379"/>
    </row>
    <row r="103" spans="1:15" ht="15.75" x14ac:dyDescent="0.3">
      <c r="A103" s="503"/>
      <c r="B103" s="511" t="s">
        <v>499</v>
      </c>
      <c r="C103" s="593">
        <v>1</v>
      </c>
      <c r="D103" s="495" t="s">
        <v>497</v>
      </c>
      <c r="E103" s="513">
        <f>E67*C103</f>
        <v>40687.990364447454</v>
      </c>
      <c r="F103" s="495" t="s">
        <v>1030</v>
      </c>
      <c r="G103" s="495"/>
      <c r="H103" s="594"/>
      <c r="I103" s="492" t="s">
        <v>138</v>
      </c>
      <c r="J103" s="514"/>
      <c r="K103" s="514"/>
      <c r="L103" s="537"/>
      <c r="M103" s="379"/>
      <c r="N103" s="554" t="s">
        <v>1010</v>
      </c>
      <c r="O103" s="379"/>
    </row>
    <row r="104" spans="1:15" ht="15.75" x14ac:dyDescent="0.3">
      <c r="A104" s="503"/>
      <c r="B104" s="495"/>
      <c r="C104" s="495"/>
      <c r="D104" s="495"/>
      <c r="E104" s="505">
        <f>E68*C103</f>
        <v>0.53126616302000251</v>
      </c>
      <c r="F104" s="506" t="s">
        <v>53</v>
      </c>
      <c r="G104" s="506"/>
      <c r="H104" s="594"/>
      <c r="I104" s="539" t="s">
        <v>1053</v>
      </c>
      <c r="J104" s="539" t="s">
        <v>1054</v>
      </c>
      <c r="K104" s="539" t="s">
        <v>1055</v>
      </c>
      <c r="L104" s="540" t="s">
        <v>1056</v>
      </c>
      <c r="M104" s="379"/>
      <c r="N104" s="540" t="s">
        <v>1056</v>
      </c>
      <c r="O104" s="379"/>
    </row>
    <row r="105" spans="1:15" x14ac:dyDescent="0.2">
      <c r="A105" s="503"/>
      <c r="B105" s="511" t="s">
        <v>498</v>
      </c>
      <c r="C105" s="495"/>
      <c r="D105" s="495"/>
      <c r="E105" s="513"/>
      <c r="F105" s="495"/>
      <c r="G105" s="495"/>
      <c r="H105" s="495"/>
      <c r="I105" s="495"/>
      <c r="J105" s="495"/>
      <c r="K105" s="495"/>
      <c r="L105" s="541"/>
      <c r="M105" s="379"/>
      <c r="N105" s="541"/>
      <c r="O105" s="379"/>
    </row>
    <row r="106" spans="1:15" ht="15.75" x14ac:dyDescent="0.3">
      <c r="A106" s="503"/>
      <c r="B106" s="495" t="s">
        <v>159</v>
      </c>
      <c r="C106" s="595">
        <v>150</v>
      </c>
      <c r="D106" s="495" t="s">
        <v>510</v>
      </c>
      <c r="E106" s="543">
        <f>(C106*E104/VLOOKUP($B103,'Standard values'!$C$9:$S$162,14, FALSE))/1000</f>
        <v>2.9723955409548817E-3</v>
      </c>
      <c r="F106" s="495" t="s">
        <v>242</v>
      </c>
      <c r="G106" s="495"/>
      <c r="H106" s="495"/>
      <c r="I106" s="544">
        <f>$E106*VLOOKUP($B106,'Standard values'!$C$9:$S$162,15, FALSE)*VLOOKUP(C107,'Standard values'!$C$9:$S$162,7, FALSE)/$E$172</f>
        <v>0.49425587467362919</v>
      </c>
      <c r="J106" s="544">
        <f>$E106*((VLOOKUP($B106,'Standard values'!$C$9:$S$162,15, FALSE)*VLOOKUP(C107,'Standard values'!$C$9:$S$162,8, FALSE))+VLOOKUP($B106,'Standard values'!$C$9:$S$162,16, FALSE))/$E$172</f>
        <v>2.7974636329727714E-5</v>
      </c>
      <c r="K106" s="544">
        <f>$E106*((VLOOKUP($B106,'Standard values'!$C$9:$S$162,15, FALSE)*VLOOKUP(C107,'Standard values'!$C$9:$S$162,9, FALSE))+VLOOKUP($B106,'Standard values'!$C$9:$S$162,17, FALSE))/$E$172</f>
        <v>0</v>
      </c>
      <c r="L106" s="516">
        <f>I106*'Standard values'!$D$10+J106*'Standard values'!$D$11+K106*'Standard values'!$D$12</f>
        <v>0.4949552405818724</v>
      </c>
      <c r="M106" s="379"/>
      <c r="N106" s="562">
        <f t="shared" ref="N106:N111" si="1">+L106/$E$69</f>
        <v>13.26975</v>
      </c>
      <c r="O106" s="379"/>
    </row>
    <row r="107" spans="1:15" x14ac:dyDescent="0.2">
      <c r="A107" s="503"/>
      <c r="B107" s="546" t="s">
        <v>54</v>
      </c>
      <c r="C107" s="673" t="s">
        <v>509</v>
      </c>
      <c r="D107" s="495"/>
      <c r="E107" s="503"/>
      <c r="F107" s="495"/>
      <c r="G107" s="495"/>
      <c r="H107" s="495"/>
      <c r="I107" s="544"/>
      <c r="J107" s="544"/>
      <c r="K107" s="544"/>
      <c r="L107" s="516"/>
      <c r="M107" s="379"/>
      <c r="N107" s="562"/>
      <c r="O107" s="379"/>
    </row>
    <row r="108" spans="1:15" x14ac:dyDescent="0.2">
      <c r="A108" s="503"/>
      <c r="B108" s="495"/>
      <c r="C108" s="668"/>
      <c r="D108" s="495"/>
      <c r="E108" s="543"/>
      <c r="F108" s="495"/>
      <c r="G108" s="495"/>
      <c r="H108" s="495"/>
      <c r="I108" s="544"/>
      <c r="J108" s="544"/>
      <c r="K108" s="544"/>
      <c r="L108" s="516"/>
      <c r="M108" s="379"/>
      <c r="N108" s="584"/>
      <c r="O108" s="379"/>
    </row>
    <row r="109" spans="1:15" x14ac:dyDescent="0.2">
      <c r="A109" s="503"/>
      <c r="B109" s="511" t="s">
        <v>444</v>
      </c>
      <c r="C109" s="495"/>
      <c r="D109" s="495"/>
      <c r="E109" s="503"/>
      <c r="F109" s="495"/>
      <c r="G109" s="495"/>
      <c r="H109" s="495"/>
      <c r="I109" s="544"/>
      <c r="J109" s="544"/>
      <c r="K109" s="544"/>
      <c r="L109" s="584"/>
      <c r="M109" s="379"/>
      <c r="N109" s="584"/>
      <c r="O109" s="379"/>
    </row>
    <row r="110" spans="1:15" ht="15.75" x14ac:dyDescent="0.3">
      <c r="A110" s="590"/>
      <c r="B110" s="1301" t="s">
        <v>49</v>
      </c>
      <c r="C110" s="542">
        <v>8.4000000000000003E-4</v>
      </c>
      <c r="D110" s="495" t="s">
        <v>495</v>
      </c>
      <c r="E110" s="503"/>
      <c r="F110" s="495"/>
      <c r="G110" s="495"/>
      <c r="H110" s="495"/>
      <c r="I110" s="544">
        <f>$C110*$E$104*VLOOKUP($B110,'Standard values'!$C$9:$S$162,7, FALSE)/$E$172</f>
        <v>0.10146738000000001</v>
      </c>
      <c r="J110" s="544">
        <f>$C110*$E$104*VLOOKUP($B110,'Standard values'!$C$9:$S$162,8, FALSE)/$E$172</f>
        <v>2.4744999999999997E-4</v>
      </c>
      <c r="K110" s="544">
        <f>$C110*$E$104*VLOOKUP($B110,'Standard values'!$C$9:$S$162,9, FALSE)/$E$172</f>
        <v>4.5966666666666661E-6</v>
      </c>
      <c r="L110" s="516">
        <f>I110*'Standard values'!$D$10+J110*'Standard values'!$D$11+K110*'Standard values'!$D$12</f>
        <v>0.10902343666666668</v>
      </c>
      <c r="M110" s="379"/>
      <c r="N110" s="562">
        <f t="shared" si="1"/>
        <v>2.9229183370333338</v>
      </c>
      <c r="O110" s="379"/>
    </row>
    <row r="111" spans="1:15" ht="14.25" x14ac:dyDescent="0.25">
      <c r="A111" s="519"/>
      <c r="B111" s="520"/>
      <c r="C111" s="520"/>
      <c r="D111" s="520"/>
      <c r="E111" s="519"/>
      <c r="F111" s="521"/>
      <c r="G111" s="521"/>
      <c r="H111" s="521" t="s">
        <v>534</v>
      </c>
      <c r="I111" s="520"/>
      <c r="J111" s="523" t="s">
        <v>1048</v>
      </c>
      <c r="K111" s="549"/>
      <c r="L111" s="525">
        <f>L110+L106</f>
        <v>0.60397867724853904</v>
      </c>
      <c r="M111" s="379"/>
      <c r="N111" s="545">
        <f t="shared" si="1"/>
        <v>16.192668337033332</v>
      </c>
      <c r="O111" s="379"/>
    </row>
    <row r="112" spans="1:15" x14ac:dyDescent="0.2">
      <c r="A112" s="390"/>
      <c r="B112" s="390"/>
      <c r="C112" s="390"/>
      <c r="D112" s="390"/>
      <c r="E112" s="390"/>
      <c r="F112" s="376"/>
      <c r="G112" s="376"/>
      <c r="H112" s="376"/>
      <c r="I112" s="390"/>
      <c r="J112" s="550"/>
      <c r="K112" s="551"/>
      <c r="L112" s="552"/>
      <c r="M112" s="379"/>
      <c r="N112" s="390"/>
      <c r="O112" s="379"/>
    </row>
    <row r="113" spans="1:15" x14ac:dyDescent="0.2">
      <c r="A113" s="390"/>
      <c r="B113" s="390"/>
      <c r="C113" s="390"/>
      <c r="D113" s="390"/>
      <c r="E113" s="390"/>
      <c r="F113" s="376"/>
      <c r="G113" s="376"/>
      <c r="H113" s="376"/>
      <c r="I113" s="390"/>
      <c r="J113" s="550"/>
      <c r="K113" s="551"/>
      <c r="L113" s="552"/>
      <c r="M113" s="379"/>
      <c r="N113" s="379"/>
      <c r="O113" s="379"/>
    </row>
    <row r="114" spans="1:15" ht="15.75" x14ac:dyDescent="0.25">
      <c r="A114" s="530" t="s">
        <v>810</v>
      </c>
      <c r="B114" s="531"/>
      <c r="C114" s="531"/>
      <c r="D114" s="531"/>
      <c r="E114" s="530" t="s">
        <v>513</v>
      </c>
      <c r="F114" s="531"/>
      <c r="G114" s="531"/>
      <c r="H114" s="531"/>
      <c r="I114" s="531"/>
      <c r="J114" s="531"/>
      <c r="K114" s="531"/>
      <c r="L114" s="596"/>
      <c r="M114" s="379"/>
      <c r="N114" s="535" t="s">
        <v>162</v>
      </c>
      <c r="O114" s="379"/>
    </row>
    <row r="115" spans="1:15" ht="15.75" x14ac:dyDescent="0.3">
      <c r="A115" s="503"/>
      <c r="B115" s="511" t="s">
        <v>499</v>
      </c>
      <c r="C115" s="593">
        <v>1</v>
      </c>
      <c r="D115" s="495" t="s">
        <v>497</v>
      </c>
      <c r="E115" s="513">
        <f>E103*C115</f>
        <v>40687.990364447454</v>
      </c>
      <c r="F115" s="495" t="s">
        <v>1030</v>
      </c>
      <c r="G115" s="495"/>
      <c r="H115" s="495"/>
      <c r="I115" s="492" t="s">
        <v>138</v>
      </c>
      <c r="J115" s="514"/>
      <c r="K115" s="514"/>
      <c r="L115" s="537"/>
      <c r="M115" s="379"/>
      <c r="N115" s="554" t="s">
        <v>1010</v>
      </c>
      <c r="O115" s="379"/>
    </row>
    <row r="116" spans="1:15" ht="15.75" x14ac:dyDescent="0.3">
      <c r="A116" s="503"/>
      <c r="B116" s="495"/>
      <c r="C116" s="495"/>
      <c r="D116" s="495"/>
      <c r="E116" s="505">
        <f>E104*C115</f>
        <v>0.53126616302000251</v>
      </c>
      <c r="F116" s="506" t="s">
        <v>53</v>
      </c>
      <c r="G116" s="506"/>
      <c r="H116" s="495"/>
      <c r="I116" s="539" t="s">
        <v>1053</v>
      </c>
      <c r="J116" s="539" t="s">
        <v>1054</v>
      </c>
      <c r="K116" s="539" t="s">
        <v>1055</v>
      </c>
      <c r="L116" s="540" t="s">
        <v>1056</v>
      </c>
      <c r="M116" s="379"/>
      <c r="N116" s="540" t="s">
        <v>1056</v>
      </c>
      <c r="O116" s="379"/>
    </row>
    <row r="117" spans="1:15" x14ac:dyDescent="0.2">
      <c r="A117" s="503"/>
      <c r="B117" s="511" t="s">
        <v>498</v>
      </c>
      <c r="C117" s="495"/>
      <c r="D117" s="495"/>
      <c r="E117" s="513"/>
      <c r="F117" s="495"/>
      <c r="G117" s="495"/>
      <c r="H117" s="495"/>
      <c r="I117" s="495"/>
      <c r="J117" s="495"/>
      <c r="K117" s="495"/>
      <c r="L117" s="541"/>
      <c r="M117" s="379"/>
      <c r="N117" s="541"/>
      <c r="O117" s="379"/>
    </row>
    <row r="118" spans="1:15" ht="15.75" x14ac:dyDescent="0.3">
      <c r="A118" s="503"/>
      <c r="B118" s="495" t="s">
        <v>159</v>
      </c>
      <c r="C118" s="595">
        <v>150</v>
      </c>
      <c r="D118" s="495" t="s">
        <v>510</v>
      </c>
      <c r="E118" s="543">
        <f>(C118*E116/VLOOKUP($B115,'Standard values'!$C$9:$S$162,14, FALSE))/1000</f>
        <v>2.9723955409548817E-3</v>
      </c>
      <c r="F118" s="495" t="s">
        <v>242</v>
      </c>
      <c r="G118" s="495"/>
      <c r="H118" s="495"/>
      <c r="I118" s="544">
        <f>$E118*VLOOKUP($B118,'Standard values'!$C$9:$S$162,15, FALSE)*VLOOKUP(C119,'Standard values'!$C$9:$S$162,7, FALSE)/$E$172</f>
        <v>0.49425587467362919</v>
      </c>
      <c r="J118" s="544">
        <f>$E118*((VLOOKUP($B118,'Standard values'!$C$9:$S$162,15, FALSE)*VLOOKUP(C119,'Standard values'!$C$9:$S$162,8, FALSE))+VLOOKUP($B118,'Standard values'!$C$9:$S$162,16, FALSE))/$E$172</f>
        <v>2.7974636329727714E-5</v>
      </c>
      <c r="K118" s="544">
        <f>$E118*((VLOOKUP($B118,'Standard values'!$C$9:$S$162,15, FALSE)*VLOOKUP(C119,'Standard values'!$C$9:$S$162,9, FALSE))+VLOOKUP($B118,'Standard values'!$C$9:$S$162,17, FALSE))/$E$172</f>
        <v>0</v>
      </c>
      <c r="L118" s="516">
        <f>I118*'Standard values'!$D$10+J118*'Standard values'!$D$11+K118*'Standard values'!$D$12</f>
        <v>0.4949552405818724</v>
      </c>
      <c r="M118" s="379"/>
      <c r="N118" s="562">
        <f>+L118/$E$69</f>
        <v>13.26975</v>
      </c>
      <c r="O118" s="379"/>
    </row>
    <row r="119" spans="1:15" x14ac:dyDescent="0.2">
      <c r="A119" s="503"/>
      <c r="B119" s="546" t="s">
        <v>54</v>
      </c>
      <c r="C119" s="673" t="s">
        <v>509</v>
      </c>
      <c r="D119" s="495"/>
      <c r="E119" s="503"/>
      <c r="F119" s="495"/>
      <c r="G119" s="495"/>
      <c r="H119" s="495"/>
      <c r="I119" s="544"/>
      <c r="J119" s="544"/>
      <c r="K119" s="544"/>
      <c r="L119" s="516"/>
      <c r="M119" s="379"/>
      <c r="N119" s="562"/>
      <c r="O119" s="379"/>
    </row>
    <row r="120" spans="1:15" x14ac:dyDescent="0.2">
      <c r="A120" s="503"/>
      <c r="B120" s="495"/>
      <c r="C120" s="668"/>
      <c r="D120" s="495"/>
      <c r="E120" s="543"/>
      <c r="F120" s="495"/>
      <c r="G120" s="495"/>
      <c r="H120" s="495"/>
      <c r="I120" s="544"/>
      <c r="J120" s="544"/>
      <c r="K120" s="544"/>
      <c r="L120" s="516"/>
      <c r="M120" s="379"/>
      <c r="N120" s="584"/>
      <c r="O120" s="379"/>
    </row>
    <row r="121" spans="1:15" x14ac:dyDescent="0.2">
      <c r="A121" s="503"/>
      <c r="B121" s="511" t="s">
        <v>441</v>
      </c>
      <c r="C121" s="495"/>
      <c r="D121" s="495"/>
      <c r="E121" s="503"/>
      <c r="F121" s="495"/>
      <c r="G121" s="495"/>
      <c r="H121" s="495"/>
      <c r="I121" s="544"/>
      <c r="J121" s="544"/>
      <c r="K121" s="544"/>
      <c r="L121" s="584"/>
      <c r="M121" s="379"/>
      <c r="N121" s="541"/>
      <c r="O121" s="379"/>
    </row>
    <row r="122" spans="1:15" ht="15.75" x14ac:dyDescent="0.3">
      <c r="A122" s="503"/>
      <c r="B122" s="1301" t="s">
        <v>49</v>
      </c>
      <c r="C122" s="542">
        <v>3.3999999999999998E-3</v>
      </c>
      <c r="D122" s="495" t="s">
        <v>495</v>
      </c>
      <c r="E122" s="503"/>
      <c r="F122" s="495"/>
      <c r="G122" s="495"/>
      <c r="H122" s="495"/>
      <c r="I122" s="544">
        <f>$C122*$E$116*VLOOKUP($B122,'Standard values'!$C$9:$S$162,7, FALSE)/$E$172</f>
        <v>0.41070129999999999</v>
      </c>
      <c r="J122" s="544">
        <f>$C122*$E$116*VLOOKUP($B122,'Standard values'!$C$9:$S$162,8, FALSE)/$E$172</f>
        <v>1.0015833333333333E-3</v>
      </c>
      <c r="K122" s="544">
        <f>$C122*$E$104*VLOOKUP($B122,'Standard values'!$C$9:$S$162,9, FALSE)/$E$172</f>
        <v>1.8605555555555555E-5</v>
      </c>
      <c r="L122" s="516">
        <f>I122*'Standard values'!$D$10+J122*'Standard values'!$D$11+K122*'Standard values'!$D$12</f>
        <v>0.44128533888888888</v>
      </c>
      <c r="M122" s="379"/>
      <c r="N122" s="562">
        <f>+L122/$E$69</f>
        <v>11.830859935611111</v>
      </c>
      <c r="O122" s="379"/>
    </row>
    <row r="123" spans="1:15" ht="14.25" x14ac:dyDescent="0.25">
      <c r="A123" s="519"/>
      <c r="B123" s="520"/>
      <c r="C123" s="520"/>
      <c r="D123" s="520"/>
      <c r="E123" s="519"/>
      <c r="F123" s="521"/>
      <c r="G123" s="521"/>
      <c r="H123" s="521" t="s">
        <v>534</v>
      </c>
      <c r="I123" s="520"/>
      <c r="J123" s="523" t="s">
        <v>1048</v>
      </c>
      <c r="K123" s="549"/>
      <c r="L123" s="525">
        <f>L118+L122</f>
        <v>0.93624057947076134</v>
      </c>
      <c r="M123" s="379"/>
      <c r="N123" s="545">
        <f>+L123/$E$69</f>
        <v>25.100609935611111</v>
      </c>
      <c r="O123" s="379"/>
    </row>
    <row r="124" spans="1:15" x14ac:dyDescent="0.2">
      <c r="A124" s="390"/>
      <c r="B124" s="390"/>
      <c r="C124" s="390"/>
      <c r="D124" s="390"/>
      <c r="E124" s="390"/>
      <c r="F124" s="376"/>
      <c r="G124" s="376"/>
      <c r="H124" s="376"/>
      <c r="I124" s="390"/>
      <c r="J124" s="550"/>
      <c r="K124" s="551"/>
      <c r="L124" s="597"/>
      <c r="M124" s="379"/>
      <c r="N124" s="390"/>
      <c r="O124" s="379"/>
    </row>
    <row r="125" spans="1:15" x14ac:dyDescent="0.2">
      <c r="A125" s="390"/>
      <c r="B125" s="390"/>
      <c r="C125" s="390"/>
      <c r="D125" s="390"/>
      <c r="E125" s="390"/>
      <c r="F125" s="376"/>
      <c r="G125" s="376"/>
      <c r="H125" s="376"/>
      <c r="I125" s="390"/>
      <c r="J125" s="550"/>
      <c r="K125" s="551"/>
      <c r="L125" s="597"/>
      <c r="M125" s="379"/>
      <c r="N125" s="379"/>
      <c r="O125" s="379"/>
    </row>
    <row r="126" spans="1:15" ht="15.75" x14ac:dyDescent="0.25">
      <c r="A126" s="530" t="s">
        <v>546</v>
      </c>
      <c r="B126" s="598"/>
      <c r="C126" s="599"/>
      <c r="D126" s="531"/>
      <c r="E126" s="600"/>
      <c r="F126" s="531"/>
      <c r="G126" s="531"/>
      <c r="H126" s="531"/>
      <c r="I126" s="531"/>
      <c r="J126" s="531"/>
      <c r="K126" s="531"/>
      <c r="L126" s="601"/>
      <c r="M126" s="379"/>
      <c r="N126" s="379"/>
      <c r="O126" s="379"/>
    </row>
    <row r="127" spans="1:15" ht="15.75" x14ac:dyDescent="0.25">
      <c r="A127" s="602"/>
      <c r="B127" s="603" t="s">
        <v>549</v>
      </c>
      <c r="C127" s="511" t="s">
        <v>908</v>
      </c>
      <c r="D127" s="495"/>
      <c r="E127" s="503"/>
      <c r="F127" s="495"/>
      <c r="G127" s="495"/>
      <c r="H127" s="495"/>
      <c r="I127" s="495"/>
      <c r="J127" s="495"/>
      <c r="K127" s="495"/>
      <c r="L127" s="537"/>
      <c r="M127" s="379"/>
      <c r="N127" s="390"/>
      <c r="O127" s="390"/>
    </row>
    <row r="128" spans="1:15" ht="15.75" customHeight="1" x14ac:dyDescent="0.25">
      <c r="A128" s="602"/>
      <c r="B128" s="511"/>
      <c r="C128" s="668"/>
      <c r="D128" s="691" t="s">
        <v>431</v>
      </c>
      <c r="E128" s="692" t="str">
        <f>IF(D130="Yes","From :  ", " ")</f>
        <v xml:space="preserve"> </v>
      </c>
      <c r="F128" s="1422" t="str">
        <f>IF(D130="Yes",LUC!H$35 &amp; " ; " &amp; LUC!H$36 &amp; " ; " &amp; LUC!H$39 &amp; " ; " &amp; LUC!H$40 &amp; " ; " &amp; LUC!H$45 &amp; " ; " &amp; LUC!H$46 &amp; " ; " &amp; LUC!H$47, " ")</f>
        <v xml:space="preserve"> </v>
      </c>
      <c r="G128" s="1422"/>
      <c r="H128" s="1422"/>
      <c r="I128" s="1422"/>
      <c r="J128" s="1422"/>
      <c r="K128" s="1422"/>
      <c r="L128" s="1423"/>
      <c r="M128" s="379"/>
      <c r="N128" s="390"/>
      <c r="O128" s="390"/>
    </row>
    <row r="129" spans="1:15" ht="15.75" x14ac:dyDescent="0.25">
      <c r="A129" s="602"/>
      <c r="B129" s="539" t="s">
        <v>450</v>
      </c>
      <c r="C129" s="693" t="s">
        <v>431</v>
      </c>
      <c r="D129" s="691" t="s">
        <v>432</v>
      </c>
      <c r="E129" s="513"/>
      <c r="F129" s="1422"/>
      <c r="G129" s="1422"/>
      <c r="H129" s="1422"/>
      <c r="I129" s="1422"/>
      <c r="J129" s="1422"/>
      <c r="K129" s="1422"/>
      <c r="L129" s="1423"/>
      <c r="M129" s="379"/>
      <c r="N129" s="390"/>
      <c r="O129" s="390"/>
    </row>
    <row r="130" spans="1:15" ht="15.75" customHeight="1" x14ac:dyDescent="0.25">
      <c r="A130" s="602"/>
      <c r="B130" s="511"/>
      <c r="C130" s="670" t="str">
        <f>IF(D130="Yes","Go to", " ")</f>
        <v xml:space="preserve"> </v>
      </c>
      <c r="D130" s="691" t="s">
        <v>432</v>
      </c>
      <c r="E130" s="692" t="str">
        <f>IF(D130="Yes","To    :   ", " ")</f>
        <v xml:space="preserve"> </v>
      </c>
      <c r="F130" s="1424" t="str">
        <f>IF(D130="Yes", LUC!D$35 &amp; " ; " &amp; LUC!D$36 &amp; " ; " &amp; LUC!D$39 &amp; " ; " &amp; LUC!D$40 &amp; " ; " &amp; LUC!D$45 &amp; " ; " &amp; LUC!D$46 &amp; " ; " &amp; LUC!D$47, " ")</f>
        <v xml:space="preserve"> </v>
      </c>
      <c r="G130" s="1424"/>
      <c r="H130" s="1424"/>
      <c r="I130" s="1424"/>
      <c r="J130" s="1424"/>
      <c r="K130" s="1424"/>
      <c r="L130" s="1425"/>
      <c r="M130" s="379"/>
      <c r="N130" s="390"/>
      <c r="O130" s="390"/>
    </row>
    <row r="131" spans="1:15" ht="15.75" x14ac:dyDescent="0.25">
      <c r="A131" s="602"/>
      <c r="B131" s="416"/>
      <c r="C131" s="671" t="str">
        <f>IF(D130="Yes","sheet 'LUC' ", " ")</f>
        <v xml:space="preserve"> </v>
      </c>
      <c r="D131" s="495"/>
      <c r="E131" s="696"/>
      <c r="F131" s="1424"/>
      <c r="G131" s="1424"/>
      <c r="H131" s="1424"/>
      <c r="I131" s="1424"/>
      <c r="J131" s="1424"/>
      <c r="K131" s="1424"/>
      <c r="L131" s="1425"/>
      <c r="M131" s="379"/>
      <c r="N131" s="390"/>
      <c r="O131" s="390"/>
    </row>
    <row r="132" spans="1:15" ht="15.75" x14ac:dyDescent="0.25">
      <c r="A132" s="602"/>
      <c r="B132" s="416"/>
      <c r="C132" s="670" t="str">
        <f>IF(D130="Yes","to calculate the land use change", " ")</f>
        <v xml:space="preserve"> </v>
      </c>
      <c r="D132" s="495"/>
      <c r="E132" s="696"/>
      <c r="F132" s="694"/>
      <c r="G132" s="694"/>
      <c r="H132" s="694"/>
      <c r="I132" s="492" t="s">
        <v>138</v>
      </c>
      <c r="J132" s="514"/>
      <c r="K132" s="694"/>
      <c r="L132" s="695"/>
      <c r="M132" s="379"/>
      <c r="N132" s="390"/>
      <c r="O132" s="390"/>
    </row>
    <row r="133" spans="1:15" ht="16.5" x14ac:dyDescent="0.3">
      <c r="A133" s="602"/>
      <c r="B133" s="416"/>
      <c r="C133" s="670"/>
      <c r="D133" s="495"/>
      <c r="E133" s="696"/>
      <c r="F133" s="694"/>
      <c r="G133" s="694"/>
      <c r="H133" s="694"/>
      <c r="I133" s="539" t="s">
        <v>1053</v>
      </c>
      <c r="J133" s="539" t="s">
        <v>1054</v>
      </c>
      <c r="K133" s="539" t="s">
        <v>1055</v>
      </c>
      <c r="L133" s="540" t="s">
        <v>1056</v>
      </c>
      <c r="M133" s="379"/>
      <c r="N133" s="390"/>
      <c r="O133" s="390"/>
    </row>
    <row r="134" spans="1:15" ht="16.5" x14ac:dyDescent="0.3">
      <c r="A134" s="602"/>
      <c r="B134" s="507" t="s">
        <v>451</v>
      </c>
      <c r="C134" s="697">
        <f>IF(D130="Yes",LUC!$J$86,0)</f>
        <v>0</v>
      </c>
      <c r="D134" s="497" t="s">
        <v>449</v>
      </c>
      <c r="E134" s="503"/>
      <c r="F134" s="495"/>
      <c r="G134" s="495"/>
      <c r="H134" s="495"/>
      <c r="I134" s="544">
        <f>$C134*1000000/$E$171</f>
        <v>0</v>
      </c>
      <c r="J134" s="544">
        <v>0</v>
      </c>
      <c r="K134" s="544">
        <v>0</v>
      </c>
      <c r="L134" s="419">
        <f>I134*'Standard values'!$D$10+J134*'Standard values'!$D$11+K134*'Standard values'!$D$12</f>
        <v>0</v>
      </c>
      <c r="M134" s="379"/>
      <c r="N134" s="390"/>
      <c r="O134" s="390"/>
    </row>
    <row r="135" spans="1:15" ht="15.75" x14ac:dyDescent="0.25">
      <c r="A135" s="602"/>
      <c r="B135" s="507"/>
      <c r="C135" s="698"/>
      <c r="D135" s="497"/>
      <c r="E135" s="503"/>
      <c r="F135" s="495"/>
      <c r="G135" s="495"/>
      <c r="H135" s="495"/>
      <c r="I135" s="544"/>
      <c r="J135" s="544"/>
      <c r="K135" s="544"/>
      <c r="L135" s="516">
        <f>SUM(L134:L134)</f>
        <v>0</v>
      </c>
      <c r="M135" s="379"/>
      <c r="N135" s="390"/>
      <c r="O135" s="390"/>
    </row>
    <row r="136" spans="1:15" ht="15.75" x14ac:dyDescent="0.25">
      <c r="A136" s="602"/>
      <c r="B136" s="416"/>
      <c r="C136" s="492"/>
      <c r="D136" s="495"/>
      <c r="E136" s="503"/>
      <c r="F136" s="495"/>
      <c r="G136" s="495"/>
      <c r="H136" s="495"/>
      <c r="I136" s="544"/>
      <c r="J136" s="544"/>
      <c r="K136" s="544"/>
      <c r="L136" s="516"/>
      <c r="M136" s="379"/>
      <c r="N136" s="390"/>
      <c r="O136" s="390"/>
    </row>
    <row r="137" spans="1:15" ht="15.75" x14ac:dyDescent="0.3">
      <c r="A137" s="503"/>
      <c r="B137" s="539" t="s">
        <v>452</v>
      </c>
      <c r="C137" s="595">
        <v>0</v>
      </c>
      <c r="D137" s="605" t="s">
        <v>1036</v>
      </c>
      <c r="E137" s="699"/>
      <c r="F137" s="495"/>
      <c r="G137" s="495"/>
      <c r="H137" s="495"/>
      <c r="I137" s="544">
        <f>-C137</f>
        <v>0</v>
      </c>
      <c r="J137" s="544">
        <v>0</v>
      </c>
      <c r="K137" s="544">
        <v>0</v>
      </c>
      <c r="L137" s="419">
        <f>I137*'Standard values'!$D$10+J137*'Standard values'!$D$11+K137*'Standard values'!$D$12</f>
        <v>0</v>
      </c>
      <c r="M137" s="379"/>
      <c r="N137" s="390"/>
      <c r="O137" s="390"/>
    </row>
    <row r="138" spans="1:15" x14ac:dyDescent="0.2">
      <c r="A138" s="503"/>
      <c r="B138" s="539" t="str">
        <f>IF(C137=-29,"Year of conversion:","")</f>
        <v/>
      </c>
      <c r="C138" s="539" t="str">
        <f>IF(D137=-29,"Year of conversion:","")</f>
        <v/>
      </c>
      <c r="D138" s="605" t="str">
        <f>IF(C137=-29,"Fill in the year of conversion","")</f>
        <v/>
      </c>
      <c r="E138" s="503"/>
      <c r="F138" s="495"/>
      <c r="G138" s="495"/>
      <c r="H138" s="495"/>
      <c r="I138" s="495"/>
      <c r="J138" s="495"/>
      <c r="K138" s="544"/>
      <c r="L138" s="516">
        <f>SUM(L137:L137)</f>
        <v>0</v>
      </c>
      <c r="M138" s="379"/>
      <c r="N138" s="390"/>
      <c r="O138" s="390"/>
    </row>
    <row r="139" spans="1:15" x14ac:dyDescent="0.2">
      <c r="A139" s="503"/>
      <c r="B139" s="539"/>
      <c r="C139" s="539"/>
      <c r="D139" s="605"/>
      <c r="E139" s="503"/>
      <c r="F139" s="495"/>
      <c r="G139" s="495"/>
      <c r="H139" s="495"/>
      <c r="I139" s="495"/>
      <c r="J139" s="495"/>
      <c r="K139" s="544"/>
      <c r="L139" s="700"/>
      <c r="M139" s="379"/>
      <c r="N139" s="390"/>
      <c r="O139" s="390"/>
    </row>
    <row r="140" spans="1:15" ht="14.25" x14ac:dyDescent="0.25">
      <c r="A140" s="519"/>
      <c r="B140" s="520"/>
      <c r="C140" s="520"/>
      <c r="D140" s="520"/>
      <c r="E140" s="519"/>
      <c r="F140" s="521"/>
      <c r="G140" s="521"/>
      <c r="H140" s="521" t="s">
        <v>534</v>
      </c>
      <c r="I140" s="520"/>
      <c r="J140" s="523" t="s">
        <v>1048</v>
      </c>
      <c r="K140" s="549"/>
      <c r="L140" s="525">
        <f>L135+L138</f>
        <v>0</v>
      </c>
      <c r="M140" s="379"/>
      <c r="N140" s="390"/>
      <c r="O140" s="390"/>
    </row>
    <row r="141" spans="1:15" x14ac:dyDescent="0.2">
      <c r="A141" s="390"/>
      <c r="B141" s="390"/>
      <c r="C141" s="390"/>
      <c r="D141" s="390"/>
      <c r="E141" s="390"/>
      <c r="F141" s="376"/>
      <c r="G141" s="376"/>
      <c r="H141" s="376"/>
      <c r="I141" s="390"/>
      <c r="J141" s="550"/>
      <c r="K141" s="551"/>
      <c r="L141" s="604"/>
      <c r="M141" s="379"/>
      <c r="N141" s="390"/>
      <c r="O141" s="390"/>
    </row>
    <row r="142" spans="1:15" x14ac:dyDescent="0.2">
      <c r="A142" s="390"/>
      <c r="B142" s="390"/>
      <c r="C142" s="390"/>
      <c r="D142" s="390"/>
      <c r="E142" s="390"/>
      <c r="F142" s="376"/>
      <c r="G142" s="376"/>
      <c r="H142" s="376"/>
      <c r="I142" s="390"/>
      <c r="J142" s="550"/>
      <c r="K142" s="551"/>
      <c r="L142" s="604"/>
      <c r="M142" s="379"/>
      <c r="N142" s="390"/>
      <c r="O142" s="390"/>
    </row>
    <row r="143" spans="1:15" ht="15.75" x14ac:dyDescent="0.25">
      <c r="A143" s="530" t="s">
        <v>547</v>
      </c>
      <c r="B143" s="598"/>
      <c r="C143" s="599"/>
      <c r="D143" s="531"/>
      <c r="E143" s="600"/>
      <c r="F143" s="531"/>
      <c r="G143" s="531"/>
      <c r="H143" s="531"/>
      <c r="I143" s="531"/>
      <c r="J143" s="531"/>
      <c r="K143" s="531"/>
      <c r="L143" s="601"/>
      <c r="M143" s="379"/>
      <c r="N143" s="390"/>
      <c r="O143" s="390"/>
    </row>
    <row r="144" spans="1:15" ht="15.75" x14ac:dyDescent="0.25">
      <c r="A144" s="602"/>
      <c r="B144" s="416" t="s">
        <v>548</v>
      </c>
      <c r="C144" s="492" t="s">
        <v>429</v>
      </c>
      <c r="D144" s="616"/>
      <c r="E144" s="503"/>
      <c r="F144" s="495"/>
      <c r="G144" s="495"/>
      <c r="H144" s="495"/>
      <c r="I144" s="492" t="s">
        <v>138</v>
      </c>
      <c r="J144" s="514"/>
      <c r="K144" s="514"/>
      <c r="L144" s="537"/>
      <c r="M144" s="379"/>
      <c r="N144" s="390"/>
      <c r="O144" s="390"/>
    </row>
    <row r="145" spans="1:15" ht="15.75" customHeight="1" x14ac:dyDescent="0.25">
      <c r="A145" s="602"/>
      <c r="B145" s="511"/>
      <c r="C145" s="668"/>
      <c r="D145" s="691" t="s">
        <v>431</v>
      </c>
      <c r="E145" s="692" t="str">
        <f>IF(D147="Yes","From :  ", " ")</f>
        <v xml:space="preserve"> </v>
      </c>
      <c r="F145" s="1422" t="str">
        <f>IF(D147="Yes",Esca!H$42 &amp; ", " &amp; Esca!H$43 &amp; " input ","")</f>
        <v/>
      </c>
      <c r="G145" s="1422"/>
      <c r="H145" s="1422"/>
      <c r="I145" s="1422"/>
      <c r="J145" s="1422"/>
      <c r="K145" s="1422"/>
      <c r="L145" s="1423"/>
      <c r="M145" s="379"/>
      <c r="N145" s="390"/>
      <c r="O145" s="390"/>
    </row>
    <row r="146" spans="1:15" ht="15.75" x14ac:dyDescent="0.25">
      <c r="A146" s="602"/>
      <c r="B146" s="539" t="s">
        <v>430</v>
      </c>
      <c r="C146" s="668"/>
      <c r="D146" s="691" t="s">
        <v>432</v>
      </c>
      <c r="E146" s="513"/>
      <c r="F146" s="1422"/>
      <c r="G146" s="1422"/>
      <c r="H146" s="1422"/>
      <c r="I146" s="1422"/>
      <c r="J146" s="1422"/>
      <c r="K146" s="1422"/>
      <c r="L146" s="1423"/>
      <c r="M146" s="379"/>
      <c r="N146" s="390"/>
      <c r="O146" s="390"/>
    </row>
    <row r="147" spans="1:15" ht="15.75" customHeight="1" x14ac:dyDescent="0.25">
      <c r="A147" s="602"/>
      <c r="B147" s="511"/>
      <c r="C147" s="670" t="str">
        <f>IF(D147="Yes","Go to", " ")</f>
        <v xml:space="preserve"> </v>
      </c>
      <c r="D147" s="691" t="s">
        <v>432</v>
      </c>
      <c r="E147" s="692" t="str">
        <f>IF(D147="Yes","To    :   ", " ")</f>
        <v xml:space="preserve"> </v>
      </c>
      <c r="F147" s="1422" t="str">
        <f>IF(D147="Yes",Esca!D$42 &amp; ", " &amp; Esca!D$43 &amp; " input ","")</f>
        <v/>
      </c>
      <c r="G147" s="1422"/>
      <c r="H147" s="1422"/>
      <c r="I147" s="1422"/>
      <c r="J147" s="1422"/>
      <c r="K147" s="1422"/>
      <c r="L147" s="1423"/>
      <c r="M147" s="379"/>
      <c r="N147" s="390"/>
      <c r="O147" s="390"/>
    </row>
    <row r="148" spans="1:15" ht="15.75" x14ac:dyDescent="0.25">
      <c r="A148" s="602"/>
      <c r="B148" s="416"/>
      <c r="C148" s="671" t="str">
        <f>IF(D147="Yes","sheet 'Esca' ", " ")</f>
        <v xml:space="preserve"> </v>
      </c>
      <c r="D148" s="495"/>
      <c r="E148" s="696"/>
      <c r="F148" s="1422"/>
      <c r="G148" s="1422"/>
      <c r="H148" s="1422"/>
      <c r="I148" s="1422"/>
      <c r="J148" s="1422"/>
      <c r="K148" s="1422"/>
      <c r="L148" s="1423"/>
      <c r="M148" s="379"/>
      <c r="N148" s="390"/>
      <c r="O148" s="390"/>
    </row>
    <row r="149" spans="1:15" ht="15.75" x14ac:dyDescent="0.25">
      <c r="A149" s="602"/>
      <c r="B149" s="416"/>
      <c r="C149" s="670" t="str">
        <f>IF(D147="Yes","to calculate the soil carbon accumulation", " ")</f>
        <v xml:space="preserve"> </v>
      </c>
      <c r="D149" s="495"/>
      <c r="E149" s="696"/>
      <c r="F149" s="694"/>
      <c r="G149" s="694"/>
      <c r="H149" s="694"/>
      <c r="I149" s="492" t="s">
        <v>138</v>
      </c>
      <c r="J149" s="514"/>
      <c r="K149" s="694"/>
      <c r="L149" s="695"/>
      <c r="M149" s="379"/>
      <c r="N149" s="390"/>
      <c r="O149" s="390"/>
    </row>
    <row r="150" spans="1:15" ht="16.5" x14ac:dyDescent="0.3">
      <c r="A150" s="602"/>
      <c r="B150" s="416"/>
      <c r="C150" s="670"/>
      <c r="D150" s="495"/>
      <c r="E150" s="696"/>
      <c r="F150" s="694"/>
      <c r="G150" s="694"/>
      <c r="H150" s="694"/>
      <c r="I150" s="539" t="s">
        <v>1053</v>
      </c>
      <c r="J150" s="539" t="s">
        <v>1054</v>
      </c>
      <c r="K150" s="539" t="s">
        <v>1055</v>
      </c>
      <c r="L150" s="540" t="s">
        <v>1056</v>
      </c>
      <c r="M150" s="379"/>
      <c r="N150" s="390"/>
      <c r="O150" s="390"/>
    </row>
    <row r="151" spans="1:15" ht="16.5" x14ac:dyDescent="0.3">
      <c r="A151" s="602"/>
      <c r="B151" s="507" t="s">
        <v>807</v>
      </c>
      <c r="C151" s="697">
        <f>IF(D147="yes",Esca!$J$81,0)</f>
        <v>0</v>
      </c>
      <c r="D151" s="497" t="s">
        <v>449</v>
      </c>
      <c r="E151" s="503"/>
      <c r="F151" s="495"/>
      <c r="G151" s="495"/>
      <c r="H151" s="495"/>
      <c r="I151" s="544">
        <f>$C151*1000000/$E$171</f>
        <v>0</v>
      </c>
      <c r="J151" s="544">
        <v>0</v>
      </c>
      <c r="K151" s="544">
        <v>0</v>
      </c>
      <c r="L151" s="419">
        <f>I151*'Standard values'!$D$10+J151*'Standard values'!$D$11+K151*'Standard values'!$D$12</f>
        <v>0</v>
      </c>
      <c r="M151" s="379"/>
      <c r="N151" s="390"/>
      <c r="O151" s="390"/>
    </row>
    <row r="152" spans="1:15" x14ac:dyDescent="0.2">
      <c r="A152" s="503"/>
      <c r="B152" s="539"/>
      <c r="C152" s="539"/>
      <c r="D152" s="605"/>
      <c r="E152" s="503"/>
      <c r="F152" s="495"/>
      <c r="G152" s="495"/>
      <c r="H152" s="495"/>
      <c r="I152" s="495"/>
      <c r="J152" s="495"/>
      <c r="K152" s="544"/>
      <c r="L152" s="516">
        <f>SUM(L151:L151)</f>
        <v>0</v>
      </c>
      <c r="M152" s="379"/>
      <c r="N152" s="390"/>
      <c r="O152" s="390"/>
    </row>
    <row r="153" spans="1:15" x14ac:dyDescent="0.2">
      <c r="A153" s="503"/>
      <c r="B153" s="539"/>
      <c r="C153" s="539"/>
      <c r="D153" s="605"/>
      <c r="E153" s="503"/>
      <c r="F153" s="495"/>
      <c r="G153" s="495"/>
      <c r="H153" s="495"/>
      <c r="I153" s="495"/>
      <c r="J153" s="495"/>
      <c r="K153" s="544"/>
      <c r="L153" s="700"/>
      <c r="M153" s="379"/>
      <c r="N153" s="390"/>
      <c r="O153" s="390"/>
    </row>
    <row r="154" spans="1:15" ht="14.25" x14ac:dyDescent="0.25">
      <c r="A154" s="519"/>
      <c r="B154" s="520"/>
      <c r="C154" s="520"/>
      <c r="D154" s="520"/>
      <c r="E154" s="519"/>
      <c r="F154" s="521"/>
      <c r="G154" s="521"/>
      <c r="H154" s="521" t="s">
        <v>534</v>
      </c>
      <c r="I154" s="520"/>
      <c r="J154" s="523" t="s">
        <v>1048</v>
      </c>
      <c r="K154" s="549"/>
      <c r="L154" s="525">
        <f>L152</f>
        <v>0</v>
      </c>
      <c r="M154" s="379"/>
      <c r="N154" s="390"/>
      <c r="O154" s="390"/>
    </row>
    <row r="155" spans="1:15" x14ac:dyDescent="0.2">
      <c r="A155" s="390"/>
      <c r="B155" s="390"/>
      <c r="C155" s="390"/>
      <c r="D155" s="390"/>
      <c r="E155" s="390"/>
      <c r="F155" s="376"/>
      <c r="G155" s="376"/>
      <c r="H155" s="376"/>
      <c r="I155" s="390"/>
      <c r="J155" s="550"/>
      <c r="K155" s="551"/>
      <c r="L155" s="604"/>
      <c r="M155" s="379"/>
      <c r="N155" s="390"/>
      <c r="O155" s="390"/>
    </row>
    <row r="156" spans="1:15" x14ac:dyDescent="0.2">
      <c r="A156" s="390"/>
      <c r="B156" s="390"/>
      <c r="C156" s="390"/>
      <c r="D156" s="390"/>
      <c r="E156" s="390"/>
      <c r="F156" s="376"/>
      <c r="G156" s="376"/>
      <c r="H156" s="376"/>
      <c r="I156" s="390"/>
      <c r="J156" s="550"/>
      <c r="K156" s="551"/>
      <c r="L156" s="604"/>
      <c r="M156" s="379"/>
      <c r="N156" s="390"/>
      <c r="O156" s="390"/>
    </row>
    <row r="157" spans="1:15" ht="18.75" x14ac:dyDescent="0.35">
      <c r="A157" s="530" t="s">
        <v>168</v>
      </c>
      <c r="B157" s="598"/>
      <c r="C157" s="599"/>
      <c r="D157" s="531"/>
      <c r="E157" s="600"/>
      <c r="F157" s="531"/>
      <c r="G157" s="531"/>
      <c r="H157" s="531"/>
      <c r="I157" s="531"/>
      <c r="J157" s="531"/>
      <c r="K157" s="531"/>
      <c r="L157" s="601"/>
      <c r="M157" s="379"/>
      <c r="N157" s="390"/>
      <c r="O157" s="390"/>
    </row>
    <row r="158" spans="1:15" ht="15.75" x14ac:dyDescent="0.25">
      <c r="A158" s="602"/>
      <c r="B158" s="416" t="s">
        <v>166</v>
      </c>
      <c r="C158" s="492"/>
      <c r="D158" s="495"/>
      <c r="E158" s="503"/>
      <c r="F158" s="495"/>
      <c r="G158" s="495"/>
      <c r="H158" s="495"/>
      <c r="I158" s="492" t="s">
        <v>138</v>
      </c>
      <c r="J158" s="514"/>
      <c r="K158" s="514"/>
      <c r="L158" s="537"/>
      <c r="M158" s="379"/>
      <c r="N158" s="390"/>
      <c r="O158" s="390"/>
    </row>
    <row r="159" spans="1:15" ht="15.75" x14ac:dyDescent="0.3">
      <c r="A159" s="503"/>
      <c r="B159" s="539"/>
      <c r="C159" s="595">
        <v>0</v>
      </c>
      <c r="D159" s="605" t="s">
        <v>1036</v>
      </c>
      <c r="E159" s="503"/>
      <c r="F159" s="495"/>
      <c r="G159" s="495"/>
      <c r="H159" s="495"/>
      <c r="I159" s="495"/>
      <c r="J159" s="495"/>
      <c r="K159" s="544"/>
      <c r="L159" s="516">
        <f>C159</f>
        <v>0</v>
      </c>
      <c r="M159" s="379"/>
      <c r="N159" s="390"/>
      <c r="O159" s="390"/>
    </row>
    <row r="160" spans="1:15" ht="14.25" x14ac:dyDescent="0.25">
      <c r="A160" s="519"/>
      <c r="B160" s="520"/>
      <c r="C160" s="520"/>
      <c r="D160" s="520"/>
      <c r="E160" s="519"/>
      <c r="F160" s="521"/>
      <c r="G160" s="521"/>
      <c r="H160" s="521" t="s">
        <v>534</v>
      </c>
      <c r="I160" s="520"/>
      <c r="J160" s="523" t="s">
        <v>1048</v>
      </c>
      <c r="K160" s="549"/>
      <c r="L160" s="525">
        <f>C159</f>
        <v>0</v>
      </c>
      <c r="M160" s="379"/>
      <c r="N160" s="390"/>
      <c r="O160" s="390"/>
    </row>
    <row r="161" spans="1:15" x14ac:dyDescent="0.2">
      <c r="A161" s="390"/>
      <c r="B161" s="390"/>
      <c r="C161" s="390"/>
      <c r="D161" s="390"/>
      <c r="E161" s="390"/>
      <c r="F161" s="376"/>
      <c r="G161" s="376"/>
      <c r="H161" s="376"/>
      <c r="I161" s="390"/>
      <c r="J161" s="550"/>
      <c r="K161" s="551"/>
      <c r="L161" s="604"/>
      <c r="M161" s="379"/>
      <c r="N161" s="390"/>
      <c r="O161" s="390"/>
    </row>
    <row r="162" spans="1:15" x14ac:dyDescent="0.2">
      <c r="A162" s="390"/>
      <c r="B162" s="390"/>
      <c r="C162" s="390"/>
      <c r="D162" s="390"/>
      <c r="E162" s="390"/>
      <c r="F162" s="376"/>
      <c r="G162" s="376"/>
      <c r="H162" s="376"/>
      <c r="I162" s="390"/>
      <c r="J162" s="550"/>
      <c r="K162" s="551"/>
      <c r="L162" s="604"/>
      <c r="M162" s="379"/>
      <c r="N162" s="390"/>
      <c r="O162" s="390"/>
    </row>
    <row r="163" spans="1:15" ht="18.75" x14ac:dyDescent="0.35">
      <c r="A163" s="530" t="s">
        <v>169</v>
      </c>
      <c r="B163" s="598"/>
      <c r="C163" s="599"/>
      <c r="D163" s="531"/>
      <c r="E163" s="600"/>
      <c r="F163" s="531"/>
      <c r="G163" s="531"/>
      <c r="H163" s="531"/>
      <c r="I163" s="531"/>
      <c r="J163" s="531"/>
      <c r="K163" s="531"/>
      <c r="L163" s="601"/>
      <c r="M163" s="379"/>
      <c r="N163" s="390"/>
      <c r="O163" s="390"/>
    </row>
    <row r="164" spans="1:15" ht="15.75" x14ac:dyDescent="0.25">
      <c r="A164" s="602"/>
      <c r="B164" s="416" t="s">
        <v>167</v>
      </c>
      <c r="C164" s="492"/>
      <c r="D164" s="495"/>
      <c r="E164" s="503"/>
      <c r="F164" s="495"/>
      <c r="G164" s="495"/>
      <c r="H164" s="495"/>
      <c r="I164" s="492" t="s">
        <v>138</v>
      </c>
      <c r="J164" s="514"/>
      <c r="K164" s="514"/>
      <c r="L164" s="537"/>
      <c r="M164" s="379"/>
      <c r="N164" s="390"/>
      <c r="O164" s="390"/>
    </row>
    <row r="165" spans="1:15" ht="15.75" x14ac:dyDescent="0.3">
      <c r="A165" s="503"/>
      <c r="B165" s="539"/>
      <c r="C165" s="595">
        <v>0</v>
      </c>
      <c r="D165" s="605" t="s">
        <v>1036</v>
      </c>
      <c r="E165" s="503"/>
      <c r="F165" s="495"/>
      <c r="G165" s="495"/>
      <c r="H165" s="495"/>
      <c r="I165" s="495"/>
      <c r="J165" s="495"/>
      <c r="K165" s="544"/>
      <c r="L165" s="516">
        <f>C165</f>
        <v>0</v>
      </c>
      <c r="M165" s="379"/>
      <c r="N165" s="390"/>
      <c r="O165" s="390"/>
    </row>
    <row r="166" spans="1:15" ht="14.25" x14ac:dyDescent="0.25">
      <c r="A166" s="519"/>
      <c r="B166" s="520"/>
      <c r="C166" s="520"/>
      <c r="D166" s="520"/>
      <c r="E166" s="519"/>
      <c r="F166" s="521"/>
      <c r="G166" s="521"/>
      <c r="H166" s="521" t="s">
        <v>534</v>
      </c>
      <c r="I166" s="520"/>
      <c r="J166" s="523" t="s">
        <v>1048</v>
      </c>
      <c r="K166" s="549"/>
      <c r="L166" s="525">
        <f>C165</f>
        <v>0</v>
      </c>
      <c r="M166" s="379"/>
      <c r="N166" s="390"/>
      <c r="O166" s="390"/>
    </row>
    <row r="167" spans="1:15" x14ac:dyDescent="0.2">
      <c r="A167" s="390"/>
      <c r="B167" s="390"/>
      <c r="C167" s="390"/>
      <c r="D167" s="390"/>
      <c r="E167" s="390"/>
      <c r="F167" s="376"/>
      <c r="G167" s="376"/>
      <c r="H167" s="376"/>
      <c r="I167" s="390"/>
      <c r="J167" s="550"/>
      <c r="K167" s="551"/>
      <c r="L167" s="604"/>
      <c r="M167" s="379"/>
      <c r="N167" s="390"/>
      <c r="O167" s="390"/>
    </row>
    <row r="168" spans="1:15" x14ac:dyDescent="0.2">
      <c r="A168" s="390"/>
      <c r="B168" s="390"/>
      <c r="C168" s="390"/>
      <c r="D168" s="390"/>
      <c r="E168" s="390"/>
      <c r="F168" s="376"/>
      <c r="G168" s="376"/>
      <c r="H168" s="376"/>
      <c r="I168" s="390"/>
      <c r="J168" s="550"/>
      <c r="K168" s="551"/>
      <c r="L168" s="604"/>
      <c r="M168" s="379"/>
      <c r="N168" s="390"/>
      <c r="O168" s="390"/>
    </row>
    <row r="169" spans="1:15" ht="15.75" x14ac:dyDescent="0.25">
      <c r="A169" s="530" t="s">
        <v>457</v>
      </c>
      <c r="B169" s="531"/>
      <c r="C169" s="531"/>
      <c r="D169" s="531"/>
      <c r="E169" s="532"/>
      <c r="F169" s="606"/>
      <c r="G169" s="606"/>
      <c r="H169" s="606"/>
      <c r="I169" s="607"/>
      <c r="J169" s="608"/>
      <c r="K169" s="607"/>
      <c r="L169" s="609"/>
      <c r="M169" s="379"/>
      <c r="N169" s="390"/>
      <c r="O169" s="390"/>
    </row>
    <row r="170" spans="1:15" ht="15.75" x14ac:dyDescent="0.25">
      <c r="A170" s="610"/>
      <c r="B170" s="611"/>
      <c r="C170" s="611"/>
      <c r="D170" s="611"/>
      <c r="E170" s="612"/>
      <c r="F170" s="613"/>
      <c r="G170" s="613"/>
      <c r="H170" s="613"/>
      <c r="I170" s="613"/>
      <c r="J170" s="613"/>
      <c r="K170" s="613"/>
      <c r="L170" s="614"/>
      <c r="M170" s="379"/>
      <c r="N170" s="390"/>
      <c r="O170" s="390"/>
    </row>
    <row r="171" spans="1:15" ht="15.75" x14ac:dyDescent="0.3">
      <c r="A171" s="503"/>
      <c r="B171" s="495"/>
      <c r="C171" s="495"/>
      <c r="D171" s="546" t="s">
        <v>300</v>
      </c>
      <c r="E171" s="702">
        <f>E23*C47*C56*C67*C103*C115</f>
        <v>40687.990364447454</v>
      </c>
      <c r="F171" s="495" t="s">
        <v>1030</v>
      </c>
      <c r="G171" s="495"/>
      <c r="H171" s="495"/>
      <c r="I171" s="495"/>
      <c r="J171" s="495"/>
      <c r="K171" s="495"/>
      <c r="L171" s="616"/>
      <c r="M171" s="379"/>
      <c r="N171" s="390"/>
      <c r="O171" s="390"/>
    </row>
    <row r="172" spans="1:15" ht="15.75" x14ac:dyDescent="0.3">
      <c r="A172" s="503"/>
      <c r="B172" s="495"/>
      <c r="C172" s="495"/>
      <c r="D172" s="546" t="s">
        <v>299</v>
      </c>
      <c r="E172" s="615">
        <f>E171/E23</f>
        <v>0.53126616302000251</v>
      </c>
      <c r="F172" s="495" t="s">
        <v>656</v>
      </c>
      <c r="G172" s="495"/>
      <c r="H172" s="495"/>
      <c r="I172" s="544"/>
      <c r="J172" s="495"/>
      <c r="K172" s="495"/>
      <c r="L172" s="616"/>
      <c r="M172" s="379"/>
      <c r="N172" s="390"/>
      <c r="O172" s="390"/>
    </row>
    <row r="173" spans="1:15" x14ac:dyDescent="0.2">
      <c r="A173" s="503"/>
      <c r="B173" s="495"/>
      <c r="C173" s="495"/>
      <c r="D173" s="495"/>
      <c r="E173" s="495"/>
      <c r="F173" s="617"/>
      <c r="G173" s="617"/>
      <c r="H173" s="495"/>
      <c r="I173" s="544"/>
      <c r="J173" s="495"/>
      <c r="K173" s="495"/>
      <c r="L173" s="616"/>
      <c r="M173" s="379"/>
      <c r="N173" s="390"/>
      <c r="O173" s="390"/>
    </row>
    <row r="174" spans="1:15" x14ac:dyDescent="0.2">
      <c r="A174" s="503"/>
      <c r="B174" s="495"/>
      <c r="C174" s="495"/>
      <c r="D174" s="495"/>
      <c r="E174" s="495"/>
      <c r="F174" s="617"/>
      <c r="G174" s="617"/>
      <c r="H174" s="495"/>
      <c r="I174" s="495"/>
      <c r="J174" s="495"/>
      <c r="K174" s="495"/>
      <c r="L174" s="616"/>
      <c r="M174" s="379"/>
      <c r="N174" s="390"/>
      <c r="O174" s="390"/>
    </row>
    <row r="175" spans="1:15" ht="14.25" x14ac:dyDescent="0.25">
      <c r="A175" s="618"/>
      <c r="B175" s="619"/>
      <c r="C175" s="619"/>
      <c r="D175" s="619"/>
      <c r="E175" s="620" t="s">
        <v>1059</v>
      </c>
      <c r="F175" s="621"/>
      <c r="G175" s="621"/>
      <c r="H175" s="622"/>
      <c r="I175" s="622"/>
      <c r="J175" s="620" t="s">
        <v>885</v>
      </c>
      <c r="K175" s="622"/>
      <c r="L175" s="623">
        <f>L43+L52+L62+L90+L111+L123+L140-L154-L160-L166</f>
        <v>116.39268090590119</v>
      </c>
      <c r="M175" s="379"/>
      <c r="N175" s="390"/>
      <c r="O175" s="390"/>
    </row>
    <row r="176" spans="1:15" ht="14.25" x14ac:dyDescent="0.25">
      <c r="A176" s="624"/>
      <c r="B176" s="625"/>
      <c r="C176" s="626"/>
      <c r="D176" s="619"/>
      <c r="E176" s="620" t="s">
        <v>1060</v>
      </c>
      <c r="F176" s="622"/>
      <c r="G176" s="622"/>
      <c r="H176" s="622"/>
      <c r="I176" s="622"/>
      <c r="J176" s="620" t="s">
        <v>885</v>
      </c>
      <c r="K176" s="622"/>
      <c r="L176" s="627">
        <f>L99+L111+L123+(L135*J6)+L138-L154-L160-L166</f>
        <v>69.890818520083712</v>
      </c>
      <c r="M176" s="379"/>
      <c r="N176" s="390"/>
      <c r="O176" s="390"/>
    </row>
    <row r="177" spans="1:15" x14ac:dyDescent="0.2">
      <c r="A177" s="618"/>
      <c r="B177" s="619"/>
      <c r="C177" s="619"/>
      <c r="D177" s="619"/>
      <c r="E177" s="622"/>
      <c r="F177" s="622"/>
      <c r="G177" s="622"/>
      <c r="H177" s="622"/>
      <c r="I177" s="622"/>
      <c r="J177" s="622"/>
      <c r="K177" s="622"/>
      <c r="L177" s="628"/>
      <c r="M177" s="379"/>
      <c r="N177" s="390"/>
      <c r="O177" s="390"/>
    </row>
    <row r="178" spans="1:15" x14ac:dyDescent="0.2">
      <c r="A178" s="629"/>
      <c r="B178" s="630"/>
      <c r="C178" s="630"/>
      <c r="D178" s="630"/>
      <c r="E178" s="631" t="s">
        <v>1061</v>
      </c>
      <c r="F178" s="632"/>
      <c r="G178" s="632"/>
      <c r="H178" s="632"/>
      <c r="I178" s="632"/>
      <c r="J178" s="632"/>
      <c r="K178" s="632"/>
      <c r="L178" s="633">
        <f>(83.8-L176)/83.8</f>
        <v>0.16598068591785542</v>
      </c>
      <c r="M178" s="379"/>
      <c r="N178" s="390"/>
      <c r="O178" s="390"/>
    </row>
    <row r="179" spans="1:15" x14ac:dyDescent="0.2">
      <c r="M179" s="361"/>
    </row>
    <row r="180" spans="1:15" x14ac:dyDescent="0.2">
      <c r="E180" s="634"/>
      <c r="F180" s="634"/>
      <c r="G180" s="634"/>
      <c r="H180" s="635"/>
      <c r="I180" s="634"/>
      <c r="J180" s="634"/>
      <c r="K180" s="634"/>
      <c r="L180" s="636"/>
      <c r="M180" s="361"/>
    </row>
    <row r="181" spans="1:15" x14ac:dyDescent="0.2">
      <c r="F181" s="634"/>
      <c r="G181" s="634"/>
      <c r="H181" s="634"/>
      <c r="I181" s="637"/>
      <c r="J181" s="634"/>
      <c r="K181" s="634"/>
      <c r="L181" s="638"/>
      <c r="M181" s="639"/>
      <c r="N181" s="361"/>
    </row>
    <row r="182" spans="1:15" x14ac:dyDescent="0.2">
      <c r="F182" s="634"/>
      <c r="G182" s="634"/>
      <c r="H182" s="634"/>
      <c r="I182" s="637"/>
      <c r="J182" s="634"/>
      <c r="K182" s="634"/>
      <c r="L182" s="638"/>
      <c r="M182" s="639"/>
      <c r="N182" s="361"/>
    </row>
    <row r="183" spans="1:15" ht="15.75" x14ac:dyDescent="0.25">
      <c r="F183" s="640"/>
      <c r="G183" s="640"/>
      <c r="H183" s="634"/>
      <c r="I183" s="634"/>
      <c r="J183" s="634"/>
      <c r="K183" s="634"/>
      <c r="L183" s="634"/>
      <c r="M183" s="634"/>
      <c r="N183" s="361"/>
    </row>
    <row r="184" spans="1:15" x14ac:dyDescent="0.2">
      <c r="F184" s="634"/>
      <c r="G184" s="634"/>
      <c r="H184" s="637"/>
      <c r="I184" s="634"/>
      <c r="J184" s="634"/>
      <c r="K184" s="634"/>
      <c r="L184" s="634"/>
      <c r="M184" s="634"/>
      <c r="N184" s="634"/>
    </row>
    <row r="185" spans="1:15" x14ac:dyDescent="0.2">
      <c r="F185" s="637"/>
      <c r="G185" s="637"/>
      <c r="H185" s="634"/>
      <c r="I185" s="641"/>
      <c r="J185" s="634"/>
      <c r="K185" s="634"/>
      <c r="L185" s="634"/>
      <c r="M185" s="634"/>
      <c r="N185" s="634"/>
    </row>
    <row r="186" spans="1:15" x14ac:dyDescent="0.2">
      <c r="F186" s="637"/>
      <c r="G186" s="637"/>
      <c r="H186" s="634"/>
      <c r="I186" s="641"/>
      <c r="J186" s="634"/>
      <c r="K186" s="634"/>
      <c r="L186" s="634"/>
      <c r="M186" s="634"/>
      <c r="N186" s="634"/>
    </row>
    <row r="187" spans="1:15" x14ac:dyDescent="0.2">
      <c r="F187" s="634"/>
      <c r="G187" s="634"/>
      <c r="H187" s="639"/>
      <c r="I187" s="634"/>
      <c r="J187" s="634"/>
      <c r="K187" s="634"/>
      <c r="L187" s="634"/>
      <c r="M187" s="634"/>
      <c r="N187" s="634"/>
    </row>
    <row r="188" spans="1:15" x14ac:dyDescent="0.2">
      <c r="F188" s="634"/>
      <c r="G188" s="634"/>
      <c r="H188" s="634"/>
      <c r="I188" s="634"/>
      <c r="J188" s="634"/>
      <c r="K188" s="634"/>
      <c r="L188" s="634"/>
      <c r="M188" s="634"/>
      <c r="N188" s="634"/>
    </row>
    <row r="189" spans="1:15" x14ac:dyDescent="0.2">
      <c r="F189" s="634"/>
      <c r="G189" s="634"/>
      <c r="H189" s="634"/>
      <c r="I189" s="634"/>
      <c r="J189" s="634"/>
      <c r="K189" s="634"/>
      <c r="L189" s="634"/>
      <c r="M189" s="634"/>
      <c r="N189" s="634"/>
    </row>
    <row r="190" spans="1:15" x14ac:dyDescent="0.2">
      <c r="F190" s="634"/>
      <c r="G190" s="634"/>
      <c r="H190" s="634"/>
      <c r="I190" s="634"/>
      <c r="J190" s="634"/>
      <c r="K190" s="634"/>
      <c r="L190" s="634"/>
      <c r="M190" s="634"/>
      <c r="N190" s="634"/>
    </row>
    <row r="191" spans="1:15" x14ac:dyDescent="0.2">
      <c r="F191" s="634"/>
      <c r="G191" s="634"/>
      <c r="H191" s="634"/>
      <c r="I191" s="634"/>
      <c r="J191" s="634"/>
      <c r="K191" s="634"/>
      <c r="L191" s="634"/>
      <c r="M191" s="634"/>
      <c r="N191" s="634"/>
    </row>
    <row r="192" spans="1:15" x14ac:dyDescent="0.2">
      <c r="F192" s="634"/>
      <c r="G192" s="634"/>
      <c r="H192" s="634"/>
      <c r="I192" s="634"/>
      <c r="J192" s="634"/>
      <c r="K192" s="634"/>
      <c r="L192" s="634"/>
      <c r="M192" s="634"/>
      <c r="N192" s="634"/>
    </row>
    <row r="193" spans="6:14" x14ac:dyDescent="0.2">
      <c r="F193" s="634"/>
      <c r="G193" s="634"/>
      <c r="H193" s="634"/>
      <c r="I193" s="634"/>
      <c r="J193" s="634"/>
      <c r="K193" s="634"/>
      <c r="L193" s="634"/>
      <c r="M193" s="634"/>
      <c r="N193" s="634"/>
    </row>
    <row r="194" spans="6:14" x14ac:dyDescent="0.2">
      <c r="F194" s="634"/>
      <c r="G194" s="634"/>
      <c r="H194" s="634"/>
      <c r="I194" s="634"/>
      <c r="J194" s="634"/>
      <c r="K194" s="634"/>
      <c r="L194" s="634"/>
      <c r="M194" s="634"/>
      <c r="N194" s="634"/>
    </row>
    <row r="195" spans="6:14" x14ac:dyDescent="0.2">
      <c r="F195" s="634"/>
      <c r="G195" s="634"/>
      <c r="H195" s="634"/>
      <c r="I195" s="634"/>
      <c r="J195" s="634"/>
      <c r="K195" s="634"/>
      <c r="L195" s="634"/>
      <c r="M195" s="634"/>
      <c r="N195" s="634"/>
    </row>
    <row r="196" spans="6:14" x14ac:dyDescent="0.2">
      <c r="F196" s="634"/>
      <c r="G196" s="634"/>
      <c r="H196" s="634"/>
      <c r="I196" s="634"/>
      <c r="J196" s="634"/>
      <c r="K196" s="634"/>
      <c r="L196" s="634"/>
      <c r="M196" s="634"/>
      <c r="N196" s="634"/>
    </row>
    <row r="197" spans="6:14" x14ac:dyDescent="0.2">
      <c r="F197" s="634"/>
      <c r="G197" s="634"/>
      <c r="H197" s="634"/>
      <c r="I197" s="634"/>
      <c r="J197" s="634"/>
      <c r="K197" s="634"/>
      <c r="L197" s="634"/>
      <c r="M197" s="634"/>
      <c r="N197" s="634"/>
    </row>
    <row r="198" spans="6:14" x14ac:dyDescent="0.2">
      <c r="F198" s="634"/>
      <c r="G198" s="634"/>
      <c r="H198" s="634"/>
      <c r="I198" s="634"/>
      <c r="J198" s="634"/>
      <c r="K198" s="634"/>
      <c r="L198" s="634"/>
      <c r="M198" s="634"/>
      <c r="N198" s="634"/>
    </row>
    <row r="199" spans="6:14" x14ac:dyDescent="0.2">
      <c r="F199" s="634"/>
      <c r="G199" s="634"/>
      <c r="H199" s="634"/>
      <c r="I199" s="634"/>
      <c r="J199" s="634"/>
      <c r="K199" s="634"/>
      <c r="L199" s="634"/>
      <c r="M199" s="634"/>
      <c r="N199" s="634"/>
    </row>
  </sheetData>
  <sheetProtection insertColumns="0" insertRows="0" deleteColumns="0" deleteRows="0"/>
  <customSheetViews>
    <customSheetView guid="{AD88818B-9F97-4B1E-9426-0DECE603685E}" scale="80" showGridLines="0" fitToPage="1" showRuler="0">
      <pane ySplit="19" topLeftCell="A20" activePane="bottomLeft" state="frozen"/>
      <selection pane="bottomLeft" activeCell="E3" sqref="E3"/>
      <pageMargins left="0.75" right="0.75" top="1" bottom="1" header="0.5" footer="0.5"/>
      <pageSetup paperSize="8" fitToHeight="0" orientation="landscape"/>
      <headerFooter alignWithMargins="0">
        <oddFooter>&amp;L&amp;8&amp;F&amp;C&amp;8&amp;A&amp;R&amp;8page&amp;P</oddFooter>
      </headerFooter>
    </customSheetView>
    <customSheetView guid="{7EB5D807-CE20-46E2-AEE6-2C193E010EA4}" scale="80" showGridLines="0" fitToPage="1" showRuler="0">
      <pane ySplit="19" topLeftCell="A20" activePane="bottomLeft" state="frozen"/>
      <selection pane="bottomLeft" activeCell="E3" sqref="E3"/>
      <pageMargins left="0.75" right="0.75" top="1" bottom="1" header="0.5" footer="0.5"/>
      <pageSetup paperSize="8" fitToHeight="0" orientation="landscape"/>
      <headerFooter alignWithMargins="0">
        <oddFooter>&amp;L&amp;8&amp;F&amp;C&amp;8&amp;A&amp;R&amp;8page&amp;P</oddFooter>
      </headerFooter>
    </customSheetView>
  </customSheetViews>
  <mergeCells count="6">
    <mergeCell ref="F145:L146"/>
    <mergeCell ref="F147:L148"/>
    <mergeCell ref="H11:H12"/>
    <mergeCell ref="O11:O12"/>
    <mergeCell ref="F128:L129"/>
    <mergeCell ref="F130:L131"/>
  </mergeCells>
  <phoneticPr fontId="0" type="noConversion"/>
  <conditionalFormatting sqref="O9:O19">
    <cfRule type="cellIs" dxfId="126" priority="1" stopIfTrue="1" operator="notBetween">
      <formula>-0.05</formula>
      <formula>0.05</formula>
    </cfRule>
  </conditionalFormatting>
  <conditionalFormatting sqref="A7:G7">
    <cfRule type="expression" dxfId="125" priority="3" stopIfTrue="1">
      <formula>($E7&lt;&gt;"")</formula>
    </cfRule>
  </conditionalFormatting>
  <conditionalFormatting sqref="E15">
    <cfRule type="expression" dxfId="124" priority="4" stopIfTrue="1">
      <formula>($E15="Combined result of previous calculation")</formula>
    </cfRule>
  </conditionalFormatting>
  <conditionalFormatting sqref="A15:D15 F15:G15">
    <cfRule type="expression" dxfId="123" priority="5" stopIfTrue="1">
      <formula>($E15="Combined result of previous calculation")</formula>
    </cfRule>
  </conditionalFormatting>
  <conditionalFormatting sqref="A11:G12">
    <cfRule type="expression" dxfId="122" priority="6" stopIfTrue="1">
      <formula>($E11&lt;&gt;"")</formula>
    </cfRule>
  </conditionalFormatting>
  <conditionalFormatting sqref="A16:D16 F16:G16">
    <cfRule type="expression" dxfId="121" priority="7" stopIfTrue="1">
      <formula>($E16="Esca included in combined result of previous calculation")</formula>
    </cfRule>
  </conditionalFormatting>
  <conditionalFormatting sqref="E16">
    <cfRule type="expression" dxfId="120" priority="8" stopIfTrue="1">
      <formula>($E16="Esca included in combined result of previous calculation")</formula>
    </cfRule>
  </conditionalFormatting>
  <dataValidations count="8">
    <dataValidation type="list" allowBlank="1" showInputMessage="1" showErrorMessage="1" sqref="F10 F8 F6" xr:uid="{00000000-0002-0000-0A00-000000000000}">
      <formula1>"A,D"</formula1>
    </dataValidation>
    <dataValidation type="list" showDropDown="1" showInputMessage="1" showErrorMessage="1" errorTitle="Wrong input" error="Only values &quot;0&quot; and &quot;29&quot; are allowed_x000a_" sqref="C137" xr:uid="{00000000-0002-0000-0A00-000001000000}">
      <formula1>"0,29"</formula1>
    </dataValidation>
    <dataValidation allowBlank="1" showInputMessage="1" showErrorMessage="1" promptTitle="Input value for manure" prompt="Use of manure will not lead to direct GHG emissions as the emission coeffient is 0 g CO2,eq/MJ._x000a_Use of manure will indirectly lead to GHG emissions. When using actual inputs, field N2O emissions must be calculated which increase due to use of manure." sqref="C32" xr:uid="{00000000-0002-0000-0A00-000002000000}"/>
    <dataValidation type="list" allowBlank="1" showInputMessage="1" showErrorMessage="1" sqref="E7 E11:E12" xr:uid="{00000000-0002-0000-0A00-000003000000}">
      <formula1>"- ,Individual result of previous calculation, Combined result of previous calculation"</formula1>
    </dataValidation>
    <dataValidation type="list" allowBlank="1" showInputMessage="1" showErrorMessage="1" sqref="E15" xr:uid="{00000000-0002-0000-0A00-000004000000}">
      <formula1>"- , Combined result of previous calculation"</formula1>
    </dataValidation>
    <dataValidation type="list" allowBlank="1" showInputMessage="1" showErrorMessage="1" sqref="E16" xr:uid="{00000000-0002-0000-0A00-000005000000}">
      <formula1>"- , Esca included in combined result of previous calculation"</formula1>
    </dataValidation>
    <dataValidation allowBlank="1" showInputMessage="1" showErrorMessage="1" promptTitle="Please note !" prompt="When changing the value in this cell, you must indicate in column E under &quot;overview results&quot; that you have used the result of a previous calculation. Please refer to paragraph 4.2 of the user manual for further instructions and examples." sqref="N41 N50 N59" xr:uid="{00000000-0002-0000-0A00-000006000000}"/>
    <dataValidation allowBlank="1" showInputMessage="1" showErrorMessage="1" promptTitle="Electricity mix" sqref="B122 B110 B50" xr:uid="{00000000-0002-0000-0A00-000007000000}"/>
  </dataValidations>
  <hyperlinks>
    <hyperlink ref="C148" location="Esca!A1" display="Esca!A1" xr:uid="{00000000-0004-0000-0A00-000000000000}"/>
    <hyperlink ref="C131" location="LUC!A1" display="LUC!A1" xr:uid="{00000000-0004-0000-0A00-000001000000}"/>
    <hyperlink ref="C42" location="'N2O emissions IPCC '!A1" display="N2O emissions IPCC" xr:uid="{00000000-0004-0000-0A00-000002000000}"/>
  </hyperlinks>
  <pageMargins left="0.75" right="0.75" top="1" bottom="1" header="0.5" footer="0.5"/>
  <pageSetup paperSize="8" fitToHeight="0" orientation="landscape"/>
  <headerFooter alignWithMargins="0">
    <oddFooter>&amp;L&amp;8&amp;F&amp;C&amp;8&amp;A&amp;R&amp;8page&amp;P</oddFooter>
  </headerFooter>
  <drawing r:id="rId1"/>
  <legacyDrawing r:id="rId2"/>
  <controls>
    <mc:AlternateContent xmlns:mc="http://schemas.openxmlformats.org/markup-compatibility/2006">
      <mc:Choice Requires="x14">
        <control shapeId="22533" r:id="rId3" name="CheckBox2">
          <controlPr autoLine="0" autoPict="0" linkedCell="About!N86" r:id="rId4">
            <anchor moveWithCells="1">
              <from>
                <xdr:col>9</xdr:col>
                <xdr:colOff>38100</xdr:colOff>
                <xdr:row>14</xdr:row>
                <xdr:rowOff>47625</xdr:rowOff>
              </from>
              <to>
                <xdr:col>13</xdr:col>
                <xdr:colOff>885825</xdr:colOff>
                <xdr:row>16</xdr:row>
                <xdr:rowOff>85725</xdr:rowOff>
              </to>
            </anchor>
          </controlPr>
        </control>
      </mc:Choice>
      <mc:Fallback>
        <control shapeId="22533" r:id="rId3" name="CheckBox2"/>
      </mc:Fallback>
    </mc:AlternateContent>
    <mc:AlternateContent xmlns:mc="http://schemas.openxmlformats.org/markup-compatibility/2006">
      <mc:Choice Requires="x14">
        <control shapeId="22534" r:id="rId5" name="CheckBox1">
          <controlPr autoLine="0" autoPict="0" linkedCell="About!N88" r:id="rId6">
            <anchor moveWithCells="1">
              <from>
                <xdr:col>9</xdr:col>
                <xdr:colOff>38100</xdr:colOff>
                <xdr:row>12</xdr:row>
                <xdr:rowOff>0</xdr:rowOff>
              </from>
              <to>
                <xdr:col>13</xdr:col>
                <xdr:colOff>866775</xdr:colOff>
                <xdr:row>14</xdr:row>
                <xdr:rowOff>171450</xdr:rowOff>
              </to>
            </anchor>
          </controlPr>
        </control>
      </mc:Choice>
      <mc:Fallback>
        <control shapeId="22534" r:id="rId5" name="CheckBox1"/>
      </mc:Fallback>
    </mc:AlternateContent>
    <mc:AlternateContent xmlns:mc="http://schemas.openxmlformats.org/markup-compatibility/2006">
      <mc:Choice Requires="x14">
        <control shapeId="22601" r:id="rId7" name="ComboBox2">
          <controlPr locked="0" defaultSize="0" autoLine="0" autoPict="0" linkedCell="D147" listFillRange="D145:D146" r:id="rId8">
            <anchor moveWithCells="1">
              <from>
                <xdr:col>2</xdr:col>
                <xdr:colOff>38100</xdr:colOff>
                <xdr:row>145</xdr:row>
                <xdr:rowOff>0</xdr:rowOff>
              </from>
              <to>
                <xdr:col>3</xdr:col>
                <xdr:colOff>47625</xdr:colOff>
                <xdr:row>146</xdr:row>
                <xdr:rowOff>9525</xdr:rowOff>
              </to>
            </anchor>
          </controlPr>
        </control>
      </mc:Choice>
      <mc:Fallback>
        <control shapeId="22601" r:id="rId7" name="ComboBox2"/>
      </mc:Fallback>
    </mc:AlternateContent>
    <mc:AlternateContent xmlns:mc="http://schemas.openxmlformats.org/markup-compatibility/2006">
      <mc:Choice Requires="x14">
        <control shapeId="22672" r:id="rId9" name="ComboBox1">
          <controlPr locked="0" defaultSize="0" autoLine="0" linkedCell="D130" listFillRange="D128:D129" r:id="rId10">
            <anchor moveWithCells="1">
              <from>
                <xdr:col>2</xdr:col>
                <xdr:colOff>0</xdr:colOff>
                <xdr:row>128</xdr:row>
                <xdr:rowOff>0</xdr:rowOff>
              </from>
              <to>
                <xdr:col>3</xdr:col>
                <xdr:colOff>38100</xdr:colOff>
                <xdr:row>129</xdr:row>
                <xdr:rowOff>9525</xdr:rowOff>
              </to>
            </anchor>
          </controlPr>
        </control>
      </mc:Choice>
      <mc:Fallback>
        <control shapeId="22672" r:id="rId9" name="ComboBox1"/>
      </mc:Fallback>
    </mc:AlternateContent>
    <mc:AlternateContent xmlns:mc="http://schemas.openxmlformats.org/markup-compatibility/2006">
      <mc:Choice Requires="x14">
        <control shapeId="23220" r:id="rId11" name="cmdTrackChanges">
          <controlPr defaultSize="0" autoLine="0" r:id="rId12">
            <anchor moveWithCells="1">
              <from>
                <xdr:col>1</xdr:col>
                <xdr:colOff>1390650</xdr:colOff>
                <xdr:row>18</xdr:row>
                <xdr:rowOff>104775</xdr:rowOff>
              </from>
              <to>
                <xdr:col>3</xdr:col>
                <xdr:colOff>561975</xdr:colOff>
                <xdr:row>19</xdr:row>
                <xdr:rowOff>228600</xdr:rowOff>
              </to>
            </anchor>
          </controlPr>
        </control>
      </mc:Choice>
      <mc:Fallback>
        <control shapeId="23220" r:id="rId11" name="cmdTrackChanges"/>
      </mc:Fallback>
    </mc:AlternateContent>
    <mc:AlternateContent xmlns:mc="http://schemas.openxmlformats.org/markup-compatibility/2006">
      <mc:Choice Requires="x14">
        <control shapeId="23292" r:id="rId13" name="Label 764">
          <controlPr defaultSize="0" autoFill="0" autoLine="0" autoPict="0" macro="[0]!GoToAbout">
            <anchor moveWithCells="1" sizeWithCells="1">
              <from>
                <xdr:col>10</xdr:col>
                <xdr:colOff>438150</xdr:colOff>
                <xdr:row>0</xdr:row>
                <xdr:rowOff>800100</xdr:rowOff>
              </from>
              <to>
                <xdr:col>12</xdr:col>
                <xdr:colOff>85725</xdr:colOff>
                <xdr:row>1</xdr:row>
                <xdr:rowOff>0</xdr:rowOff>
              </to>
            </anchor>
          </controlPr>
        </control>
      </mc:Choice>
    </mc:AlternateContent>
    <mc:AlternateContent xmlns:mc="http://schemas.openxmlformats.org/markup-compatibility/2006">
      <mc:Choice Requires="x14">
        <control shapeId="23293" r:id="rId14" name="Label 765">
          <controlPr defaultSize="0" autoFill="0" autoLine="0" autoPict="0" macro="[0]!GoToDirectory">
            <anchor moveWithCells="1" sizeWithCells="1">
              <from>
                <xdr:col>12</xdr:col>
                <xdr:colOff>152400</xdr:colOff>
                <xdr:row>0</xdr:row>
                <xdr:rowOff>800100</xdr:rowOff>
              </from>
              <to>
                <xdr:col>13</xdr:col>
                <xdr:colOff>981075</xdr:colOff>
                <xdr:row>1</xdr:row>
                <xdr:rowOff>0</xdr:rowOff>
              </to>
            </anchor>
          </controlPr>
        </control>
      </mc:Choice>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E3">
    <pageSetUpPr fitToPage="1"/>
  </sheetPr>
  <dimension ref="A1:O199"/>
  <sheetViews>
    <sheetView showGridLines="0" zoomScale="80" workbookViewId="0">
      <selection activeCell="A2" sqref="A2"/>
    </sheetView>
  </sheetViews>
  <sheetFormatPr baseColWidth="10" defaultColWidth="8.85546875" defaultRowHeight="12.75" x14ac:dyDescent="0.2"/>
  <cols>
    <col min="1" max="1" width="22.5703125" style="360" customWidth="1"/>
    <col min="2" max="2" width="25.85546875" style="360" customWidth="1"/>
    <col min="3" max="3" width="9.7109375" style="360" customWidth="1"/>
    <col min="4" max="4" width="20.140625" style="360" customWidth="1"/>
    <col min="5" max="5" width="14.85546875" style="360" customWidth="1"/>
    <col min="6" max="6" width="8.5703125" style="360" customWidth="1"/>
    <col min="7" max="7" width="2.85546875" style="360" customWidth="1"/>
    <col min="8" max="8" width="19.5703125" style="360" customWidth="1"/>
    <col min="9" max="12" width="9.140625" style="360" customWidth="1"/>
    <col min="13" max="13" width="2.5703125" style="360" customWidth="1"/>
    <col min="14" max="14" width="16.7109375" style="360" customWidth="1"/>
    <col min="15" max="15" width="13.7109375" style="360" customWidth="1"/>
    <col min="16" max="16384" width="8.85546875" style="361"/>
  </cols>
  <sheetData>
    <row r="1" spans="1:15" ht="102" customHeight="1" x14ac:dyDescent="0.2"/>
    <row r="2" spans="1:15" ht="27.75" customHeight="1" x14ac:dyDescent="0.25">
      <c r="A2" s="362" t="s">
        <v>946</v>
      </c>
      <c r="B2" s="363"/>
      <c r="C2" s="364"/>
      <c r="D2" s="364"/>
      <c r="E2" s="364"/>
      <c r="F2" s="365"/>
      <c r="G2" s="365"/>
      <c r="H2" s="366"/>
      <c r="I2" s="367"/>
      <c r="J2" s="368"/>
      <c r="K2" s="369"/>
      <c r="L2" s="370"/>
      <c r="M2" s="367"/>
      <c r="N2" s="367"/>
      <c r="O2" s="371" t="str">
        <f>About!D2</f>
        <v>Version 4d for Testing</v>
      </c>
    </row>
    <row r="3" spans="1:15" ht="27.75" customHeight="1" x14ac:dyDescent="0.25">
      <c r="A3" s="372" t="s">
        <v>1050</v>
      </c>
      <c r="B3" s="373"/>
      <c r="C3" s="374"/>
      <c r="D3" s="374"/>
      <c r="E3" s="373"/>
      <c r="F3" s="373"/>
      <c r="G3" s="373"/>
      <c r="H3" s="375"/>
      <c r="I3" s="376"/>
      <c r="J3" s="377"/>
      <c r="K3" s="378"/>
      <c r="L3" s="377"/>
      <c r="M3" s="377"/>
      <c r="N3" s="379"/>
      <c r="O3" s="378"/>
    </row>
    <row r="4" spans="1:15" ht="16.5" customHeight="1" x14ac:dyDescent="0.25">
      <c r="A4" s="380" t="s">
        <v>861</v>
      </c>
      <c r="B4" s="381" t="s">
        <v>854</v>
      </c>
      <c r="C4" s="381" t="s">
        <v>1057</v>
      </c>
      <c r="D4" s="381" t="s">
        <v>852</v>
      </c>
      <c r="E4" s="382" t="s">
        <v>1047</v>
      </c>
      <c r="F4" s="383" t="s">
        <v>1125</v>
      </c>
      <c r="G4" s="384"/>
      <c r="H4" s="385" t="s">
        <v>869</v>
      </c>
      <c r="I4" s="386"/>
      <c r="J4" s="387" t="s">
        <v>1063</v>
      </c>
      <c r="K4" s="388"/>
      <c r="L4" s="389"/>
      <c r="M4" s="390"/>
      <c r="N4" s="387" t="s">
        <v>391</v>
      </c>
      <c r="O4" s="391"/>
    </row>
    <row r="5" spans="1:15" ht="16.5" customHeight="1" x14ac:dyDescent="0.25">
      <c r="A5" s="392" t="s">
        <v>863</v>
      </c>
      <c r="B5" s="393" t="s">
        <v>853</v>
      </c>
      <c r="C5" s="393" t="s">
        <v>1062</v>
      </c>
      <c r="D5" s="393" t="s">
        <v>853</v>
      </c>
      <c r="E5" s="394"/>
      <c r="F5" s="395" t="s">
        <v>1126</v>
      </c>
      <c r="G5" s="396"/>
      <c r="H5" s="397" t="s">
        <v>866</v>
      </c>
      <c r="I5" s="390"/>
      <c r="J5" s="398" t="str">
        <f>A65</f>
        <v>Ethanol plant</v>
      </c>
      <c r="K5" s="399"/>
      <c r="L5" s="400"/>
      <c r="M5" s="390"/>
      <c r="N5" s="398" t="s">
        <v>392</v>
      </c>
      <c r="O5" s="400"/>
    </row>
    <row r="6" spans="1:15" ht="16.5" customHeight="1" x14ac:dyDescent="0.35">
      <c r="A6" s="401" t="s">
        <v>170</v>
      </c>
      <c r="B6" s="402"/>
      <c r="C6" s="403"/>
      <c r="D6" s="404"/>
      <c r="E6" s="405">
        <f>IF(F6="A",D7,H6)</f>
        <v>23.428245342469936</v>
      </c>
      <c r="F6" s="406" t="s">
        <v>1127</v>
      </c>
      <c r="G6" s="407"/>
      <c r="H6" s="408">
        <v>23</v>
      </c>
      <c r="I6" s="390"/>
      <c r="J6" s="409">
        <f>F96/F98</f>
        <v>0.59511653718091007</v>
      </c>
      <c r="K6" s="410" t="s">
        <v>1032</v>
      </c>
      <c r="L6" s="411"/>
      <c r="M6" s="390"/>
      <c r="N6" s="412">
        <v>83.8</v>
      </c>
      <c r="O6" s="413" t="s">
        <v>394</v>
      </c>
    </row>
    <row r="7" spans="1:15" ht="12" customHeight="1" x14ac:dyDescent="0.2">
      <c r="A7" s="398" t="str">
        <f>A21</f>
        <v>Cultivation of wheat</v>
      </c>
      <c r="B7" s="414">
        <f>L43</f>
        <v>39.367491707507298</v>
      </c>
      <c r="C7" s="415">
        <f>J6</f>
        <v>0.59511653718091007</v>
      </c>
      <c r="D7" s="416">
        <f>C7*B7</f>
        <v>23.428245342469936</v>
      </c>
      <c r="E7" s="1215"/>
      <c r="F7" s="418"/>
      <c r="G7" s="418"/>
      <c r="H7" s="419">
        <f>23.43</f>
        <v>23.43</v>
      </c>
      <c r="I7" s="390"/>
      <c r="J7" s="420">
        <f>1-J6</f>
        <v>0.40488346281908993</v>
      </c>
      <c r="K7" s="421" t="s">
        <v>1033</v>
      </c>
      <c r="L7" s="422"/>
      <c r="M7" s="390"/>
      <c r="N7" s="398" t="s">
        <v>393</v>
      </c>
      <c r="O7" s="400"/>
    </row>
    <row r="8" spans="1:15" ht="16.5" customHeight="1" x14ac:dyDescent="0.35">
      <c r="A8" s="401" t="s">
        <v>544</v>
      </c>
      <c r="B8" s="423"/>
      <c r="C8" s="423"/>
      <c r="D8" s="424"/>
      <c r="E8" s="425">
        <f>IF(F8="A",D9,H8)</f>
        <v>44.554379885147981</v>
      </c>
      <c r="F8" s="406" t="s">
        <v>1127</v>
      </c>
      <c r="G8" s="407"/>
      <c r="H8" s="408">
        <v>45</v>
      </c>
      <c r="I8" s="390"/>
      <c r="J8" s="390"/>
      <c r="K8" s="390"/>
      <c r="L8" s="390"/>
      <c r="M8" s="390"/>
      <c r="N8" s="426">
        <f>(N6-E18)/N6</f>
        <v>0.16598068591785561</v>
      </c>
      <c r="O8" s="427"/>
    </row>
    <row r="9" spans="1:15" ht="12" customHeight="1" x14ac:dyDescent="0.2">
      <c r="A9" s="398" t="str">
        <f>A65</f>
        <v>Ethanol plant</v>
      </c>
      <c r="B9" s="414">
        <f>L90</f>
        <v>74.866647289291933</v>
      </c>
      <c r="C9" s="415">
        <f>J6</f>
        <v>0.59511653718091007</v>
      </c>
      <c r="D9" s="416">
        <f>C9*B9</f>
        <v>44.554379885147981</v>
      </c>
      <c r="E9" s="417"/>
      <c r="F9" s="418"/>
      <c r="G9" s="418"/>
      <c r="H9" s="419">
        <f>1.4*31.87</f>
        <v>44.618000000000002</v>
      </c>
      <c r="I9" s="390"/>
      <c r="J9" s="390"/>
      <c r="K9" s="390"/>
      <c r="L9" s="390"/>
      <c r="M9" s="390"/>
      <c r="N9" s="390"/>
      <c r="O9" s="428"/>
    </row>
    <row r="10" spans="1:15" ht="16.5" customHeight="1" x14ac:dyDescent="0.35">
      <c r="A10" s="401" t="s">
        <v>545</v>
      </c>
      <c r="B10" s="423"/>
      <c r="C10" s="423"/>
      <c r="D10" s="424"/>
      <c r="E10" s="425">
        <f>IF(F10="A",D11+D12+D13+D14, H10)</f>
        <v>1.908193292465783</v>
      </c>
      <c r="F10" s="406" t="s">
        <v>1127</v>
      </c>
      <c r="G10" s="407"/>
      <c r="H10" s="408">
        <v>2</v>
      </c>
      <c r="I10" s="390"/>
      <c r="J10" s="390"/>
      <c r="K10" s="390"/>
      <c r="L10" s="390"/>
      <c r="M10" s="390"/>
      <c r="N10" s="390"/>
      <c r="O10" s="430"/>
    </row>
    <row r="11" spans="1:15" ht="12" customHeight="1" thickBot="1" x14ac:dyDescent="0.25">
      <c r="A11" s="398" t="str">
        <f>A46</f>
        <v xml:space="preserve">Handling &amp; storage </v>
      </c>
      <c r="B11" s="414">
        <f>L52</f>
        <v>9.7721115771996853E-2</v>
      </c>
      <c r="C11" s="415">
        <f>J6</f>
        <v>0.59511653718091007</v>
      </c>
      <c r="D11" s="416">
        <f t="shared" ref="D11:D17" si="0">C11*B11</f>
        <v>5.8155452027685579E-2</v>
      </c>
      <c r="E11" s="1215"/>
      <c r="F11" s="407"/>
      <c r="G11" s="407"/>
      <c r="H11" s="1426">
        <f>0.38</f>
        <v>0.38</v>
      </c>
      <c r="I11" s="390"/>
      <c r="J11" s="390"/>
      <c r="K11" s="390"/>
      <c r="L11" s="390"/>
      <c r="M11" s="390"/>
      <c r="N11" s="390"/>
      <c r="O11" s="1428"/>
    </row>
    <row r="12" spans="1:15" ht="12" customHeight="1" x14ac:dyDescent="0.2">
      <c r="A12" s="398" t="str">
        <f>A55</f>
        <v>Transport of wheat</v>
      </c>
      <c r="B12" s="414">
        <f>L62</f>
        <v>0.52060153661066044</v>
      </c>
      <c r="C12" s="415">
        <f>J6</f>
        <v>0.59511653718091007</v>
      </c>
      <c r="D12" s="416">
        <f t="shared" si="0"/>
        <v>0.309818583718797</v>
      </c>
      <c r="E12" s="1215"/>
      <c r="F12" s="418"/>
      <c r="G12" s="418"/>
      <c r="H12" s="1427"/>
      <c r="I12" s="390"/>
      <c r="J12" s="432" t="s">
        <v>140</v>
      </c>
      <c r="K12" s="433"/>
      <c r="L12" s="433"/>
      <c r="M12" s="433"/>
      <c r="N12" s="434"/>
      <c r="O12" s="1428"/>
    </row>
    <row r="13" spans="1:15" ht="12" customHeight="1" x14ac:dyDescent="0.2">
      <c r="A13" s="398" t="str">
        <f>A102</f>
        <v>Transport of ethanol to depot</v>
      </c>
      <c r="B13" s="414">
        <f>L111</f>
        <v>0.60397867724853904</v>
      </c>
      <c r="C13" s="415">
        <v>1</v>
      </c>
      <c r="D13" s="416">
        <f t="shared" si="0"/>
        <v>0.60397867724853904</v>
      </c>
      <c r="E13" s="436"/>
      <c r="F13" s="437"/>
      <c r="G13" s="437"/>
      <c r="H13" s="419">
        <f>1.1</f>
        <v>1.1000000000000001</v>
      </c>
      <c r="I13" s="390"/>
      <c r="J13" s="438"/>
      <c r="K13" s="439"/>
      <c r="L13" s="439"/>
      <c r="M13" s="439"/>
      <c r="N13" s="440"/>
      <c r="O13" s="441"/>
    </row>
    <row r="14" spans="1:15" ht="12" customHeight="1" x14ac:dyDescent="0.2">
      <c r="A14" s="398" t="str">
        <f>A114</f>
        <v>Transport to filling station</v>
      </c>
      <c r="B14" s="414">
        <f>L123</f>
        <v>0.93624057947076134</v>
      </c>
      <c r="C14" s="415">
        <v>1</v>
      </c>
      <c r="D14" s="416">
        <f t="shared" si="0"/>
        <v>0.93624057947076134</v>
      </c>
      <c r="E14" s="436"/>
      <c r="F14" s="437"/>
      <c r="G14" s="437"/>
      <c r="H14" s="419">
        <f>0.44</f>
        <v>0.44</v>
      </c>
      <c r="I14" s="390"/>
      <c r="J14" s="438"/>
      <c r="K14" s="439"/>
      <c r="L14" s="439"/>
      <c r="M14" s="442"/>
      <c r="N14" s="443"/>
      <c r="O14" s="441"/>
    </row>
    <row r="15" spans="1:15" ht="17.25" customHeight="1" x14ac:dyDescent="0.35">
      <c r="A15" s="444" t="s">
        <v>551</v>
      </c>
      <c r="B15" s="445">
        <f>L135</f>
        <v>0</v>
      </c>
      <c r="C15" s="446">
        <f>J6</f>
        <v>0.59511653718091007</v>
      </c>
      <c r="D15" s="445">
        <f t="shared" si="0"/>
        <v>0</v>
      </c>
      <c r="E15" s="425">
        <f>D15</f>
        <v>0</v>
      </c>
      <c r="F15" s="451"/>
      <c r="G15" s="451"/>
      <c r="H15" s="447">
        <v>0</v>
      </c>
      <c r="I15" s="390"/>
      <c r="J15" s="438"/>
      <c r="K15" s="439"/>
      <c r="L15" s="439"/>
      <c r="M15" s="448"/>
      <c r="N15" s="449"/>
      <c r="O15" s="450"/>
    </row>
    <row r="16" spans="1:15" ht="16.5" customHeight="1" x14ac:dyDescent="0.35">
      <c r="A16" s="444" t="s">
        <v>724</v>
      </c>
      <c r="B16" s="445">
        <f>L154-L138</f>
        <v>0</v>
      </c>
      <c r="C16" s="446">
        <v>1</v>
      </c>
      <c r="D16" s="445">
        <f t="shared" si="0"/>
        <v>0</v>
      </c>
      <c r="E16" s="425">
        <f>D16</f>
        <v>0</v>
      </c>
      <c r="F16" s="451"/>
      <c r="G16" s="451"/>
      <c r="H16" s="447">
        <v>0</v>
      </c>
      <c r="I16" s="379"/>
      <c r="J16" s="438"/>
      <c r="K16" s="439"/>
      <c r="L16" s="439"/>
      <c r="M16" s="448"/>
      <c r="N16" s="449"/>
      <c r="O16" s="450"/>
    </row>
    <row r="17" spans="1:15" ht="16.5" customHeight="1" thickBot="1" x14ac:dyDescent="0.4">
      <c r="A17" s="444" t="s">
        <v>725</v>
      </c>
      <c r="B17" s="445">
        <f>L160+L166</f>
        <v>0</v>
      </c>
      <c r="C17" s="446">
        <v>1</v>
      </c>
      <c r="D17" s="445">
        <f t="shared" si="0"/>
        <v>0</v>
      </c>
      <c r="E17" s="425">
        <f>D17</f>
        <v>0</v>
      </c>
      <c r="F17" s="451"/>
      <c r="G17" s="451"/>
      <c r="H17" s="447">
        <v>0</v>
      </c>
      <c r="I17" s="379"/>
      <c r="J17" s="459" t="s">
        <v>1</v>
      </c>
      <c r="K17" s="460"/>
      <c r="L17" s="460"/>
      <c r="M17" s="461"/>
      <c r="N17" s="462"/>
      <c r="O17" s="450"/>
    </row>
    <row r="18" spans="1:15" ht="16.5" customHeight="1" thickBot="1" x14ac:dyDescent="0.3">
      <c r="A18" s="452" t="s">
        <v>1049</v>
      </c>
      <c r="B18" s="453">
        <f>SUM(B7:B15)-SUM(B16:B17)</f>
        <v>116.39268090590119</v>
      </c>
      <c r="C18" s="454"/>
      <c r="D18" s="455"/>
      <c r="E18" s="456">
        <f>SUM(E6:E15)-SUM(E16:E17)</f>
        <v>69.890818520083698</v>
      </c>
      <c r="F18" s="457"/>
      <c r="G18" s="457"/>
      <c r="H18" s="458">
        <v>70</v>
      </c>
      <c r="I18" s="379"/>
      <c r="J18" s="650"/>
      <c r="K18" s="651"/>
      <c r="L18" s="651"/>
      <c r="M18" s="652"/>
      <c r="N18" s="652"/>
      <c r="O18" s="463"/>
    </row>
    <row r="19" spans="1:15" ht="16.5" customHeight="1" x14ac:dyDescent="0.25">
      <c r="A19" s="464"/>
      <c r="B19" s="465"/>
      <c r="E19" s="466" t="s">
        <v>859</v>
      </c>
      <c r="F19" s="467"/>
      <c r="G19" s="467"/>
      <c r="H19" s="468"/>
      <c r="I19" s="469"/>
      <c r="J19" s="470"/>
      <c r="K19" s="433"/>
      <c r="L19" s="471"/>
      <c r="M19" s="433"/>
      <c r="N19" s="433"/>
      <c r="O19" s="472"/>
    </row>
    <row r="20" spans="1:15" ht="22.5" customHeight="1" thickBot="1" x14ac:dyDescent="0.25">
      <c r="A20" s="473" t="s">
        <v>1051</v>
      </c>
      <c r="B20" s="379"/>
      <c r="E20" s="474" t="s">
        <v>860</v>
      </c>
      <c r="F20" s="442"/>
      <c r="G20" s="442"/>
      <c r="H20" s="442"/>
      <c r="I20" s="439"/>
      <c r="J20" s="475"/>
      <c r="K20" s="475"/>
      <c r="L20" s="476"/>
      <c r="M20" s="477"/>
      <c r="N20" s="477"/>
      <c r="O20" s="478"/>
    </row>
    <row r="21" spans="1:15" ht="15.75" x14ac:dyDescent="0.25">
      <c r="A21" s="479" t="s">
        <v>490</v>
      </c>
      <c r="B21" s="480"/>
      <c r="C21" s="480"/>
      <c r="D21" s="480"/>
      <c r="E21" s="479" t="s">
        <v>513</v>
      </c>
      <c r="F21" s="481"/>
      <c r="G21" s="481"/>
      <c r="H21" s="480"/>
      <c r="I21" s="482" t="s">
        <v>532</v>
      </c>
      <c r="J21" s="481"/>
      <c r="K21" s="481"/>
      <c r="L21" s="483"/>
      <c r="M21" s="715"/>
      <c r="N21" s="530" t="s">
        <v>162</v>
      </c>
      <c r="O21" s="773"/>
    </row>
    <row r="22" spans="1:15" ht="15.75" x14ac:dyDescent="0.25">
      <c r="A22" s="486"/>
      <c r="B22" s="487" t="s">
        <v>524</v>
      </c>
      <c r="C22" s="488"/>
      <c r="D22" s="488"/>
      <c r="E22" s="489" t="s">
        <v>524</v>
      </c>
      <c r="F22" s="490"/>
      <c r="G22" s="490"/>
      <c r="H22" s="491"/>
      <c r="I22" s="492" t="s">
        <v>138</v>
      </c>
      <c r="J22" s="490"/>
      <c r="K22" s="490"/>
      <c r="L22" s="493"/>
      <c r="M22" s="484"/>
      <c r="N22" s="538" t="s">
        <v>163</v>
      </c>
      <c r="O22" s="749" t="s">
        <v>139</v>
      </c>
    </row>
    <row r="23" spans="1:15" ht="16.5" x14ac:dyDescent="0.3">
      <c r="A23" s="494"/>
      <c r="B23" s="495" t="s">
        <v>1034</v>
      </c>
      <c r="C23" s="496">
        <v>5208.2168117301198</v>
      </c>
      <c r="D23" s="497" t="s">
        <v>527</v>
      </c>
      <c r="E23" s="656">
        <f>C23*(1-C24)*VLOOKUP($B23,'Standard values'!$C$9:$S$162,14, FALSE)</f>
        <v>76586.828216491413</v>
      </c>
      <c r="F23" s="499" t="s">
        <v>1052</v>
      </c>
      <c r="G23" s="499"/>
      <c r="H23" s="499"/>
      <c r="I23" s="500" t="s">
        <v>1053</v>
      </c>
      <c r="J23" s="500" t="s">
        <v>1054</v>
      </c>
      <c r="K23" s="500" t="s">
        <v>1055</v>
      </c>
      <c r="L23" s="501" t="s">
        <v>1056</v>
      </c>
      <c r="M23" s="379"/>
      <c r="N23" s="540" t="s">
        <v>1056</v>
      </c>
      <c r="O23" s="540" t="s">
        <v>550</v>
      </c>
    </row>
    <row r="24" spans="1:15" ht="15.75" x14ac:dyDescent="0.3">
      <c r="A24" s="503"/>
      <c r="B24" s="495" t="s">
        <v>521</v>
      </c>
      <c r="C24" s="504">
        <v>0.13500000000000001</v>
      </c>
      <c r="D24" s="497"/>
      <c r="E24" s="505">
        <v>1</v>
      </c>
      <c r="F24" s="506" t="s">
        <v>53</v>
      </c>
      <c r="G24" s="506"/>
      <c r="H24" s="495"/>
      <c r="I24" s="507"/>
      <c r="J24" s="508"/>
      <c r="K24" s="508"/>
      <c r="L24" s="509"/>
      <c r="M24" s="379"/>
      <c r="N24" s="541"/>
      <c r="O24" s="541"/>
    </row>
    <row r="25" spans="1:15" ht="15.75" x14ac:dyDescent="0.3">
      <c r="A25" s="503"/>
      <c r="B25" s="495" t="s">
        <v>124</v>
      </c>
      <c r="C25" s="723">
        <v>2148.3894348386743</v>
      </c>
      <c r="D25" s="497" t="s">
        <v>527</v>
      </c>
      <c r="E25" s="510">
        <f>+C23/E171</f>
        <v>0.12800378600858547</v>
      </c>
      <c r="F25" s="506" t="s">
        <v>161</v>
      </c>
      <c r="G25" s="506"/>
      <c r="H25" s="495"/>
      <c r="I25" s="508"/>
      <c r="J25" s="508"/>
      <c r="K25" s="508"/>
      <c r="L25" s="509"/>
      <c r="M25" s="379"/>
      <c r="N25" s="541"/>
      <c r="O25" s="541"/>
    </row>
    <row r="26" spans="1:15" x14ac:dyDescent="0.2">
      <c r="A26" s="503"/>
      <c r="B26" s="495"/>
      <c r="C26" s="660"/>
      <c r="D26" s="497"/>
      <c r="E26" s="503"/>
      <c r="F26" s="495"/>
      <c r="G26" s="495"/>
      <c r="H26" s="495"/>
      <c r="I26" s="546"/>
      <c r="J26" s="546"/>
      <c r="K26" s="546"/>
      <c r="L26" s="661"/>
      <c r="M26" s="379"/>
      <c r="N26" s="541"/>
      <c r="O26" s="541"/>
    </row>
    <row r="27" spans="1:15" x14ac:dyDescent="0.2">
      <c r="A27" s="503"/>
      <c r="B27" s="511" t="s">
        <v>525</v>
      </c>
      <c r="C27" s="660"/>
      <c r="D27" s="497"/>
      <c r="E27" s="503"/>
      <c r="F27" s="495"/>
      <c r="G27" s="495"/>
      <c r="H27" s="495"/>
      <c r="I27" s="546"/>
      <c r="J27" s="546"/>
      <c r="K27" s="546"/>
      <c r="L27" s="661"/>
      <c r="M27" s="379"/>
      <c r="N27" s="541"/>
      <c r="O27" s="541"/>
    </row>
    <row r="28" spans="1:15" ht="14.25" x14ac:dyDescent="0.2">
      <c r="A28" s="503"/>
      <c r="B28" s="495" t="s">
        <v>509</v>
      </c>
      <c r="C28" s="723">
        <v>3716.5</v>
      </c>
      <c r="D28" s="497" t="s">
        <v>528</v>
      </c>
      <c r="E28" s="513"/>
      <c r="F28" s="495"/>
      <c r="G28" s="495"/>
      <c r="H28" s="495"/>
      <c r="I28" s="508">
        <f>$C28*VLOOKUP($B28,'Standard values'!$C$9:$S$162,7, FALSE)/$E$171</f>
        <v>8.0050631067823872</v>
      </c>
      <c r="J28" s="508">
        <f>$C28*VLOOKUP($B28,'Standard values'!$C$9:$S$162,8, FALSE)/$E$171</f>
        <v>0</v>
      </c>
      <c r="K28" s="508">
        <f>$C28*VLOOKUP($B28,'Standard values'!$C$9:$S$162,9, FALSE)/$E$171</f>
        <v>0</v>
      </c>
      <c r="L28" s="509">
        <f>I28*'Standard values'!$D$10+J28*'Standard values'!$D$11+K28*'Standard values'!$D$12</f>
        <v>8.0050631067823872</v>
      </c>
      <c r="M28" s="379"/>
      <c r="N28" s="562">
        <f>+L28/$E$25</f>
        <v>62.537705769464282</v>
      </c>
      <c r="O28" s="750">
        <f>L28*$E$171/1000</f>
        <v>325.70993055555556</v>
      </c>
    </row>
    <row r="29" spans="1:15" x14ac:dyDescent="0.2">
      <c r="A29" s="503"/>
      <c r="B29" s="495"/>
      <c r="C29" s="660"/>
      <c r="D29" s="497"/>
      <c r="E29" s="513"/>
      <c r="F29" s="495"/>
      <c r="G29" s="495"/>
      <c r="H29" s="495"/>
      <c r="I29" s="508"/>
      <c r="J29" s="508"/>
      <c r="K29" s="508"/>
      <c r="L29" s="509"/>
      <c r="M29" s="379"/>
      <c r="N29" s="562"/>
      <c r="O29" s="750"/>
    </row>
    <row r="30" spans="1:15" x14ac:dyDescent="0.2">
      <c r="A30" s="503"/>
      <c r="B30" s="511" t="s">
        <v>1045</v>
      </c>
      <c r="C30" s="660"/>
      <c r="D30" s="497"/>
      <c r="E30" s="513"/>
      <c r="F30" s="495"/>
      <c r="G30" s="495"/>
      <c r="H30" s="495"/>
      <c r="I30" s="508"/>
      <c r="J30" s="508"/>
      <c r="K30" s="508"/>
      <c r="L30" s="509"/>
      <c r="M30" s="379"/>
      <c r="N30" s="562"/>
      <c r="O30" s="750"/>
    </row>
    <row r="31" spans="1:15" ht="14.25" x14ac:dyDescent="0.2">
      <c r="A31" s="503"/>
      <c r="B31" s="495" t="s">
        <v>231</v>
      </c>
      <c r="C31" s="556">
        <v>109.30441083988111</v>
      </c>
      <c r="D31" s="497" t="s">
        <v>529</v>
      </c>
      <c r="E31" s="513"/>
      <c r="F31" s="495"/>
      <c r="G31" s="495"/>
      <c r="H31" s="495"/>
      <c r="I31" s="508">
        <f>$C31*VLOOKUP($B31,'Standard values'!$C$9:$S$162,3, FALSE)/$E$171</f>
        <v>7.5944794094809875</v>
      </c>
      <c r="J31" s="508">
        <f>$C31*VLOOKUP($B31,'Standard values'!$C$9:$S$162,4, FALSE)/$E$171</f>
        <v>2.3314769599091817E-2</v>
      </c>
      <c r="K31" s="508">
        <f>$C31*VLOOKUP($B31,'Standard values'!$C$9:$S$162,5, FALSE)/$E$171</f>
        <v>2.5901777379421516E-2</v>
      </c>
      <c r="L31" s="509">
        <f>I31*'Standard values'!$D$10+J31*'Standard values'!$D$11+K31*'Standard values'!$D$12</f>
        <v>15.896078308525894</v>
      </c>
      <c r="M31" s="379"/>
      <c r="N31" s="562">
        <f>+L31/$E$25</f>
        <v>124.18443863418003</v>
      </c>
      <c r="O31" s="750">
        <f>L31*$E$171/1000</f>
        <v>646.77948104980374</v>
      </c>
    </row>
    <row r="32" spans="1:15" ht="14.25" x14ac:dyDescent="0.2">
      <c r="A32" s="503"/>
      <c r="B32" s="495" t="s">
        <v>504</v>
      </c>
      <c r="C32" s="556">
        <v>0</v>
      </c>
      <c r="D32" s="497" t="s">
        <v>529</v>
      </c>
      <c r="E32" s="513"/>
      <c r="F32" s="495"/>
      <c r="G32" s="495"/>
      <c r="H32" s="495"/>
      <c r="I32" s="508">
        <f>$C32*VLOOKUP($B32,'Standard values'!$C$9:$S$162,3, FALSE)/$E$171</f>
        <v>0</v>
      </c>
      <c r="J32" s="508">
        <f>$C32*VLOOKUP($B32,'Standard values'!$C$9:$S$162,4, FALSE)/$E$171</f>
        <v>0</v>
      </c>
      <c r="K32" s="508">
        <f>$C32*VLOOKUP($B32,'Standard values'!$C$9:$S$162,5, FALSE)/$E$171</f>
        <v>0</v>
      </c>
      <c r="L32" s="509">
        <f>I32*'Standard values'!$D$10+J32*'Standard values'!$D$11+K32*'Standard values'!$D$12</f>
        <v>0</v>
      </c>
      <c r="M32" s="379"/>
      <c r="N32" s="562">
        <f>+L32/$E$25</f>
        <v>0</v>
      </c>
      <c r="O32" s="750">
        <f>L32*$E$171/1000</f>
        <v>0</v>
      </c>
    </row>
    <row r="33" spans="1:15" ht="15.75" x14ac:dyDescent="0.3">
      <c r="A33" s="503"/>
      <c r="B33" s="495" t="s">
        <v>233</v>
      </c>
      <c r="C33" s="556">
        <v>16.357714030632511</v>
      </c>
      <c r="D33" s="497" t="s">
        <v>530</v>
      </c>
      <c r="E33" s="513"/>
      <c r="F33" s="495"/>
      <c r="G33" s="495"/>
      <c r="H33" s="495"/>
      <c r="I33" s="508">
        <f>$C33*VLOOKUP($B33,'Standard values'!$C$9:$S$162,3, FALSE)/$E$171</f>
        <v>0.21561203330840112</v>
      </c>
      <c r="J33" s="508">
        <f>$C33*VLOOKUP($B33,'Standard values'!$C$9:$S$162,4, FALSE)/$E$171</f>
        <v>6.3154588714152068E-4</v>
      </c>
      <c r="K33" s="508">
        <f>$C33*VLOOKUP($B33,'Standard values'!$C$9:$S$162,5, FALSE)/$E$171</f>
        <v>4.9449451981925676E-6</v>
      </c>
      <c r="L33" s="509">
        <f>I33*'Standard values'!$D$10+J33*'Standard values'!$D$11+K33*'Standard values'!$D$12</f>
        <v>0.23287427415600051</v>
      </c>
      <c r="M33" s="379"/>
      <c r="N33" s="562">
        <f>+L33/$E$25</f>
        <v>1.8192764559353045</v>
      </c>
      <c r="O33" s="750">
        <f>L33*$E$171/1000</f>
        <v>9.4751862229870447</v>
      </c>
    </row>
    <row r="34" spans="1:15" ht="15.75" x14ac:dyDescent="0.3">
      <c r="A34" s="503"/>
      <c r="B34" s="495" t="s">
        <v>232</v>
      </c>
      <c r="C34" s="556">
        <v>21.636015155139138</v>
      </c>
      <c r="D34" s="497" t="s">
        <v>531</v>
      </c>
      <c r="E34" s="513"/>
      <c r="F34" s="495"/>
      <c r="G34" s="495"/>
      <c r="H34" s="495"/>
      <c r="I34" s="508">
        <f>$C34*VLOOKUP($B34,'Standard values'!$C$9:$S$162,3, FALSE)/$E$171</f>
        <v>0.51308257670131951</v>
      </c>
      <c r="J34" s="508">
        <f>$C34*VLOOKUP($B34,'Standard values'!$C$9:$S$162,4, FALSE)/$E$171</f>
        <v>7.0776501649619532E-4</v>
      </c>
      <c r="K34" s="508">
        <f>$C34*VLOOKUP($B34,'Standard values'!$C$9:$S$162,5, FALSE)/$E$171</f>
        <v>2.7385348121377956E-5</v>
      </c>
      <c r="L34" s="509">
        <f>I34*'Standard values'!$D$10+J34*'Standard values'!$D$11+K34*'Standard values'!$D$12</f>
        <v>0.53893753585389503</v>
      </c>
      <c r="M34" s="379"/>
      <c r="N34" s="562">
        <f>+L34/$E$25</f>
        <v>4.2103249650580441</v>
      </c>
      <c r="O34" s="750">
        <f>L34*$E$171/1000</f>
        <v>21.928285265862336</v>
      </c>
    </row>
    <row r="35" spans="1:15" ht="14.25" x14ac:dyDescent="0.2">
      <c r="A35" s="503"/>
      <c r="B35" s="495" t="s">
        <v>502</v>
      </c>
      <c r="C35" s="556">
        <v>2.335</v>
      </c>
      <c r="D35" s="497" t="s">
        <v>527</v>
      </c>
      <c r="E35" s="513"/>
      <c r="F35" s="665"/>
      <c r="G35" s="665"/>
      <c r="H35" s="665"/>
      <c r="I35" s="508">
        <f>$C35*VLOOKUP($B35,'Standard values'!$C$9:$S$162,3, FALSE)/$E$171</f>
        <v>0.5673659957944569</v>
      </c>
      <c r="J35" s="508">
        <f>$C35*VLOOKUP($B35,'Standard values'!$C$9:$S$162,4, FALSE)/$E$171</f>
        <v>1.4649477146967333E-3</v>
      </c>
      <c r="K35" s="508">
        <f>$C35*VLOOKUP($B35,'Standard values'!$C$9:$S$162,5, FALSE)/$E$171</f>
        <v>9.64920843923159E-5</v>
      </c>
      <c r="L35" s="509">
        <f>I35*'Standard values'!$D$10+J35*'Standard values'!$D$11+K35*'Standard values'!$D$12</f>
        <v>0.63274432981078532</v>
      </c>
      <c r="M35" s="379"/>
      <c r="N35" s="562">
        <f>+L35/$E$25</f>
        <v>4.943168866648568</v>
      </c>
      <c r="O35" s="750">
        <f>L35*$E$171/1000</f>
        <v>25.745095194499996</v>
      </c>
    </row>
    <row r="36" spans="1:15" x14ac:dyDescent="0.2">
      <c r="A36" s="503"/>
      <c r="B36" s="495"/>
      <c r="C36" s="666"/>
      <c r="D36" s="497"/>
      <c r="E36" s="513"/>
      <c r="F36" s="665"/>
      <c r="G36" s="665"/>
      <c r="H36" s="665"/>
      <c r="I36" s="508"/>
      <c r="J36" s="508"/>
      <c r="K36" s="508"/>
      <c r="L36" s="509"/>
      <c r="M36" s="379"/>
      <c r="N36" s="562"/>
      <c r="O36" s="750"/>
    </row>
    <row r="37" spans="1:15" x14ac:dyDescent="0.2">
      <c r="A37" s="503"/>
      <c r="B37" s="511" t="s">
        <v>511</v>
      </c>
      <c r="C37" s="666"/>
      <c r="D37" s="497"/>
      <c r="E37" s="513"/>
      <c r="F37" s="495"/>
      <c r="G37" s="495"/>
      <c r="H37" s="665"/>
      <c r="I37" s="508"/>
      <c r="J37" s="508"/>
      <c r="K37" s="508"/>
      <c r="L37" s="509"/>
      <c r="M37" s="379"/>
      <c r="N37" s="562"/>
      <c r="O37" s="750"/>
    </row>
    <row r="38" spans="1:15" ht="14.25" x14ac:dyDescent="0.2">
      <c r="A38" s="503"/>
      <c r="B38" s="499" t="s">
        <v>1080</v>
      </c>
      <c r="C38" s="726">
        <v>120</v>
      </c>
      <c r="D38" s="497" t="s">
        <v>527</v>
      </c>
      <c r="E38" s="513"/>
      <c r="F38" s="495"/>
      <c r="G38" s="495"/>
      <c r="H38" s="495"/>
      <c r="I38" s="508">
        <f>$C38*VLOOKUP($B38,'Standard values'!$C$9:$S$162,3, FALSE)/$E$171</f>
        <v>0.44550452941118518</v>
      </c>
      <c r="J38" s="508">
        <f>$C38*VLOOKUP($B38,'Standard values'!$C$9:$S$162,4, FALSE)/$E$171</f>
        <v>8.172436068274115E-4</v>
      </c>
      <c r="K38" s="508">
        <f>$C38*VLOOKUP($B38,'Standard values'!$C$9:$S$162,5, FALSE)/$E$171</f>
        <v>1.1805940664489816E-3</v>
      </c>
      <c r="L38" s="509">
        <f>I38*'Standard values'!$D$10+J38*'Standard values'!$D$11+K38*'Standard values'!$D$12</f>
        <v>0.81775265138366704</v>
      </c>
      <c r="M38" s="379"/>
      <c r="N38" s="562">
        <f>+L38/$E$25</f>
        <v>6.3885036285475083</v>
      </c>
      <c r="O38" s="750">
        <f>L38*$E$171/1000</f>
        <v>33.272711999999999</v>
      </c>
    </row>
    <row r="39" spans="1:15" x14ac:dyDescent="0.2">
      <c r="A39" s="503"/>
      <c r="B39" s="511"/>
      <c r="C39" s="668"/>
      <c r="D39" s="497"/>
      <c r="E39" s="513"/>
      <c r="F39" s="495"/>
      <c r="G39" s="495"/>
      <c r="H39" s="495"/>
      <c r="I39" s="508"/>
      <c r="J39" s="508"/>
      <c r="K39" s="508"/>
      <c r="L39" s="509"/>
      <c r="M39" s="379"/>
      <c r="N39" s="562"/>
      <c r="O39" s="750"/>
    </row>
    <row r="40" spans="1:15" ht="15" x14ac:dyDescent="0.25">
      <c r="A40" s="503"/>
      <c r="B40" s="511" t="s">
        <v>1046</v>
      </c>
      <c r="C40" s="728">
        <v>1.8083001106671583</v>
      </c>
      <c r="D40" s="497" t="s">
        <v>527</v>
      </c>
      <c r="E40" s="513"/>
      <c r="F40" s="495"/>
      <c r="G40" s="495"/>
      <c r="H40" s="495"/>
      <c r="I40" s="508">
        <v>0</v>
      </c>
      <c r="J40" s="508">
        <v>0</v>
      </c>
      <c r="K40" s="508">
        <f>1000*$C40/$E$171</f>
        <v>4.4443092285216999E-2</v>
      </c>
      <c r="L40" s="509">
        <f>I40*'Standard values'!$D$10+J40*'Standard values'!$D$11+K40*'Standard values'!$D$12</f>
        <v>13.244041500994665</v>
      </c>
      <c r="M40" s="379"/>
      <c r="N40" s="562">
        <f>+L40/$E$25</f>
        <v>103.46601388888888</v>
      </c>
      <c r="O40" s="750">
        <f>L40*$E$171/1000</f>
        <v>538.87343297881318</v>
      </c>
    </row>
    <row r="41" spans="1:15" ht="15.75" x14ac:dyDescent="0.3">
      <c r="A41" s="503"/>
      <c r="B41" s="511"/>
      <c r="C41" s="670" t="s">
        <v>664</v>
      </c>
      <c r="D41" s="495"/>
      <c r="E41" s="513"/>
      <c r="F41" s="514"/>
      <c r="G41" s="514"/>
      <c r="H41" s="514" t="s">
        <v>1047</v>
      </c>
      <c r="I41" s="515">
        <f>SUM(I24:I40)</f>
        <v>17.341107651478737</v>
      </c>
      <c r="J41" s="515">
        <f>SUM(J24:J40)</f>
        <v>2.6936271824253677E-2</v>
      </c>
      <c r="K41" s="515">
        <f>SUM(K24:K40)</f>
        <v>7.1654286108799384E-2</v>
      </c>
      <c r="L41" s="516">
        <f>I41*'Standard values'!$D$10+J41*'Standard values'!$D$11+K41*'Standard values'!$D$12</f>
        <v>39.367491707507298</v>
      </c>
      <c r="M41" s="379"/>
      <c r="N41" s="1201">
        <f>+L41/E$25</f>
        <v>307.54943220872264</v>
      </c>
      <c r="O41" s="1202">
        <f>L41*$E$171/1000</f>
        <v>1601.7841232675221</v>
      </c>
    </row>
    <row r="42" spans="1:15" x14ac:dyDescent="0.2">
      <c r="A42" s="503"/>
      <c r="B42" s="511"/>
      <c r="C42" s="671" t="s">
        <v>665</v>
      </c>
      <c r="D42" s="495"/>
      <c r="E42" s="513"/>
      <c r="F42" s="514"/>
      <c r="G42" s="514"/>
      <c r="H42" s="514"/>
      <c r="I42" s="416"/>
      <c r="J42" s="416"/>
      <c r="K42" s="416"/>
      <c r="L42" s="436"/>
      <c r="M42" s="379"/>
      <c r="N42" s="1203"/>
      <c r="O42" s="1204"/>
    </row>
    <row r="43" spans="1:15" ht="14.25" x14ac:dyDescent="0.25">
      <c r="A43" s="519"/>
      <c r="B43" s="520"/>
      <c r="C43" s="520"/>
      <c r="D43" s="520"/>
      <c r="E43" s="519"/>
      <c r="F43" s="521"/>
      <c r="G43" s="521"/>
      <c r="H43" s="521" t="s">
        <v>534</v>
      </c>
      <c r="I43" s="522"/>
      <c r="J43" s="523" t="s">
        <v>1048</v>
      </c>
      <c r="K43" s="524"/>
      <c r="L43" s="525">
        <f>N41*E$25</f>
        <v>39.367491707507298</v>
      </c>
      <c r="M43" s="379"/>
      <c r="N43" s="390"/>
      <c r="O43" s="390"/>
    </row>
    <row r="44" spans="1:15" x14ac:dyDescent="0.2">
      <c r="A44" s="379"/>
      <c r="B44" s="379"/>
      <c r="C44" s="379"/>
      <c r="D44" s="379"/>
      <c r="E44" s="379"/>
      <c r="F44" s="526"/>
      <c r="G44" s="526"/>
      <c r="H44" s="526"/>
      <c r="I44" s="527"/>
      <c r="J44" s="528"/>
      <c r="K44" s="484"/>
      <c r="L44" s="430"/>
      <c r="M44" s="379"/>
      <c r="N44" s="390"/>
      <c r="O44" s="390"/>
    </row>
    <row r="45" spans="1:15" x14ac:dyDescent="0.2">
      <c r="A45" s="390"/>
      <c r="B45" s="390"/>
      <c r="C45" s="390"/>
      <c r="D45" s="390"/>
      <c r="E45" s="390"/>
      <c r="F45" s="390"/>
      <c r="G45" s="390"/>
      <c r="H45" s="390"/>
      <c r="I45" s="529"/>
      <c r="J45" s="529"/>
      <c r="K45" s="529"/>
      <c r="L45" s="529"/>
      <c r="M45" s="379"/>
      <c r="N45" s="390"/>
      <c r="O45" s="390"/>
    </row>
    <row r="46" spans="1:15" ht="15.75" x14ac:dyDescent="0.25">
      <c r="A46" s="530" t="s">
        <v>338</v>
      </c>
      <c r="B46" s="532" t="s">
        <v>339</v>
      </c>
      <c r="C46" s="531"/>
      <c r="D46" s="531"/>
      <c r="E46" s="530" t="s">
        <v>513</v>
      </c>
      <c r="F46" s="532"/>
      <c r="G46" s="532"/>
      <c r="H46" s="531"/>
      <c r="I46" s="532" t="s">
        <v>532</v>
      </c>
      <c r="J46" s="533"/>
      <c r="K46" s="533"/>
      <c r="L46" s="534"/>
      <c r="M46" s="379"/>
      <c r="N46" s="535" t="s">
        <v>162</v>
      </c>
      <c r="O46" s="390"/>
    </row>
    <row r="47" spans="1:15" ht="15.75" x14ac:dyDescent="0.3">
      <c r="A47" s="587"/>
      <c r="B47" s="511" t="s">
        <v>1034</v>
      </c>
      <c r="C47" s="536">
        <v>1</v>
      </c>
      <c r="D47" s="495" t="s">
        <v>492</v>
      </c>
      <c r="E47" s="588">
        <f>E23*C47</f>
        <v>76586.828216491413</v>
      </c>
      <c r="F47" s="495" t="s">
        <v>493</v>
      </c>
      <c r="G47" s="495"/>
      <c r="H47" s="495"/>
      <c r="I47" s="492" t="s">
        <v>138</v>
      </c>
      <c r="J47" s="514"/>
      <c r="K47" s="514"/>
      <c r="L47" s="537"/>
      <c r="M47" s="379"/>
      <c r="N47" s="554" t="s">
        <v>163</v>
      </c>
      <c r="O47" s="390"/>
    </row>
    <row r="48" spans="1:15" ht="15.75" x14ac:dyDescent="0.3">
      <c r="A48" s="587"/>
      <c r="B48" s="495"/>
      <c r="C48" s="512"/>
      <c r="D48" s="495"/>
      <c r="E48" s="505">
        <f>E24*C47</f>
        <v>1</v>
      </c>
      <c r="F48" s="506" t="s">
        <v>53</v>
      </c>
      <c r="G48" s="506"/>
      <c r="H48" s="495"/>
      <c r="I48" s="539" t="s">
        <v>1053</v>
      </c>
      <c r="J48" s="539" t="s">
        <v>1054</v>
      </c>
      <c r="K48" s="539" t="s">
        <v>1055</v>
      </c>
      <c r="L48" s="540" t="s">
        <v>1056</v>
      </c>
      <c r="M48" s="379"/>
      <c r="N48" s="540" t="s">
        <v>1056</v>
      </c>
      <c r="O48" s="390"/>
    </row>
    <row r="49" spans="1:15" x14ac:dyDescent="0.2">
      <c r="A49" s="503"/>
      <c r="B49" s="511" t="s">
        <v>525</v>
      </c>
      <c r="C49" s="495"/>
      <c r="D49" s="495"/>
      <c r="E49" s="503"/>
      <c r="F49" s="495"/>
      <c r="G49" s="495"/>
      <c r="H49" s="495"/>
      <c r="I49" s="495"/>
      <c r="J49" s="495"/>
      <c r="K49" s="495"/>
      <c r="L49" s="541"/>
      <c r="M49" s="379"/>
      <c r="N49" s="541"/>
      <c r="O49" s="390"/>
    </row>
    <row r="50" spans="1:15" ht="15.75" x14ac:dyDescent="0.3">
      <c r="A50" s="503"/>
      <c r="B50" s="1301" t="s">
        <v>49</v>
      </c>
      <c r="C50" s="542">
        <v>4.0000000000000002E-4</v>
      </c>
      <c r="D50" s="495" t="s">
        <v>1035</v>
      </c>
      <c r="E50" s="503"/>
      <c r="F50" s="495"/>
      <c r="G50" s="495"/>
      <c r="H50" s="495"/>
      <c r="I50" s="544">
        <f>$C50*$E$48*VLOOKUP($B50,'Standard values'!$C$9:$S$162,7, FALSE)/$E$172</f>
        <v>9.0948385881260807E-2</v>
      </c>
      <c r="J50" s="544">
        <f>$C50*$E$48*VLOOKUP($B50,'Standard values'!$C$9:$S$162,8, FALSE)/$E$172</f>
        <v>2.2179717349869472E-4</v>
      </c>
      <c r="K50" s="544">
        <f>$C50*$E$48*VLOOKUP($B50,'Standard values'!$C$9:$S$162,9, FALSE)/$E$172</f>
        <v>4.1201360847942346E-6</v>
      </c>
      <c r="L50" s="516">
        <f>I50*'Standard values'!$D$10+J50*'Standard values'!$D$11+K50*'Standard values'!$D$12</f>
        <v>9.7721115771996853E-2</v>
      </c>
      <c r="M50" s="379"/>
      <c r="N50" s="1201">
        <f>+L50/E$25</f>
        <v>0.76342363627777776</v>
      </c>
      <c r="O50" s="390"/>
    </row>
    <row r="51" spans="1:15" x14ac:dyDescent="0.2">
      <c r="A51" s="590"/>
      <c r="B51" s="495"/>
      <c r="C51" s="492"/>
      <c r="D51" s="495"/>
      <c r="E51" s="503"/>
      <c r="F51" s="495"/>
      <c r="G51" s="495"/>
      <c r="H51" s="495"/>
      <c r="I51" s="495"/>
      <c r="J51" s="495"/>
      <c r="K51" s="495"/>
      <c r="L51" s="541"/>
      <c r="M51" s="379"/>
      <c r="N51" s="1203"/>
      <c r="O51" s="390"/>
    </row>
    <row r="52" spans="1:15" ht="14.25" x14ac:dyDescent="0.25">
      <c r="A52" s="519"/>
      <c r="B52" s="520"/>
      <c r="C52" s="520"/>
      <c r="D52" s="520"/>
      <c r="E52" s="519"/>
      <c r="F52" s="521"/>
      <c r="G52" s="521"/>
      <c r="H52" s="521" t="s">
        <v>534</v>
      </c>
      <c r="I52" s="520"/>
      <c r="J52" s="523" t="s">
        <v>1048</v>
      </c>
      <c r="K52" s="549"/>
      <c r="L52" s="525">
        <f>N50*E$25</f>
        <v>9.7721115771996853E-2</v>
      </c>
      <c r="M52" s="379"/>
      <c r="N52" s="390"/>
      <c r="O52" s="390"/>
    </row>
    <row r="53" spans="1:15" x14ac:dyDescent="0.2">
      <c r="A53" s="390"/>
      <c r="B53" s="390"/>
      <c r="C53" s="390"/>
      <c r="D53" s="390"/>
      <c r="E53" s="390"/>
      <c r="F53" s="376"/>
      <c r="G53" s="376"/>
      <c r="H53" s="376"/>
      <c r="I53" s="390"/>
      <c r="J53" s="550"/>
      <c r="K53" s="551"/>
      <c r="L53" s="552"/>
      <c r="M53" s="379"/>
      <c r="N53" s="390"/>
      <c r="O53" s="390"/>
    </row>
    <row r="54" spans="1:15" x14ac:dyDescent="0.2">
      <c r="A54" s="390"/>
      <c r="B54" s="390"/>
      <c r="C54" s="390"/>
      <c r="D54" s="390"/>
      <c r="E54" s="390"/>
      <c r="F54" s="390"/>
      <c r="G54" s="390"/>
      <c r="H54" s="390"/>
      <c r="I54" s="529"/>
      <c r="J54" s="529"/>
      <c r="K54" s="529"/>
      <c r="L54" s="529"/>
      <c r="M54" s="379"/>
      <c r="N54" s="390"/>
      <c r="O54" s="390"/>
    </row>
    <row r="55" spans="1:15" ht="15.75" x14ac:dyDescent="0.25">
      <c r="A55" s="530" t="s">
        <v>491</v>
      </c>
      <c r="B55" s="531"/>
      <c r="C55" s="531"/>
      <c r="D55" s="531"/>
      <c r="E55" s="530" t="s">
        <v>513</v>
      </c>
      <c r="F55" s="532"/>
      <c r="G55" s="532"/>
      <c r="H55" s="531"/>
      <c r="I55" s="532" t="s">
        <v>532</v>
      </c>
      <c r="J55" s="533"/>
      <c r="K55" s="533"/>
      <c r="L55" s="534"/>
      <c r="M55" s="379"/>
      <c r="N55" s="535" t="s">
        <v>162</v>
      </c>
      <c r="O55" s="390"/>
    </row>
    <row r="56" spans="1:15" ht="15.75" x14ac:dyDescent="0.3">
      <c r="A56" s="503"/>
      <c r="B56" s="511" t="s">
        <v>1034</v>
      </c>
      <c r="C56" s="536">
        <v>0.99009900990099009</v>
      </c>
      <c r="D56" s="495" t="s">
        <v>492</v>
      </c>
      <c r="E56" s="553">
        <f>E47*C56</f>
        <v>75828.542788605351</v>
      </c>
      <c r="F56" s="495" t="s">
        <v>493</v>
      </c>
      <c r="G56" s="495"/>
      <c r="H56" s="495"/>
      <c r="I56" s="492" t="s">
        <v>138</v>
      </c>
      <c r="J56" s="514"/>
      <c r="K56" s="514"/>
      <c r="L56" s="537"/>
      <c r="M56" s="379"/>
      <c r="N56" s="554" t="s">
        <v>163</v>
      </c>
      <c r="O56" s="390"/>
    </row>
    <row r="57" spans="1:15" ht="15.75" x14ac:dyDescent="0.3">
      <c r="A57" s="503"/>
      <c r="B57" s="495"/>
      <c r="C57" s="495"/>
      <c r="D57" s="495"/>
      <c r="E57" s="505">
        <f>E48*C56</f>
        <v>0.99009900990099009</v>
      </c>
      <c r="F57" s="506" t="s">
        <v>53</v>
      </c>
      <c r="G57" s="506"/>
      <c r="H57" s="495"/>
      <c r="I57" s="539" t="s">
        <v>1053</v>
      </c>
      <c r="J57" s="539" t="s">
        <v>1054</v>
      </c>
      <c r="K57" s="539" t="s">
        <v>1055</v>
      </c>
      <c r="L57" s="540" t="s">
        <v>1056</v>
      </c>
      <c r="M57" s="379"/>
      <c r="N57" s="540" t="s">
        <v>1056</v>
      </c>
      <c r="O57" s="390"/>
    </row>
    <row r="58" spans="1:15" x14ac:dyDescent="0.2">
      <c r="A58" s="503"/>
      <c r="B58" s="511" t="s">
        <v>498</v>
      </c>
      <c r="C58" s="495"/>
      <c r="D58" s="495"/>
      <c r="E58" s="505"/>
      <c r="F58" s="506"/>
      <c r="G58" s="506"/>
      <c r="H58" s="495"/>
      <c r="I58" s="539"/>
      <c r="J58" s="539"/>
      <c r="K58" s="539"/>
      <c r="L58" s="540"/>
      <c r="M58" s="379"/>
      <c r="N58" s="541"/>
      <c r="O58" s="390"/>
    </row>
    <row r="59" spans="1:15" ht="15.75" x14ac:dyDescent="0.3">
      <c r="A59" s="503"/>
      <c r="B59" s="495" t="s">
        <v>1111</v>
      </c>
      <c r="C59" s="542">
        <v>50</v>
      </c>
      <c r="D59" s="495" t="s">
        <v>510</v>
      </c>
      <c r="E59" s="543">
        <f>(C59*E57)/(VLOOKUP($B56,'Standard values'!$C$9:$S$162,14, FALSE))/(1-$C$24)/1000</f>
        <v>3.3665386259809252E-3</v>
      </c>
      <c r="F59" s="495" t="s">
        <v>242</v>
      </c>
      <c r="G59" s="495"/>
      <c r="H59" s="495"/>
      <c r="I59" s="544">
        <f>$E59*VLOOKUP($B59,'Standard values'!$C$9:$S$162,15, FALSE)*VLOOKUP(C60,'Standard values'!$C$9:$S$162,7, FALSE)/$E$172</f>
        <v>0.51980943397446866</v>
      </c>
      <c r="J59" s="544">
        <f>$E59*((VLOOKUP($B59,'Standard values'!$C$9:$S$162,15, FALSE)*VLOOKUP(C60,'Standard values'!$C$9:$S$162,8, FALSE))+VLOOKUP($B59,'Standard values'!$C$9:$S$162,16, FALSE))/$E$172</f>
        <v>3.168410544766967E-5</v>
      </c>
      <c r="K59" s="544">
        <f>$E59*((VLOOKUP($B59,'Standard values'!$C$9:$S$162,15, FALSE)*VLOOKUP(C60,'Standard values'!$C$9:$S$162,9, FALSE))+VLOOKUP($B59,'Standard values'!$C$9:$S$162,17, FALSE))/$E$172</f>
        <v>0</v>
      </c>
      <c r="L59" s="516">
        <f>I59*'Standard values'!$D$10+J59*'Standard values'!$D$11+K59*'Standard values'!$D$12</f>
        <v>0.52060153661066044</v>
      </c>
      <c r="M59" s="379"/>
      <c r="N59" s="1201">
        <f>+L59/E$25</f>
        <v>4.0670792079207922</v>
      </c>
      <c r="O59" s="390"/>
    </row>
    <row r="60" spans="1:15" x14ac:dyDescent="0.2">
      <c r="A60" s="503"/>
      <c r="B60" s="546" t="s">
        <v>54</v>
      </c>
      <c r="C60" s="547" t="s">
        <v>509</v>
      </c>
      <c r="D60" s="495"/>
      <c r="E60" s="543"/>
      <c r="F60" s="495"/>
      <c r="G60" s="495"/>
      <c r="H60" s="495"/>
      <c r="I60" s="544"/>
      <c r="J60" s="544"/>
      <c r="K60" s="544"/>
      <c r="L60" s="516"/>
      <c r="M60" s="379"/>
      <c r="N60" s="1203"/>
      <c r="O60" s="390"/>
    </row>
    <row r="61" spans="1:15" x14ac:dyDescent="0.2">
      <c r="A61" s="503"/>
      <c r="B61" s="495"/>
      <c r="C61" s="495"/>
      <c r="D61" s="495"/>
      <c r="E61" s="503"/>
      <c r="F61" s="495"/>
      <c r="G61" s="495"/>
      <c r="H61" s="548"/>
      <c r="I61" s="544"/>
      <c r="J61" s="544"/>
      <c r="K61" s="544"/>
      <c r="L61" s="516"/>
      <c r="M61" s="379"/>
      <c r="N61" s="390"/>
      <c r="O61" s="390"/>
    </row>
    <row r="62" spans="1:15" ht="14.25" x14ac:dyDescent="0.25">
      <c r="A62" s="519"/>
      <c r="B62" s="520"/>
      <c r="C62" s="520"/>
      <c r="D62" s="520"/>
      <c r="E62" s="519"/>
      <c r="F62" s="521"/>
      <c r="G62" s="521"/>
      <c r="H62" s="521" t="s">
        <v>534</v>
      </c>
      <c r="I62" s="520"/>
      <c r="J62" s="523" t="s">
        <v>1048</v>
      </c>
      <c r="K62" s="549"/>
      <c r="L62" s="525">
        <f>N59*E$25</f>
        <v>0.52060153661066044</v>
      </c>
      <c r="M62" s="379"/>
      <c r="N62" s="390"/>
      <c r="O62" s="390"/>
    </row>
    <row r="63" spans="1:15" x14ac:dyDescent="0.2">
      <c r="A63" s="390"/>
      <c r="B63" s="390"/>
      <c r="C63" s="390"/>
      <c r="D63" s="390"/>
      <c r="E63" s="390"/>
      <c r="F63" s="376"/>
      <c r="G63" s="376"/>
      <c r="H63" s="376"/>
      <c r="I63" s="390"/>
      <c r="J63" s="550"/>
      <c r="K63" s="551"/>
      <c r="L63" s="552"/>
      <c r="M63" s="379"/>
      <c r="N63" s="379"/>
      <c r="O63" s="379"/>
    </row>
    <row r="64" spans="1:15" x14ac:dyDescent="0.2">
      <c r="A64" s="390"/>
      <c r="B64" s="390"/>
      <c r="C64" s="390"/>
      <c r="D64" s="390"/>
      <c r="E64" s="390"/>
      <c r="F64" s="390"/>
      <c r="G64" s="390"/>
      <c r="H64" s="390"/>
      <c r="I64" s="390"/>
      <c r="J64" s="390"/>
      <c r="K64" s="390"/>
      <c r="L64" s="375"/>
      <c r="M64" s="379"/>
      <c r="N64" s="379"/>
      <c r="O64" s="379"/>
    </row>
    <row r="65" spans="1:15" ht="15.75" x14ac:dyDescent="0.25">
      <c r="A65" s="530" t="s">
        <v>536</v>
      </c>
      <c r="B65" s="531"/>
      <c r="C65" s="531"/>
      <c r="D65" s="531"/>
      <c r="E65" s="530" t="s">
        <v>513</v>
      </c>
      <c r="F65" s="532"/>
      <c r="G65" s="532"/>
      <c r="H65" s="531"/>
      <c r="I65" s="532" t="s">
        <v>532</v>
      </c>
      <c r="J65" s="533"/>
      <c r="K65" s="533"/>
      <c r="L65" s="534"/>
      <c r="M65" s="379"/>
      <c r="N65" s="535" t="s">
        <v>162</v>
      </c>
      <c r="O65" s="379"/>
    </row>
    <row r="66" spans="1:15" x14ac:dyDescent="0.2">
      <c r="A66" s="503"/>
      <c r="B66" s="511" t="s">
        <v>524</v>
      </c>
      <c r="C66" s="495"/>
      <c r="D66" s="495"/>
      <c r="E66" s="553"/>
      <c r="F66" s="495"/>
      <c r="G66" s="495"/>
      <c r="H66" s="495"/>
      <c r="I66" s="492" t="s">
        <v>138</v>
      </c>
      <c r="J66" s="514"/>
      <c r="K66" s="514"/>
      <c r="L66" s="537"/>
      <c r="M66" s="379"/>
      <c r="N66" s="554" t="s">
        <v>1010</v>
      </c>
      <c r="O66" s="379"/>
    </row>
    <row r="67" spans="1:15" ht="15.75" x14ac:dyDescent="0.3">
      <c r="A67" s="503"/>
      <c r="B67" s="495" t="s">
        <v>499</v>
      </c>
      <c r="C67" s="536">
        <v>0.53657882465020257</v>
      </c>
      <c r="D67" s="495" t="s">
        <v>494</v>
      </c>
      <c r="E67" s="553">
        <f>E56*C67</f>
        <v>40687.990364447454</v>
      </c>
      <c r="F67" s="495" t="s">
        <v>1030</v>
      </c>
      <c r="G67" s="495"/>
      <c r="H67" s="495"/>
      <c r="I67" s="539" t="s">
        <v>1053</v>
      </c>
      <c r="J67" s="539" t="s">
        <v>1054</v>
      </c>
      <c r="K67" s="539" t="s">
        <v>1055</v>
      </c>
      <c r="L67" s="540" t="s">
        <v>1056</v>
      </c>
      <c r="M67" s="379"/>
      <c r="N67" s="540" t="s">
        <v>1056</v>
      </c>
      <c r="O67" s="379"/>
    </row>
    <row r="68" spans="1:15" ht="15.75" x14ac:dyDescent="0.3">
      <c r="A68" s="563"/>
      <c r="B68" s="506" t="s">
        <v>125</v>
      </c>
      <c r="C68" s="728">
        <v>1.1399999999999999</v>
      </c>
      <c r="D68" s="506" t="s">
        <v>489</v>
      </c>
      <c r="E68" s="505">
        <f>E57*C67</f>
        <v>0.53126616302000251</v>
      </c>
      <c r="F68" s="506" t="s">
        <v>53</v>
      </c>
      <c r="G68" s="506"/>
      <c r="H68" s="495"/>
      <c r="I68" s="495"/>
      <c r="J68" s="495"/>
      <c r="K68" s="495"/>
      <c r="L68" s="541"/>
      <c r="M68" s="379"/>
      <c r="N68" s="541"/>
      <c r="O68" s="379"/>
    </row>
    <row r="69" spans="1:15" ht="15.75" x14ac:dyDescent="0.3">
      <c r="A69" s="563"/>
      <c r="B69" s="506"/>
      <c r="C69" s="564"/>
      <c r="D69" s="506"/>
      <c r="E69" s="762">
        <f>E67/$E$171/VLOOKUP($B67,'Standard values'!$C$9:$S$162,14, FALSE)</f>
        <v>3.7299515106303617E-2</v>
      </c>
      <c r="F69" s="495" t="s">
        <v>1009</v>
      </c>
      <c r="G69" s="495"/>
      <c r="H69" s="495"/>
      <c r="I69" s="495"/>
      <c r="J69" s="495"/>
      <c r="K69" s="495"/>
      <c r="L69" s="541"/>
      <c r="M69" s="379"/>
      <c r="N69" s="562"/>
      <c r="O69" s="379"/>
    </row>
    <row r="70" spans="1:15" x14ac:dyDescent="0.2">
      <c r="A70" s="503"/>
      <c r="B70" s="511" t="s">
        <v>525</v>
      </c>
      <c r="C70" s="495"/>
      <c r="D70" s="495"/>
      <c r="E70" s="513"/>
      <c r="F70" s="495"/>
      <c r="G70" s="495"/>
      <c r="H70" s="495"/>
      <c r="I70" s="495"/>
      <c r="J70" s="495"/>
      <c r="K70" s="495"/>
      <c r="L70" s="541"/>
      <c r="M70" s="379"/>
      <c r="N70" s="562"/>
      <c r="O70" s="379"/>
    </row>
    <row r="71" spans="1:15" ht="15.75" x14ac:dyDescent="0.3">
      <c r="A71" s="503"/>
      <c r="B71" s="495" t="s">
        <v>382</v>
      </c>
      <c r="C71" s="536">
        <f>1.4*0.0540842969041402</f>
        <v>7.5718015665796265E-2</v>
      </c>
      <c r="D71" s="495" t="s">
        <v>495</v>
      </c>
      <c r="E71" s="503" t="s">
        <v>750</v>
      </c>
      <c r="F71" s="495"/>
      <c r="G71" s="495"/>
      <c r="H71" s="495"/>
      <c r="I71" s="544"/>
      <c r="J71" s="544"/>
      <c r="K71" s="544"/>
      <c r="L71" s="419"/>
      <c r="M71" s="379"/>
      <c r="N71" s="562"/>
      <c r="O71" s="379"/>
    </row>
    <row r="72" spans="1:15" ht="15.75" x14ac:dyDescent="0.3">
      <c r="A72" s="503"/>
      <c r="B72" s="495" t="s">
        <v>751</v>
      </c>
      <c r="C72" s="536">
        <f>1.4*0.36367027228646</f>
        <v>0.50913838120104393</v>
      </c>
      <c r="D72" s="495" t="s">
        <v>495</v>
      </c>
      <c r="E72" s="503"/>
      <c r="F72" s="495"/>
      <c r="G72" s="495"/>
      <c r="H72" s="495"/>
      <c r="I72" s="544"/>
      <c r="J72" s="774"/>
      <c r="K72" s="774"/>
      <c r="L72" s="419"/>
      <c r="M72" s="379"/>
      <c r="N72" s="562"/>
      <c r="O72" s="379"/>
    </row>
    <row r="73" spans="1:15" x14ac:dyDescent="0.2">
      <c r="A73" s="503"/>
      <c r="B73" s="565" t="s">
        <v>730</v>
      </c>
      <c r="C73" s="566"/>
      <c r="D73" s="566"/>
      <c r="E73" s="567"/>
      <c r="F73" s="568"/>
      <c r="G73" s="568"/>
      <c r="H73" s="568"/>
      <c r="I73" s="566"/>
      <c r="J73" s="568"/>
      <c r="K73" s="568"/>
      <c r="L73" s="570"/>
      <c r="M73" s="379"/>
      <c r="N73" s="562"/>
      <c r="O73" s="379"/>
    </row>
    <row r="74" spans="1:15" x14ac:dyDescent="0.2">
      <c r="A74" s="503"/>
      <c r="B74" s="571" t="s">
        <v>377</v>
      </c>
      <c r="C74" s="566"/>
      <c r="D74" s="566"/>
      <c r="E74" s="567" t="s">
        <v>799</v>
      </c>
      <c r="F74" s="568"/>
      <c r="G74" s="568"/>
      <c r="H74" s="568"/>
      <c r="I74" s="569"/>
      <c r="J74" s="568"/>
      <c r="K74" s="568"/>
      <c r="L74" s="570"/>
      <c r="M74" s="379"/>
      <c r="N74" s="562"/>
      <c r="O74" s="379"/>
    </row>
    <row r="75" spans="1:15" ht="15.75" x14ac:dyDescent="0.3">
      <c r="A75" s="503"/>
      <c r="B75" s="572" t="s">
        <v>380</v>
      </c>
      <c r="C75" s="573">
        <f>C72</f>
        <v>0.50913838120104393</v>
      </c>
      <c r="D75" s="568" t="s">
        <v>495</v>
      </c>
      <c r="E75" s="567" t="s">
        <v>768</v>
      </c>
      <c r="F75" s="568"/>
      <c r="G75" s="568"/>
      <c r="H75" s="568"/>
      <c r="I75" s="574"/>
      <c r="J75" s="574"/>
      <c r="K75" s="574"/>
      <c r="L75" s="575"/>
      <c r="M75" s="379"/>
      <c r="N75" s="562"/>
      <c r="O75" s="379"/>
    </row>
    <row r="76" spans="1:15" x14ac:dyDescent="0.2">
      <c r="A76" s="503"/>
      <c r="B76" s="571" t="s">
        <v>378</v>
      </c>
      <c r="C76" s="573"/>
      <c r="D76" s="566"/>
      <c r="E76" s="576"/>
      <c r="F76" s="568"/>
      <c r="G76" s="568"/>
      <c r="H76" s="568"/>
      <c r="I76" s="574"/>
      <c r="J76" s="574"/>
      <c r="K76" s="574"/>
      <c r="L76" s="575"/>
      <c r="M76" s="379"/>
      <c r="N76" s="562"/>
      <c r="O76" s="379"/>
    </row>
    <row r="77" spans="1:15" ht="14.25" x14ac:dyDescent="0.25">
      <c r="A77" s="503"/>
      <c r="B77" s="577" t="s">
        <v>916</v>
      </c>
      <c r="C77" s="536">
        <v>1.4049</v>
      </c>
      <c r="D77" s="568" t="s">
        <v>419</v>
      </c>
      <c r="E77" s="578"/>
      <c r="F77" s="568"/>
      <c r="G77" s="568"/>
      <c r="H77" s="568"/>
      <c r="I77" s="574"/>
      <c r="J77" s="574"/>
      <c r="K77" s="574"/>
      <c r="L77" s="575"/>
      <c r="M77" s="379"/>
      <c r="N77" s="562"/>
      <c r="O77" s="379"/>
    </row>
    <row r="78" spans="1:15" ht="15.75" x14ac:dyDescent="0.3">
      <c r="A78" s="503"/>
      <c r="B78" s="572" t="s">
        <v>800</v>
      </c>
      <c r="C78" s="573">
        <f>C77*C72</f>
        <v>0.7152885117493466</v>
      </c>
      <c r="D78" s="568" t="s">
        <v>495</v>
      </c>
      <c r="E78" s="578"/>
      <c r="F78" s="568"/>
      <c r="G78" s="568"/>
      <c r="H78" s="568"/>
      <c r="I78" s="574"/>
      <c r="J78" s="574"/>
      <c r="K78" s="574"/>
      <c r="L78" s="575"/>
      <c r="M78" s="379"/>
      <c r="N78" s="562"/>
      <c r="O78" s="379"/>
    </row>
    <row r="79" spans="1:15" x14ac:dyDescent="0.2">
      <c r="A79" s="503"/>
      <c r="B79" s="571" t="s">
        <v>935</v>
      </c>
      <c r="C79" s="573"/>
      <c r="D79" s="566"/>
      <c r="E79" s="567"/>
      <c r="F79" s="568"/>
      <c r="G79" s="568"/>
      <c r="H79" s="568"/>
      <c r="I79" s="569" t="s">
        <v>532</v>
      </c>
      <c r="J79" s="574"/>
      <c r="K79" s="574"/>
      <c r="L79" s="575"/>
      <c r="M79" s="379"/>
      <c r="N79" s="562"/>
      <c r="O79" s="379"/>
    </row>
    <row r="80" spans="1:15" ht="15.75" x14ac:dyDescent="0.3">
      <c r="A80" s="503"/>
      <c r="B80" s="572" t="s">
        <v>448</v>
      </c>
      <c r="C80" s="573"/>
      <c r="D80" s="566"/>
      <c r="E80" s="567"/>
      <c r="F80" s="568"/>
      <c r="G80" s="568"/>
      <c r="H80" s="568"/>
      <c r="I80" s="574">
        <f>$C72*$E$68*VLOOKUP($B80,'Standard values'!$C$9:$S$159,7, FALSE)/$E$172</f>
        <v>0</v>
      </c>
      <c r="J80" s="574">
        <f>$C72*$E$68*VLOOKUP($B80,'Standard values'!$C$9:$S$159,8, FALSE)/$E$172</f>
        <v>1.1738468233246291E-3</v>
      </c>
      <c r="K80" s="574">
        <f>$C72*$E$68*VLOOKUP($B80,'Standard values'!$C$9:$S$159,9, FALSE)/$E$172</f>
        <v>6.4208006962576097E-3</v>
      </c>
      <c r="L80" s="575">
        <f>I80*'Standard values'!$D$10+J80*'Standard values'!$D$11+K80*'Standard values'!$D$12</f>
        <v>1.9427447780678835</v>
      </c>
      <c r="M80" s="379"/>
      <c r="N80" s="562">
        <f>+L80/$E$69</f>
        <v>52.084987499999954</v>
      </c>
      <c r="O80" s="379"/>
    </row>
    <row r="81" spans="1:15" ht="15.75" x14ac:dyDescent="0.3">
      <c r="A81" s="503"/>
      <c r="B81" s="579" t="s">
        <v>1038</v>
      </c>
      <c r="C81" s="573">
        <f>C77*C72</f>
        <v>0.7152885117493466</v>
      </c>
      <c r="D81" s="568" t="s">
        <v>495</v>
      </c>
      <c r="E81" s="567"/>
      <c r="F81" s="568"/>
      <c r="G81" s="568"/>
      <c r="H81" s="568"/>
      <c r="I81" s="574">
        <f>$C81*$E$68*VLOOKUP($B81,'Standard values'!$C$9:$S$162,7, FALSE)/$E$172</f>
        <v>83.515020242819773</v>
      </c>
      <c r="J81" s="574">
        <f>$C81*$E$68*VLOOKUP($B81,'Standard values'!$C$9:$S$162,8, FALSE)/$E$172</f>
        <v>6.4773348563968601E-3</v>
      </c>
      <c r="K81" s="574">
        <f>$C81*$E$68*VLOOKUP($B81,'Standard values'!$C$9:$S$162,9, FALSE)/$E$172</f>
        <v>3.973825065274148E-5</v>
      </c>
      <c r="L81" s="575">
        <f>I81*'Standard values'!$D$10+J81*'Standard values'!$D$11+K81*'Standard values'!$D$12</f>
        <v>83.68879561292421</v>
      </c>
      <c r="M81" s="379"/>
      <c r="N81" s="562">
        <f>+L81/$E$69</f>
        <v>2243.696610382498</v>
      </c>
      <c r="O81" s="379"/>
    </row>
    <row r="82" spans="1:15" x14ac:dyDescent="0.2">
      <c r="A82" s="503"/>
      <c r="B82" s="580" t="s">
        <v>801</v>
      </c>
      <c r="C82" s="573"/>
      <c r="D82" s="568"/>
      <c r="E82" s="567"/>
      <c r="F82" s="568"/>
      <c r="G82" s="568"/>
      <c r="H82" s="568"/>
      <c r="I82" s="574"/>
      <c r="J82" s="574"/>
      <c r="K82" s="574"/>
      <c r="L82" s="575"/>
      <c r="M82" s="379"/>
      <c r="N82" s="562"/>
      <c r="O82" s="379"/>
    </row>
    <row r="83" spans="1:15" ht="14.25" x14ac:dyDescent="0.25">
      <c r="A83" s="503"/>
      <c r="B83" s="577" t="s">
        <v>348</v>
      </c>
      <c r="C83" s="536">
        <v>0.22220000000000001</v>
      </c>
      <c r="D83" s="568" t="s">
        <v>419</v>
      </c>
      <c r="E83" s="567"/>
      <c r="F83" s="568"/>
      <c r="G83" s="568"/>
      <c r="H83" s="568"/>
      <c r="I83" s="574"/>
      <c r="J83" s="581"/>
      <c r="K83" s="581"/>
      <c r="L83" s="575"/>
      <c r="M83" s="379"/>
      <c r="N83" s="562"/>
      <c r="O83" s="379"/>
    </row>
    <row r="84" spans="1:15" ht="15.75" x14ac:dyDescent="0.3">
      <c r="A84" s="503"/>
      <c r="B84" s="577" t="s">
        <v>454</v>
      </c>
      <c r="C84" s="573">
        <f>C83*C72</f>
        <v>0.11313054830287196</v>
      </c>
      <c r="D84" s="568" t="s">
        <v>495</v>
      </c>
      <c r="E84" s="567" t="s">
        <v>381</v>
      </c>
      <c r="F84" s="568"/>
      <c r="G84" s="568"/>
      <c r="H84" s="568"/>
      <c r="I84" s="574"/>
      <c r="J84" s="581"/>
      <c r="K84" s="581"/>
      <c r="L84" s="575"/>
      <c r="M84" s="379"/>
      <c r="N84" s="562"/>
      <c r="O84" s="379"/>
    </row>
    <row r="85" spans="1:15" ht="27" x14ac:dyDescent="0.3">
      <c r="A85" s="503"/>
      <c r="B85" s="579" t="s">
        <v>347</v>
      </c>
      <c r="C85" s="573">
        <f>C71-C84</f>
        <v>-3.7412532637075696E-2</v>
      </c>
      <c r="D85" s="568" t="s">
        <v>495</v>
      </c>
      <c r="E85" s="567"/>
      <c r="F85" s="568"/>
      <c r="G85" s="568"/>
      <c r="H85" s="568"/>
      <c r="I85" s="574"/>
      <c r="J85" s="581"/>
      <c r="K85" s="581"/>
      <c r="L85" s="575"/>
      <c r="M85" s="379"/>
      <c r="N85" s="562"/>
      <c r="O85" s="379"/>
    </row>
    <row r="86" spans="1:15" ht="15.75" x14ac:dyDescent="0.3">
      <c r="A86" s="503"/>
      <c r="B86" s="577" t="str">
        <f>IF(C85&gt;0, "Specify national electricity mix", "Electricity credit (Lignite ST)")</f>
        <v>Electricity credit (Lignite ST)</v>
      </c>
      <c r="C86" s="573">
        <f>ABS(C71-C84)</f>
        <v>3.7412532637075696E-2</v>
      </c>
      <c r="D86" s="568" t="s">
        <v>495</v>
      </c>
      <c r="E86" s="567" t="str">
        <f>IF(C85&gt;0, "Electricity use in ethanol plant larger than generation", "Surplus electricity. Credit is calculated following")</f>
        <v>Surplus electricity. Credit is calculated following</v>
      </c>
      <c r="F86" s="568"/>
      <c r="G86" s="568"/>
      <c r="H86" s="568"/>
      <c r="I86" s="574">
        <f>$C86*$E$68*VLOOKUP($B86,'Standard values'!$C$9:$S$162,7, FALSE)/$E$172</f>
        <v>-10.653989142104432</v>
      </c>
      <c r="J86" s="574">
        <f>$C86*$E$68*VLOOKUP($B86,'Standard values'!$C$9:$S$162,8, FALSE)/$E$172</f>
        <v>-9.6737793487090319E-4</v>
      </c>
      <c r="K86" s="574">
        <f>$C86*$E$68*VLOOKUP($B86,'Standard values'!$C$9:$S$162,9, FALSE)/$E$172</f>
        <v>-2.9100507122135184E-4</v>
      </c>
      <c r="L86" s="575">
        <f>I86*'Standard values'!$D$10+J86*'Standard values'!$D$11+K86*'Standard values'!$D$12</f>
        <v>-10.764893101700167</v>
      </c>
      <c r="M86" s="379"/>
      <c r="N86" s="562">
        <f>+L86/$E$69</f>
        <v>-288.60678405658149</v>
      </c>
      <c r="O86" s="379"/>
    </row>
    <row r="87" spans="1:15" x14ac:dyDescent="0.2">
      <c r="A87" s="503"/>
      <c r="B87" s="582"/>
      <c r="C87" s="573"/>
      <c r="D87" s="568"/>
      <c r="E87" s="567" t="str">
        <f>IF(C85&gt;0, "   in NG CHP. Therefore calculated as national electricity mix", "   RED Annex V.C.16")</f>
        <v xml:space="preserve">   RED Annex V.C.16</v>
      </c>
      <c r="F87" s="568"/>
      <c r="G87" s="568"/>
      <c r="H87" s="568"/>
      <c r="I87" s="574"/>
      <c r="J87" s="574"/>
      <c r="K87" s="574"/>
      <c r="L87" s="575"/>
      <c r="M87" s="379"/>
      <c r="N87" s="562"/>
      <c r="O87" s="379"/>
    </row>
    <row r="88" spans="1:15" x14ac:dyDescent="0.2">
      <c r="A88" s="503"/>
      <c r="B88" s="511"/>
      <c r="C88" s="495"/>
      <c r="D88" s="495"/>
      <c r="E88" s="503"/>
      <c r="F88" s="495"/>
      <c r="G88" s="495"/>
      <c r="H88" s="514" t="s">
        <v>1047</v>
      </c>
      <c r="I88" s="583">
        <f>SUM(I70:I87)</f>
        <v>72.861031100715337</v>
      </c>
      <c r="J88" s="583">
        <f>SUM(J70:J87)</f>
        <v>6.683803744850586E-3</v>
      </c>
      <c r="K88" s="583">
        <f>SUM(K70:K87)</f>
        <v>6.1695338756889992E-3</v>
      </c>
      <c r="L88" s="516">
        <f>I88*'Standard values'!$D$10+J88*'Standard values'!$D$11+K88*'Standard values'!$D$12</f>
        <v>74.866647289291933</v>
      </c>
      <c r="M88" s="379"/>
      <c r="N88" s="545">
        <f>+L88/$E$69</f>
        <v>2007.1748138259168</v>
      </c>
      <c r="O88" s="379"/>
    </row>
    <row r="89" spans="1:15" x14ac:dyDescent="0.2">
      <c r="A89" s="503"/>
      <c r="B89" s="682"/>
      <c r="C89" s="499"/>
      <c r="D89" s="499"/>
      <c r="E89" s="503"/>
      <c r="F89" s="495"/>
      <c r="G89" s="495"/>
      <c r="H89" s="495"/>
      <c r="I89" s="495"/>
      <c r="J89" s="495"/>
      <c r="K89" s="495"/>
      <c r="L89" s="541"/>
      <c r="M89" s="379"/>
      <c r="N89" s="390"/>
      <c r="O89" s="379"/>
    </row>
    <row r="90" spans="1:15" ht="14.25" x14ac:dyDescent="0.25">
      <c r="A90" s="519"/>
      <c r="B90" s="520"/>
      <c r="C90" s="520"/>
      <c r="D90" s="520"/>
      <c r="E90" s="519"/>
      <c r="F90" s="521"/>
      <c r="G90" s="521"/>
      <c r="H90" s="521" t="s">
        <v>534</v>
      </c>
      <c r="I90" s="520"/>
      <c r="J90" s="523" t="s">
        <v>1048</v>
      </c>
      <c r="K90" s="549"/>
      <c r="L90" s="525">
        <f>L88</f>
        <v>74.866647289291933</v>
      </c>
      <c r="M90" s="379"/>
      <c r="N90" s="390"/>
      <c r="O90" s="379"/>
    </row>
    <row r="91" spans="1:15" x14ac:dyDescent="0.2">
      <c r="A91" s="390"/>
      <c r="B91" s="390"/>
      <c r="C91" s="390"/>
      <c r="D91" s="390"/>
      <c r="E91" s="390"/>
      <c r="F91" s="376"/>
      <c r="G91" s="376"/>
      <c r="H91" s="376"/>
      <c r="I91" s="390"/>
      <c r="J91" s="550"/>
      <c r="K91" s="551"/>
      <c r="L91" s="585"/>
      <c r="M91" s="379"/>
      <c r="N91" s="390"/>
      <c r="O91" s="390"/>
    </row>
    <row r="92" spans="1:15" x14ac:dyDescent="0.2">
      <c r="A92" s="390"/>
      <c r="B92" s="390"/>
      <c r="C92" s="390"/>
      <c r="D92" s="390"/>
      <c r="E92" s="390"/>
      <c r="F92" s="376"/>
      <c r="G92" s="376"/>
      <c r="H92" s="376"/>
      <c r="I92" s="390"/>
      <c r="J92" s="550"/>
      <c r="K92" s="551"/>
      <c r="L92" s="585"/>
      <c r="M92" s="379"/>
      <c r="N92" s="390"/>
      <c r="O92" s="390"/>
    </row>
    <row r="93" spans="1:15" ht="15.75" x14ac:dyDescent="0.25">
      <c r="A93" s="530" t="s">
        <v>1057</v>
      </c>
      <c r="B93" s="531"/>
      <c r="C93" s="531"/>
      <c r="D93" s="531"/>
      <c r="E93" s="608" t="s">
        <v>526</v>
      </c>
      <c r="F93" s="606"/>
      <c r="G93" s="606"/>
      <c r="H93" s="606"/>
      <c r="I93" s="607"/>
      <c r="J93" s="608" t="s">
        <v>1048</v>
      </c>
      <c r="K93" s="607"/>
      <c r="L93" s="609">
        <f>L43+L52+L62+L90</f>
        <v>114.85246164918189</v>
      </c>
      <c r="M93" s="379"/>
      <c r="N93" s="535" t="s">
        <v>162</v>
      </c>
      <c r="O93" s="390"/>
    </row>
    <row r="94" spans="1:15" ht="15.75" x14ac:dyDescent="0.25">
      <c r="A94" s="610" t="s">
        <v>937</v>
      </c>
      <c r="B94" s="611"/>
      <c r="C94" s="611"/>
      <c r="D94" s="611"/>
      <c r="E94" s="613"/>
      <c r="F94" s="613"/>
      <c r="G94" s="613"/>
      <c r="H94" s="613"/>
      <c r="I94" s="613"/>
      <c r="J94" s="613"/>
      <c r="K94" s="613"/>
      <c r="L94" s="614"/>
      <c r="M94" s="379"/>
      <c r="N94" s="554" t="s">
        <v>1010</v>
      </c>
      <c r="O94" s="390"/>
    </row>
    <row r="95" spans="1:15" ht="15.75" x14ac:dyDescent="0.3">
      <c r="A95" s="567"/>
      <c r="B95" s="568"/>
      <c r="C95" s="568"/>
      <c r="D95" s="683"/>
      <c r="E95" s="683"/>
      <c r="F95" s="683"/>
      <c r="G95" s="683"/>
      <c r="H95" s="683" t="s">
        <v>667</v>
      </c>
      <c r="I95" s="684">
        <f>L93</f>
        <v>114.85246164918189</v>
      </c>
      <c r="J95" s="568" t="s">
        <v>137</v>
      </c>
      <c r="K95" s="568"/>
      <c r="L95" s="685"/>
      <c r="M95" s="379"/>
      <c r="N95" s="540" t="s">
        <v>1056</v>
      </c>
      <c r="O95" s="390"/>
    </row>
    <row r="96" spans="1:15" ht="15.75" x14ac:dyDescent="0.3">
      <c r="A96" s="567"/>
      <c r="B96" s="568" t="s">
        <v>51</v>
      </c>
      <c r="C96" s="568" t="s">
        <v>499</v>
      </c>
      <c r="D96" s="568"/>
      <c r="E96" s="683" t="s">
        <v>118</v>
      </c>
      <c r="F96" s="747">
        <f>1*1000*VLOOKUP($C96,'Standard values'!$C$9:$S$162,14, FALSE)</f>
        <v>26810</v>
      </c>
      <c r="G96" s="747"/>
      <c r="H96" s="568" t="s">
        <v>501</v>
      </c>
      <c r="I96" s="574">
        <f>$I$95*F96/F$98</f>
        <v>68.350599263364415</v>
      </c>
      <c r="J96" s="568" t="s">
        <v>137</v>
      </c>
      <c r="K96" s="568"/>
      <c r="L96" s="685"/>
      <c r="M96" s="379"/>
      <c r="N96" s="541"/>
      <c r="O96" s="390"/>
    </row>
    <row r="97" spans="1:15" ht="15.75" x14ac:dyDescent="0.3">
      <c r="A97" s="567"/>
      <c r="B97" s="568" t="s">
        <v>123</v>
      </c>
      <c r="C97" s="568" t="s">
        <v>121</v>
      </c>
      <c r="D97" s="568"/>
      <c r="E97" s="683" t="s">
        <v>119</v>
      </c>
      <c r="F97" s="747">
        <f>C68*1000*VLOOKUP($C97,'Standard values'!$C$9:$S$162,14, FALSE)</f>
        <v>18240</v>
      </c>
      <c r="G97" s="747"/>
      <c r="H97" s="568" t="s">
        <v>501</v>
      </c>
      <c r="I97" s="574">
        <f>$I$95*F97/F$98</f>
        <v>46.501862385817482</v>
      </c>
      <c r="J97" s="568" t="s">
        <v>137</v>
      </c>
      <c r="K97" s="568"/>
      <c r="L97" s="685"/>
      <c r="M97" s="379"/>
      <c r="N97" s="562"/>
      <c r="O97" s="390"/>
    </row>
    <row r="98" spans="1:15" x14ac:dyDescent="0.2">
      <c r="A98" s="567"/>
      <c r="B98" s="568"/>
      <c r="C98" s="568"/>
      <c r="D98" s="568"/>
      <c r="E98" s="568" t="s">
        <v>533</v>
      </c>
      <c r="F98" s="747">
        <f>SUM(F96:F97)</f>
        <v>45050</v>
      </c>
      <c r="G98" s="747"/>
      <c r="H98" s="568" t="s">
        <v>501</v>
      </c>
      <c r="I98" s="568"/>
      <c r="J98" s="568"/>
      <c r="K98" s="568"/>
      <c r="L98" s="685"/>
      <c r="M98" s="379"/>
      <c r="N98" s="562"/>
      <c r="O98" s="390"/>
    </row>
    <row r="99" spans="1:15" ht="14.25" x14ac:dyDescent="0.25">
      <c r="A99" s="519"/>
      <c r="B99" s="520"/>
      <c r="C99" s="520"/>
      <c r="D99" s="520"/>
      <c r="E99" s="523" t="s">
        <v>1058</v>
      </c>
      <c r="F99" s="521"/>
      <c r="G99" s="521"/>
      <c r="H99" s="687"/>
      <c r="I99" s="520"/>
      <c r="J99" s="523" t="s">
        <v>1048</v>
      </c>
      <c r="K99" s="687"/>
      <c r="L99" s="525">
        <f>I96</f>
        <v>68.350599263364415</v>
      </c>
      <c r="M99" s="379"/>
      <c r="N99" s="545">
        <f>+L99/$E$69</f>
        <v>1832.4795662508</v>
      </c>
      <c r="O99" s="379"/>
    </row>
    <row r="100" spans="1:15" x14ac:dyDescent="0.2">
      <c r="A100" s="390"/>
      <c r="B100" s="390"/>
      <c r="C100" s="390"/>
      <c r="D100" s="379"/>
      <c r="E100" s="379"/>
      <c r="F100" s="551"/>
      <c r="G100" s="551"/>
      <c r="H100" s="437"/>
      <c r="I100" s="378"/>
      <c r="J100" s="379"/>
      <c r="K100" s="379"/>
      <c r="L100" s="586"/>
      <c r="M100" s="379"/>
      <c r="N100" s="379"/>
      <c r="O100" s="379"/>
    </row>
    <row r="101" spans="1:15" x14ac:dyDescent="0.2">
      <c r="A101" s="375"/>
      <c r="B101" s="585"/>
      <c r="C101" s="386"/>
      <c r="D101" s="390"/>
      <c r="E101" s="379"/>
      <c r="F101" s="379"/>
      <c r="G101" s="379"/>
      <c r="H101" s="379"/>
      <c r="I101" s="379"/>
      <c r="J101" s="591"/>
      <c r="K101" s="379"/>
      <c r="L101" s="379"/>
      <c r="M101" s="379"/>
      <c r="N101" s="379"/>
      <c r="O101" s="379"/>
    </row>
    <row r="102" spans="1:15" ht="15.75" x14ac:dyDescent="0.25">
      <c r="A102" s="530" t="s">
        <v>809</v>
      </c>
      <c r="B102" s="532"/>
      <c r="C102" s="531"/>
      <c r="D102" s="531"/>
      <c r="E102" s="530" t="s">
        <v>513</v>
      </c>
      <c r="F102" s="532"/>
      <c r="G102" s="532"/>
      <c r="H102" s="531"/>
      <c r="I102" s="532" t="s">
        <v>532</v>
      </c>
      <c r="J102" s="533"/>
      <c r="K102" s="533"/>
      <c r="L102" s="534"/>
      <c r="M102" s="379"/>
      <c r="N102" s="535" t="s">
        <v>162</v>
      </c>
      <c r="O102" s="379"/>
    </row>
    <row r="103" spans="1:15" ht="15.75" x14ac:dyDescent="0.3">
      <c r="A103" s="503"/>
      <c r="B103" s="511" t="s">
        <v>499</v>
      </c>
      <c r="C103" s="593">
        <v>1</v>
      </c>
      <c r="D103" s="495" t="s">
        <v>497</v>
      </c>
      <c r="E103" s="513">
        <f>E67*C103</f>
        <v>40687.990364447454</v>
      </c>
      <c r="F103" s="495" t="s">
        <v>1030</v>
      </c>
      <c r="G103" s="495"/>
      <c r="H103" s="594"/>
      <c r="I103" s="492" t="s">
        <v>138</v>
      </c>
      <c r="J103" s="514"/>
      <c r="K103" s="514"/>
      <c r="L103" s="537"/>
      <c r="M103" s="379"/>
      <c r="N103" s="554" t="s">
        <v>1010</v>
      </c>
      <c r="O103" s="379"/>
    </row>
    <row r="104" spans="1:15" ht="15.75" x14ac:dyDescent="0.3">
      <c r="A104" s="503"/>
      <c r="B104" s="495"/>
      <c r="C104" s="495"/>
      <c r="D104" s="495"/>
      <c r="E104" s="505">
        <f>E68*C103</f>
        <v>0.53126616302000251</v>
      </c>
      <c r="F104" s="506" t="s">
        <v>53</v>
      </c>
      <c r="G104" s="506"/>
      <c r="H104" s="594"/>
      <c r="I104" s="539" t="s">
        <v>1053</v>
      </c>
      <c r="J104" s="539" t="s">
        <v>1054</v>
      </c>
      <c r="K104" s="539" t="s">
        <v>1055</v>
      </c>
      <c r="L104" s="540" t="s">
        <v>1056</v>
      </c>
      <c r="M104" s="379"/>
      <c r="N104" s="540" t="s">
        <v>1056</v>
      </c>
      <c r="O104" s="379"/>
    </row>
    <row r="105" spans="1:15" x14ac:dyDescent="0.2">
      <c r="A105" s="503"/>
      <c r="B105" s="511" t="s">
        <v>498</v>
      </c>
      <c r="C105" s="495"/>
      <c r="D105" s="495"/>
      <c r="E105" s="513"/>
      <c r="F105" s="495"/>
      <c r="G105" s="495"/>
      <c r="H105" s="495"/>
      <c r="I105" s="495"/>
      <c r="J105" s="495"/>
      <c r="K105" s="495"/>
      <c r="L105" s="541"/>
      <c r="M105" s="379"/>
      <c r="N105" s="541"/>
      <c r="O105" s="379"/>
    </row>
    <row r="106" spans="1:15" ht="15.75" x14ac:dyDescent="0.3">
      <c r="A106" s="503"/>
      <c r="B106" s="495" t="s">
        <v>159</v>
      </c>
      <c r="C106" s="595">
        <v>150</v>
      </c>
      <c r="D106" s="495" t="s">
        <v>510</v>
      </c>
      <c r="E106" s="543">
        <f>(C106*E104/VLOOKUP($B103,'Standard values'!$C$9:$S$162,14, FALSE))/1000</f>
        <v>2.9723955409548817E-3</v>
      </c>
      <c r="F106" s="495" t="s">
        <v>242</v>
      </c>
      <c r="G106" s="495"/>
      <c r="H106" s="495"/>
      <c r="I106" s="544">
        <f>$E106*VLOOKUP($B106,'Standard values'!$C$9:$S$162,15, FALSE)*VLOOKUP(C107,'Standard values'!$C$9:$S$162,7, FALSE)/$E$172</f>
        <v>0.49425587467362919</v>
      </c>
      <c r="J106" s="544">
        <f>$E106*((VLOOKUP($B106,'Standard values'!$C$9:$S$162,15, FALSE)*VLOOKUP(C107,'Standard values'!$C$9:$S$162,8, FALSE))+VLOOKUP($B106,'Standard values'!$C$9:$S$162,16, FALSE))/$E$172</f>
        <v>2.7974636329727714E-5</v>
      </c>
      <c r="K106" s="544">
        <f>$E106*((VLOOKUP($B106,'Standard values'!$C$9:$S$162,15, FALSE)*VLOOKUP(C107,'Standard values'!$C$9:$S$162,9, FALSE))+VLOOKUP($B106,'Standard values'!$C$9:$S$162,17, FALSE))/$E$172</f>
        <v>0</v>
      </c>
      <c r="L106" s="516">
        <f>I106*'Standard values'!$D$10+J106*'Standard values'!$D$11+K106*'Standard values'!$D$12</f>
        <v>0.4949552405818724</v>
      </c>
      <c r="M106" s="379"/>
      <c r="N106" s="562">
        <f>+L106/$E$69</f>
        <v>13.26975</v>
      </c>
      <c r="O106" s="379"/>
    </row>
    <row r="107" spans="1:15" x14ac:dyDescent="0.2">
      <c r="A107" s="503"/>
      <c r="B107" s="546" t="s">
        <v>54</v>
      </c>
      <c r="C107" s="673" t="s">
        <v>509</v>
      </c>
      <c r="D107" s="495"/>
      <c r="E107" s="503"/>
      <c r="F107" s="495"/>
      <c r="G107" s="495"/>
      <c r="H107" s="495"/>
      <c r="I107" s="544"/>
      <c r="J107" s="544"/>
      <c r="K107" s="544"/>
      <c r="L107" s="516"/>
      <c r="M107" s="379"/>
      <c r="N107" s="562"/>
      <c r="O107" s="379"/>
    </row>
    <row r="108" spans="1:15" x14ac:dyDescent="0.2">
      <c r="A108" s="503"/>
      <c r="B108" s="495"/>
      <c r="C108" s="668"/>
      <c r="D108" s="495"/>
      <c r="E108" s="543"/>
      <c r="F108" s="495"/>
      <c r="G108" s="495"/>
      <c r="H108" s="495"/>
      <c r="I108" s="544"/>
      <c r="J108" s="544"/>
      <c r="K108" s="544"/>
      <c r="L108" s="516"/>
      <c r="M108" s="379"/>
      <c r="N108" s="584"/>
      <c r="O108" s="379"/>
    </row>
    <row r="109" spans="1:15" x14ac:dyDescent="0.2">
      <c r="A109" s="503"/>
      <c r="B109" s="511" t="s">
        <v>444</v>
      </c>
      <c r="C109" s="495"/>
      <c r="D109" s="495"/>
      <c r="E109" s="503"/>
      <c r="F109" s="495"/>
      <c r="G109" s="495"/>
      <c r="H109" s="495"/>
      <c r="I109" s="544"/>
      <c r="J109" s="544"/>
      <c r="K109" s="544"/>
      <c r="L109" s="584"/>
      <c r="M109" s="379"/>
      <c r="N109" s="584"/>
      <c r="O109" s="379"/>
    </row>
    <row r="110" spans="1:15" ht="15.75" x14ac:dyDescent="0.3">
      <c r="A110" s="590"/>
      <c r="B110" s="1301" t="s">
        <v>49</v>
      </c>
      <c r="C110" s="542">
        <v>8.4000000000000003E-4</v>
      </c>
      <c r="D110" s="495" t="s">
        <v>495</v>
      </c>
      <c r="E110" s="503"/>
      <c r="F110" s="495"/>
      <c r="G110" s="495"/>
      <c r="H110" s="495"/>
      <c r="I110" s="544">
        <f>$C110*$E$104*VLOOKUP($B110,'Standard values'!$C$9:$S$162,7, FALSE)/$E$172</f>
        <v>0.10146738000000001</v>
      </c>
      <c r="J110" s="544">
        <f>$C110*$E$104*VLOOKUP($B110,'Standard values'!$C$9:$S$162,8, FALSE)/$E$172</f>
        <v>2.4744999999999997E-4</v>
      </c>
      <c r="K110" s="544">
        <f>$C110*$E$104*VLOOKUP($B110,'Standard values'!$C$9:$S$162,9, FALSE)/$E$172</f>
        <v>4.5966666666666661E-6</v>
      </c>
      <c r="L110" s="516">
        <f>I110*'Standard values'!$D$10+J110*'Standard values'!$D$11+K110*'Standard values'!$D$12</f>
        <v>0.10902343666666668</v>
      </c>
      <c r="M110" s="379"/>
      <c r="N110" s="562">
        <f>+L110/$E$69</f>
        <v>2.9229183370333338</v>
      </c>
      <c r="O110" s="379"/>
    </row>
    <row r="111" spans="1:15" ht="14.25" x14ac:dyDescent="0.25">
      <c r="A111" s="519"/>
      <c r="B111" s="520"/>
      <c r="C111" s="520"/>
      <c r="D111" s="520"/>
      <c r="E111" s="519"/>
      <c r="F111" s="521"/>
      <c r="G111" s="521"/>
      <c r="H111" s="521" t="s">
        <v>534</v>
      </c>
      <c r="I111" s="520"/>
      <c r="J111" s="523" t="s">
        <v>1048</v>
      </c>
      <c r="K111" s="549"/>
      <c r="L111" s="525">
        <f>L110+L106</f>
        <v>0.60397867724853904</v>
      </c>
      <c r="M111" s="379"/>
      <c r="N111" s="545">
        <f>+L111/$E$69</f>
        <v>16.192668337033332</v>
      </c>
      <c r="O111" s="379"/>
    </row>
    <row r="112" spans="1:15" x14ac:dyDescent="0.2">
      <c r="A112" s="390"/>
      <c r="B112" s="390"/>
      <c r="C112" s="390"/>
      <c r="D112" s="390"/>
      <c r="E112" s="390"/>
      <c r="F112" s="376"/>
      <c r="G112" s="376"/>
      <c r="H112" s="376"/>
      <c r="I112" s="390"/>
      <c r="J112" s="550"/>
      <c r="K112" s="551"/>
      <c r="L112" s="552"/>
      <c r="M112" s="379"/>
      <c r="N112" s="390"/>
      <c r="O112" s="379"/>
    </row>
    <row r="113" spans="1:15" x14ac:dyDescent="0.2">
      <c r="A113" s="390"/>
      <c r="B113" s="390"/>
      <c r="C113" s="390"/>
      <c r="D113" s="390"/>
      <c r="E113" s="390"/>
      <c r="F113" s="376"/>
      <c r="G113" s="376"/>
      <c r="H113" s="376"/>
      <c r="I113" s="390"/>
      <c r="J113" s="550"/>
      <c r="K113" s="551"/>
      <c r="L113" s="552"/>
      <c r="M113" s="379"/>
      <c r="N113" s="379"/>
      <c r="O113" s="379"/>
    </row>
    <row r="114" spans="1:15" ht="15.75" x14ac:dyDescent="0.25">
      <c r="A114" s="530" t="s">
        <v>810</v>
      </c>
      <c r="B114" s="531"/>
      <c r="C114" s="531"/>
      <c r="D114" s="531"/>
      <c r="E114" s="530" t="s">
        <v>513</v>
      </c>
      <c r="F114" s="531"/>
      <c r="G114" s="531"/>
      <c r="H114" s="531"/>
      <c r="I114" s="531"/>
      <c r="J114" s="531"/>
      <c r="K114" s="531"/>
      <c r="L114" s="596"/>
      <c r="M114" s="379"/>
      <c r="N114" s="535" t="s">
        <v>162</v>
      </c>
      <c r="O114" s="379"/>
    </row>
    <row r="115" spans="1:15" ht="15.75" x14ac:dyDescent="0.3">
      <c r="A115" s="503"/>
      <c r="B115" s="511" t="s">
        <v>499</v>
      </c>
      <c r="C115" s="593">
        <v>1</v>
      </c>
      <c r="D115" s="495" t="s">
        <v>497</v>
      </c>
      <c r="E115" s="513">
        <f>E103*C115</f>
        <v>40687.990364447454</v>
      </c>
      <c r="F115" s="495" t="s">
        <v>1030</v>
      </c>
      <c r="G115" s="495"/>
      <c r="H115" s="495"/>
      <c r="I115" s="492" t="s">
        <v>138</v>
      </c>
      <c r="J115" s="514"/>
      <c r="K115" s="514"/>
      <c r="L115" s="537"/>
      <c r="M115" s="379"/>
      <c r="N115" s="554" t="s">
        <v>1010</v>
      </c>
      <c r="O115" s="379"/>
    </row>
    <row r="116" spans="1:15" ht="15.75" x14ac:dyDescent="0.3">
      <c r="A116" s="503"/>
      <c r="B116" s="495"/>
      <c r="C116" s="495"/>
      <c r="D116" s="495"/>
      <c r="E116" s="505">
        <f>E104*C115</f>
        <v>0.53126616302000251</v>
      </c>
      <c r="F116" s="506" t="s">
        <v>53</v>
      </c>
      <c r="G116" s="506"/>
      <c r="H116" s="495"/>
      <c r="I116" s="539" t="s">
        <v>1053</v>
      </c>
      <c r="J116" s="539" t="s">
        <v>1054</v>
      </c>
      <c r="K116" s="539" t="s">
        <v>1055</v>
      </c>
      <c r="L116" s="540" t="s">
        <v>1056</v>
      </c>
      <c r="M116" s="379"/>
      <c r="N116" s="540" t="s">
        <v>1056</v>
      </c>
      <c r="O116" s="379"/>
    </row>
    <row r="117" spans="1:15" x14ac:dyDescent="0.2">
      <c r="A117" s="503"/>
      <c r="B117" s="511" t="s">
        <v>498</v>
      </c>
      <c r="C117" s="495"/>
      <c r="D117" s="495"/>
      <c r="E117" s="513"/>
      <c r="F117" s="495"/>
      <c r="G117" s="495"/>
      <c r="H117" s="495"/>
      <c r="I117" s="495"/>
      <c r="J117" s="495"/>
      <c r="K117" s="495"/>
      <c r="L117" s="541"/>
      <c r="M117" s="379"/>
      <c r="N117" s="541"/>
      <c r="O117" s="379"/>
    </row>
    <row r="118" spans="1:15" ht="15.75" x14ac:dyDescent="0.3">
      <c r="A118" s="503"/>
      <c r="B118" s="495" t="s">
        <v>159</v>
      </c>
      <c r="C118" s="595">
        <v>150</v>
      </c>
      <c r="D118" s="495" t="s">
        <v>510</v>
      </c>
      <c r="E118" s="543">
        <f>(C118*E116/VLOOKUP($B115,'Standard values'!$C$9:$S$162,14, FALSE))/1000</f>
        <v>2.9723955409548817E-3</v>
      </c>
      <c r="F118" s="495" t="s">
        <v>242</v>
      </c>
      <c r="G118" s="495"/>
      <c r="H118" s="495"/>
      <c r="I118" s="544">
        <f>$E118*VLOOKUP($B118,'Standard values'!$C$9:$S$162,15, FALSE)*VLOOKUP(C119,'Standard values'!$C$9:$S$162,7, FALSE)/$E$172</f>
        <v>0.49425587467362919</v>
      </c>
      <c r="J118" s="544">
        <f>$E118*((VLOOKUP($B118,'Standard values'!$C$9:$S$162,15, FALSE)*VLOOKUP(C119,'Standard values'!$C$9:$S$162,8, FALSE))+VLOOKUP($B118,'Standard values'!$C$9:$S$162,16, FALSE))/$E$172</f>
        <v>2.7974636329727714E-5</v>
      </c>
      <c r="K118" s="544">
        <f>$E118*((VLOOKUP($B118,'Standard values'!$C$9:$S$162,15, FALSE)*VLOOKUP(C119,'Standard values'!$C$9:$S$162,9, FALSE))+VLOOKUP($B118,'Standard values'!$C$9:$S$162,17, FALSE))/$E$172</f>
        <v>0</v>
      </c>
      <c r="L118" s="516">
        <f>I118*'Standard values'!$D$10+J118*'Standard values'!$D$11+K118*'Standard values'!$D$12</f>
        <v>0.4949552405818724</v>
      </c>
      <c r="M118" s="379"/>
      <c r="N118" s="562">
        <f>+L118/$E$69</f>
        <v>13.26975</v>
      </c>
      <c r="O118" s="379"/>
    </row>
    <row r="119" spans="1:15" x14ac:dyDescent="0.2">
      <c r="A119" s="503"/>
      <c r="B119" s="546" t="s">
        <v>54</v>
      </c>
      <c r="C119" s="673" t="s">
        <v>509</v>
      </c>
      <c r="D119" s="495"/>
      <c r="E119" s="503"/>
      <c r="F119" s="495"/>
      <c r="G119" s="495"/>
      <c r="H119" s="495"/>
      <c r="I119" s="544"/>
      <c r="J119" s="544"/>
      <c r="K119" s="544"/>
      <c r="L119" s="516"/>
      <c r="M119" s="379"/>
      <c r="N119" s="562"/>
      <c r="O119" s="379"/>
    </row>
    <row r="120" spans="1:15" x14ac:dyDescent="0.2">
      <c r="A120" s="503"/>
      <c r="B120" s="495"/>
      <c r="C120" s="668"/>
      <c r="D120" s="495"/>
      <c r="E120" s="543"/>
      <c r="F120" s="495"/>
      <c r="G120" s="495"/>
      <c r="H120" s="495"/>
      <c r="I120" s="544"/>
      <c r="J120" s="544"/>
      <c r="K120" s="544"/>
      <c r="L120" s="516"/>
      <c r="M120" s="379"/>
      <c r="N120" s="584"/>
      <c r="O120" s="379"/>
    </row>
    <row r="121" spans="1:15" x14ac:dyDescent="0.2">
      <c r="A121" s="503"/>
      <c r="B121" s="511" t="s">
        <v>441</v>
      </c>
      <c r="C121" s="495"/>
      <c r="D121" s="495"/>
      <c r="E121" s="503"/>
      <c r="F121" s="495"/>
      <c r="G121" s="495"/>
      <c r="H121" s="495"/>
      <c r="I121" s="544"/>
      <c r="J121" s="544"/>
      <c r="K121" s="544"/>
      <c r="L121" s="584"/>
      <c r="M121" s="379"/>
      <c r="N121" s="541"/>
      <c r="O121" s="379"/>
    </row>
    <row r="122" spans="1:15" ht="15.75" x14ac:dyDescent="0.3">
      <c r="A122" s="503"/>
      <c r="B122" s="1301" t="s">
        <v>49</v>
      </c>
      <c r="C122" s="542">
        <v>3.3999999999999998E-3</v>
      </c>
      <c r="D122" s="495" t="s">
        <v>495</v>
      </c>
      <c r="E122" s="503"/>
      <c r="F122" s="495"/>
      <c r="G122" s="495"/>
      <c r="H122" s="495"/>
      <c r="I122" s="544">
        <f>$C122*$E$116*VLOOKUP($B122,'Standard values'!$C$9:$S$162,7, FALSE)/$E$172</f>
        <v>0.41070129999999999</v>
      </c>
      <c r="J122" s="544">
        <f>$C122*$E$116*VLOOKUP($B122,'Standard values'!$C$9:$S$162,8, FALSE)/$E$172</f>
        <v>1.0015833333333333E-3</v>
      </c>
      <c r="K122" s="544">
        <f>$C122*$E$116*VLOOKUP($B122,'Standard values'!$C$9:$S$162,9, FALSE)/$E$172</f>
        <v>1.8605555555555555E-5</v>
      </c>
      <c r="L122" s="516">
        <f>I122*'Standard values'!$D$10+J122*'Standard values'!$D$11+K122*'Standard values'!$D$12</f>
        <v>0.44128533888888888</v>
      </c>
      <c r="M122" s="379"/>
      <c r="N122" s="562">
        <f>+L122/$E$69</f>
        <v>11.830859935611111</v>
      </c>
      <c r="O122" s="379"/>
    </row>
    <row r="123" spans="1:15" ht="14.25" x14ac:dyDescent="0.25">
      <c r="A123" s="519"/>
      <c r="B123" s="520"/>
      <c r="C123" s="520"/>
      <c r="D123" s="520"/>
      <c r="E123" s="519"/>
      <c r="F123" s="521"/>
      <c r="G123" s="521"/>
      <c r="H123" s="521" t="s">
        <v>534</v>
      </c>
      <c r="I123" s="520"/>
      <c r="J123" s="523" t="s">
        <v>1048</v>
      </c>
      <c r="K123" s="549"/>
      <c r="L123" s="525">
        <f>L118+L122</f>
        <v>0.93624057947076134</v>
      </c>
      <c r="M123" s="379"/>
      <c r="N123" s="545">
        <f>+L123/$E$69</f>
        <v>25.100609935611111</v>
      </c>
      <c r="O123" s="379"/>
    </row>
    <row r="124" spans="1:15" x14ac:dyDescent="0.2">
      <c r="A124" s="390"/>
      <c r="B124" s="390"/>
      <c r="C124" s="390"/>
      <c r="D124" s="390"/>
      <c r="E124" s="390"/>
      <c r="F124" s="376"/>
      <c r="G124" s="376"/>
      <c r="H124" s="376"/>
      <c r="I124" s="390"/>
      <c r="J124" s="550"/>
      <c r="K124" s="551"/>
      <c r="L124" s="597"/>
      <c r="M124" s="379"/>
      <c r="N124" s="379"/>
      <c r="O124" s="379"/>
    </row>
    <row r="125" spans="1:15" x14ac:dyDescent="0.2">
      <c r="A125" s="390"/>
      <c r="B125" s="390"/>
      <c r="C125" s="390"/>
      <c r="D125" s="390"/>
      <c r="E125" s="390"/>
      <c r="F125" s="376"/>
      <c r="G125" s="376"/>
      <c r="H125" s="376"/>
      <c r="I125" s="390"/>
      <c r="J125" s="550"/>
      <c r="K125" s="551"/>
      <c r="L125" s="597"/>
      <c r="M125" s="379"/>
      <c r="N125" s="379"/>
      <c r="O125" s="379"/>
    </row>
    <row r="126" spans="1:15" ht="15.75" x14ac:dyDescent="0.25">
      <c r="A126" s="530" t="s">
        <v>546</v>
      </c>
      <c r="B126" s="598"/>
      <c r="C126" s="599"/>
      <c r="D126" s="531"/>
      <c r="E126" s="600"/>
      <c r="F126" s="531"/>
      <c r="G126" s="531"/>
      <c r="H126" s="531"/>
      <c r="I126" s="531"/>
      <c r="J126" s="531"/>
      <c r="K126" s="531"/>
      <c r="L126" s="601"/>
      <c r="M126" s="379"/>
      <c r="N126" s="379"/>
      <c r="O126" s="379"/>
    </row>
    <row r="127" spans="1:15" ht="15.75" x14ac:dyDescent="0.25">
      <c r="A127" s="602"/>
      <c r="B127" s="603" t="s">
        <v>549</v>
      </c>
      <c r="C127" s="511" t="s">
        <v>908</v>
      </c>
      <c r="D127" s="495"/>
      <c r="E127" s="503"/>
      <c r="F127" s="495"/>
      <c r="G127" s="495"/>
      <c r="H127" s="495"/>
      <c r="I127" s="495"/>
      <c r="J127" s="495"/>
      <c r="K127" s="495"/>
      <c r="L127" s="537"/>
      <c r="M127" s="379"/>
      <c r="N127" s="390"/>
      <c r="O127" s="390"/>
    </row>
    <row r="128" spans="1:15" ht="15.75" customHeight="1" x14ac:dyDescent="0.25">
      <c r="A128" s="602"/>
      <c r="B128" s="511"/>
      <c r="C128" s="668"/>
      <c r="D128" s="691" t="s">
        <v>431</v>
      </c>
      <c r="E128" s="692" t="str">
        <f>IF(D130="Yes","From :  ", " ")</f>
        <v xml:space="preserve"> </v>
      </c>
      <c r="F128" s="1422" t="str">
        <f>IF(D130="Yes",LUC!H$35 &amp; " ; " &amp; LUC!H$36 &amp; " ; " &amp; LUC!H$39 &amp; " ; " &amp; LUC!H$40 &amp; " ; " &amp; LUC!H$45 &amp; " ; " &amp; LUC!H$46 &amp; " ; " &amp; LUC!H$47, " ")</f>
        <v xml:space="preserve"> </v>
      </c>
      <c r="G128" s="1422"/>
      <c r="H128" s="1422"/>
      <c r="I128" s="1422"/>
      <c r="J128" s="1422"/>
      <c r="K128" s="1422"/>
      <c r="L128" s="1423"/>
      <c r="M128" s="379"/>
      <c r="N128" s="390"/>
      <c r="O128" s="390"/>
    </row>
    <row r="129" spans="1:15" ht="15.75" x14ac:dyDescent="0.25">
      <c r="A129" s="602"/>
      <c r="B129" s="539" t="s">
        <v>450</v>
      </c>
      <c r="C129" s="693" t="s">
        <v>431</v>
      </c>
      <c r="D129" s="691" t="s">
        <v>432</v>
      </c>
      <c r="E129" s="513"/>
      <c r="F129" s="1422"/>
      <c r="G129" s="1422"/>
      <c r="H129" s="1422"/>
      <c r="I129" s="1422"/>
      <c r="J129" s="1422"/>
      <c r="K129" s="1422"/>
      <c r="L129" s="1423"/>
      <c r="M129" s="379"/>
      <c r="N129" s="390"/>
      <c r="O129" s="390"/>
    </row>
    <row r="130" spans="1:15" ht="15.75" customHeight="1" x14ac:dyDescent="0.25">
      <c r="A130" s="602"/>
      <c r="B130" s="511"/>
      <c r="C130" s="670" t="str">
        <f>IF(D130="Yes","Go to", " ")</f>
        <v xml:space="preserve"> </v>
      </c>
      <c r="D130" s="691" t="s">
        <v>432</v>
      </c>
      <c r="E130" s="692" t="str">
        <f>IF(D130="Yes","To    :   ", " ")</f>
        <v xml:space="preserve"> </v>
      </c>
      <c r="F130" s="1424" t="str">
        <f>IF(D130="Yes", LUC!D$35 &amp; " ; " &amp; LUC!D$36 &amp; " ; " &amp; LUC!D$39 &amp; " ; " &amp; LUC!D$40 &amp; " ; " &amp; LUC!D$45 &amp; " ; " &amp; LUC!D$46 &amp; " ; " &amp; LUC!D$47, " ")</f>
        <v xml:space="preserve"> </v>
      </c>
      <c r="G130" s="1424"/>
      <c r="H130" s="1424"/>
      <c r="I130" s="1424"/>
      <c r="J130" s="1424"/>
      <c r="K130" s="1424"/>
      <c r="L130" s="1425"/>
      <c r="M130" s="379"/>
      <c r="N130" s="390"/>
      <c r="O130" s="390"/>
    </row>
    <row r="131" spans="1:15" ht="15.75" x14ac:dyDescent="0.25">
      <c r="A131" s="602"/>
      <c r="B131" s="416"/>
      <c r="C131" s="671" t="str">
        <f>IF(D130="Yes","sheet 'LUC' ", " ")</f>
        <v xml:space="preserve"> </v>
      </c>
      <c r="D131" s="495"/>
      <c r="E131" s="696"/>
      <c r="F131" s="1424"/>
      <c r="G131" s="1424"/>
      <c r="H131" s="1424"/>
      <c r="I131" s="1424"/>
      <c r="J131" s="1424"/>
      <c r="K131" s="1424"/>
      <c r="L131" s="1425"/>
      <c r="M131" s="379"/>
      <c r="N131" s="390"/>
      <c r="O131" s="390"/>
    </row>
    <row r="132" spans="1:15" ht="15.75" x14ac:dyDescent="0.25">
      <c r="A132" s="602"/>
      <c r="B132" s="416"/>
      <c r="C132" s="670" t="str">
        <f>IF(D130="Yes","to calculate the land use change", " ")</f>
        <v xml:space="preserve"> </v>
      </c>
      <c r="D132" s="495"/>
      <c r="E132" s="696"/>
      <c r="F132" s="694"/>
      <c r="G132" s="694"/>
      <c r="H132" s="694"/>
      <c r="I132" s="492" t="s">
        <v>138</v>
      </c>
      <c r="J132" s="514"/>
      <c r="K132" s="694"/>
      <c r="L132" s="695"/>
      <c r="M132" s="379"/>
      <c r="N132" s="390"/>
      <c r="O132" s="390"/>
    </row>
    <row r="133" spans="1:15" ht="16.5" x14ac:dyDescent="0.3">
      <c r="A133" s="602"/>
      <c r="B133" s="416"/>
      <c r="C133" s="670"/>
      <c r="D133" s="495"/>
      <c r="E133" s="696"/>
      <c r="F133" s="694"/>
      <c r="G133" s="694"/>
      <c r="H133" s="694"/>
      <c r="I133" s="539" t="s">
        <v>1053</v>
      </c>
      <c r="J133" s="539" t="s">
        <v>1054</v>
      </c>
      <c r="K133" s="539" t="s">
        <v>1055</v>
      </c>
      <c r="L133" s="540" t="s">
        <v>1056</v>
      </c>
      <c r="M133" s="379"/>
      <c r="N133" s="390"/>
      <c r="O133" s="390"/>
    </row>
    <row r="134" spans="1:15" ht="16.5" x14ac:dyDescent="0.3">
      <c r="A134" s="602"/>
      <c r="B134" s="507" t="s">
        <v>451</v>
      </c>
      <c r="C134" s="697">
        <f>IF(D130="Yes",LUC!$J$86,0)</f>
        <v>0</v>
      </c>
      <c r="D134" s="497" t="s">
        <v>449</v>
      </c>
      <c r="E134" s="503"/>
      <c r="F134" s="495"/>
      <c r="G134" s="495"/>
      <c r="H134" s="495"/>
      <c r="I134" s="544">
        <f>$C134*1000000/$E$171</f>
        <v>0</v>
      </c>
      <c r="J134" s="544">
        <v>0</v>
      </c>
      <c r="K134" s="544">
        <v>0</v>
      </c>
      <c r="L134" s="419">
        <f>I134*'Standard values'!$D$10+J134*'Standard values'!$D$11+K134*'Standard values'!$D$12</f>
        <v>0</v>
      </c>
      <c r="M134" s="379"/>
      <c r="N134" s="390"/>
      <c r="O134" s="390"/>
    </row>
    <row r="135" spans="1:15" ht="15.75" x14ac:dyDescent="0.25">
      <c r="A135" s="602"/>
      <c r="B135" s="507"/>
      <c r="C135" s="698"/>
      <c r="D135" s="497"/>
      <c r="E135" s="503"/>
      <c r="F135" s="495"/>
      <c r="G135" s="495"/>
      <c r="H135" s="495"/>
      <c r="I135" s="544"/>
      <c r="J135" s="544"/>
      <c r="K135" s="544"/>
      <c r="L135" s="516">
        <f>SUM(L134:L134)</f>
        <v>0</v>
      </c>
      <c r="M135" s="379"/>
      <c r="N135" s="390"/>
      <c r="O135" s="390"/>
    </row>
    <row r="136" spans="1:15" ht="15.75" x14ac:dyDescent="0.25">
      <c r="A136" s="602"/>
      <c r="B136" s="416"/>
      <c r="C136" s="492"/>
      <c r="D136" s="495"/>
      <c r="E136" s="503"/>
      <c r="F136" s="495"/>
      <c r="G136" s="495"/>
      <c r="H136" s="495"/>
      <c r="I136" s="544"/>
      <c r="J136" s="544"/>
      <c r="K136" s="544"/>
      <c r="L136" s="516"/>
      <c r="M136" s="379"/>
      <c r="N136" s="390"/>
      <c r="O136" s="390"/>
    </row>
    <row r="137" spans="1:15" ht="15.75" x14ac:dyDescent="0.3">
      <c r="A137" s="503"/>
      <c r="B137" s="539" t="s">
        <v>452</v>
      </c>
      <c r="C137" s="595">
        <v>0</v>
      </c>
      <c r="D137" s="605" t="s">
        <v>1036</v>
      </c>
      <c r="E137" s="699"/>
      <c r="F137" s="495"/>
      <c r="G137" s="495"/>
      <c r="H137" s="495"/>
      <c r="I137" s="544">
        <f>-C137</f>
        <v>0</v>
      </c>
      <c r="J137" s="544">
        <v>0</v>
      </c>
      <c r="K137" s="544">
        <v>0</v>
      </c>
      <c r="L137" s="419">
        <f>I137*'Standard values'!$D$10+J137*'Standard values'!$D$11+K137*'Standard values'!$D$12</f>
        <v>0</v>
      </c>
      <c r="M137" s="379"/>
      <c r="N137" s="390"/>
      <c r="O137" s="390"/>
    </row>
    <row r="138" spans="1:15" x14ac:dyDescent="0.2">
      <c r="A138" s="503"/>
      <c r="B138" s="539" t="str">
        <f>IF(C137=-29,"Year of conversion:","")</f>
        <v/>
      </c>
      <c r="C138" s="539" t="str">
        <f>IF(D137=-29,"Year of conversion:","")</f>
        <v/>
      </c>
      <c r="D138" s="605" t="str">
        <f>IF(C137=-29,"Fill in the year of conversion","")</f>
        <v/>
      </c>
      <c r="E138" s="503"/>
      <c r="F138" s="495"/>
      <c r="G138" s="495"/>
      <c r="H138" s="495"/>
      <c r="I138" s="495"/>
      <c r="J138" s="495"/>
      <c r="K138" s="544"/>
      <c r="L138" s="516">
        <f>SUM(L137:L137)</f>
        <v>0</v>
      </c>
      <c r="M138" s="379"/>
      <c r="N138" s="390"/>
      <c r="O138" s="390"/>
    </row>
    <row r="139" spans="1:15" x14ac:dyDescent="0.2">
      <c r="A139" s="503"/>
      <c r="B139" s="539"/>
      <c r="C139" s="539"/>
      <c r="D139" s="605"/>
      <c r="E139" s="503"/>
      <c r="F139" s="495"/>
      <c r="G139" s="495"/>
      <c r="H139" s="495"/>
      <c r="I139" s="495"/>
      <c r="J139" s="495"/>
      <c r="K139" s="544"/>
      <c r="L139" s="700"/>
      <c r="M139" s="379"/>
      <c r="N139" s="390"/>
      <c r="O139" s="390"/>
    </row>
    <row r="140" spans="1:15" ht="14.25" x14ac:dyDescent="0.25">
      <c r="A140" s="519"/>
      <c r="B140" s="520"/>
      <c r="C140" s="520"/>
      <c r="D140" s="520"/>
      <c r="E140" s="519"/>
      <c r="F140" s="521"/>
      <c r="G140" s="521"/>
      <c r="H140" s="521" t="s">
        <v>534</v>
      </c>
      <c r="I140" s="520"/>
      <c r="J140" s="523" t="s">
        <v>1048</v>
      </c>
      <c r="K140" s="549"/>
      <c r="L140" s="525">
        <f>L135+L138</f>
        <v>0</v>
      </c>
      <c r="M140" s="379"/>
      <c r="N140" s="390"/>
      <c r="O140" s="390"/>
    </row>
    <row r="141" spans="1:15" x14ac:dyDescent="0.2">
      <c r="A141" s="390"/>
      <c r="B141" s="390"/>
      <c r="C141" s="390"/>
      <c r="D141" s="390"/>
      <c r="E141" s="390"/>
      <c r="F141" s="376"/>
      <c r="G141" s="376"/>
      <c r="H141" s="376"/>
      <c r="I141" s="390"/>
      <c r="J141" s="550"/>
      <c r="K141" s="551"/>
      <c r="L141" s="604"/>
      <c r="M141" s="379"/>
      <c r="N141" s="390"/>
      <c r="O141" s="390"/>
    </row>
    <row r="142" spans="1:15" x14ac:dyDescent="0.2">
      <c r="A142" s="390"/>
      <c r="B142" s="390"/>
      <c r="C142" s="390"/>
      <c r="D142" s="390"/>
      <c r="E142" s="390"/>
      <c r="F142" s="376"/>
      <c r="G142" s="376"/>
      <c r="H142" s="376"/>
      <c r="I142" s="390"/>
      <c r="J142" s="550"/>
      <c r="K142" s="551"/>
      <c r="L142" s="604"/>
      <c r="M142" s="379"/>
      <c r="N142" s="390"/>
      <c r="O142" s="390"/>
    </row>
    <row r="143" spans="1:15" ht="15.75" x14ac:dyDescent="0.25">
      <c r="A143" s="530" t="s">
        <v>547</v>
      </c>
      <c r="B143" s="598"/>
      <c r="C143" s="599"/>
      <c r="D143" s="531"/>
      <c r="E143" s="600"/>
      <c r="F143" s="531"/>
      <c r="G143" s="531"/>
      <c r="H143" s="531"/>
      <c r="I143" s="531"/>
      <c r="J143" s="531"/>
      <c r="K143" s="531"/>
      <c r="L143" s="601"/>
      <c r="M143" s="379"/>
      <c r="N143" s="390"/>
      <c r="O143" s="390"/>
    </row>
    <row r="144" spans="1:15" ht="15.75" x14ac:dyDescent="0.25">
      <c r="A144" s="602"/>
      <c r="B144" s="416" t="s">
        <v>548</v>
      </c>
      <c r="C144" s="492" t="s">
        <v>429</v>
      </c>
      <c r="D144" s="616"/>
      <c r="E144" s="503"/>
      <c r="F144" s="495"/>
      <c r="G144" s="495"/>
      <c r="H144" s="495"/>
      <c r="I144" s="492" t="s">
        <v>138</v>
      </c>
      <c r="J144" s="514"/>
      <c r="K144" s="514"/>
      <c r="L144" s="537"/>
      <c r="M144" s="379"/>
      <c r="N144" s="390"/>
      <c r="O144" s="390"/>
    </row>
    <row r="145" spans="1:15" ht="15.75" customHeight="1" x14ac:dyDescent="0.25">
      <c r="A145" s="602"/>
      <c r="B145" s="511"/>
      <c r="C145" s="668"/>
      <c r="D145" s="691" t="s">
        <v>431</v>
      </c>
      <c r="E145" s="692" t="str">
        <f>IF(D147="Yes","From :  ", " ")</f>
        <v xml:space="preserve"> </v>
      </c>
      <c r="F145" s="1422" t="str">
        <f>IF(D147="Yes",Esca!H$42 &amp; ", " &amp; Esca!H$43 &amp; " input ","")</f>
        <v/>
      </c>
      <c r="G145" s="1422"/>
      <c r="H145" s="1422"/>
      <c r="I145" s="1422"/>
      <c r="J145" s="1422"/>
      <c r="K145" s="1422"/>
      <c r="L145" s="1423"/>
      <c r="M145" s="379"/>
      <c r="N145" s="390"/>
      <c r="O145" s="390"/>
    </row>
    <row r="146" spans="1:15" ht="15.75" x14ac:dyDescent="0.25">
      <c r="A146" s="602"/>
      <c r="B146" s="539" t="s">
        <v>430</v>
      </c>
      <c r="C146" s="668"/>
      <c r="D146" s="691" t="s">
        <v>432</v>
      </c>
      <c r="E146" s="513"/>
      <c r="F146" s="1422"/>
      <c r="G146" s="1422"/>
      <c r="H146" s="1422"/>
      <c r="I146" s="1422"/>
      <c r="J146" s="1422"/>
      <c r="K146" s="1422"/>
      <c r="L146" s="1423"/>
      <c r="M146" s="379"/>
      <c r="N146" s="390"/>
      <c r="O146" s="390"/>
    </row>
    <row r="147" spans="1:15" ht="15.75" customHeight="1" x14ac:dyDescent="0.25">
      <c r="A147" s="602"/>
      <c r="B147" s="511"/>
      <c r="C147" s="670" t="str">
        <f>IF(D147="Yes","Go to", " ")</f>
        <v xml:space="preserve"> </v>
      </c>
      <c r="D147" s="691" t="s">
        <v>432</v>
      </c>
      <c r="E147" s="692" t="str">
        <f>IF(D147="Yes","To    :   ", " ")</f>
        <v xml:space="preserve"> </v>
      </c>
      <c r="F147" s="1422" t="str">
        <f>IF(D147="Yes",Esca!D$42 &amp; ", " &amp; Esca!D$43 &amp; " input ","")</f>
        <v/>
      </c>
      <c r="G147" s="1422"/>
      <c r="H147" s="1422"/>
      <c r="I147" s="1422"/>
      <c r="J147" s="1422"/>
      <c r="K147" s="1422"/>
      <c r="L147" s="1423"/>
      <c r="M147" s="379"/>
      <c r="N147" s="390"/>
      <c r="O147" s="390"/>
    </row>
    <row r="148" spans="1:15" ht="15.75" x14ac:dyDescent="0.25">
      <c r="A148" s="602"/>
      <c r="B148" s="416"/>
      <c r="C148" s="671" t="str">
        <f>IF(D147="Yes","sheet 'Esca' ", " ")</f>
        <v xml:space="preserve"> </v>
      </c>
      <c r="D148" s="495"/>
      <c r="E148" s="696"/>
      <c r="F148" s="1422"/>
      <c r="G148" s="1422"/>
      <c r="H148" s="1422"/>
      <c r="I148" s="1422"/>
      <c r="J148" s="1422"/>
      <c r="K148" s="1422"/>
      <c r="L148" s="1423"/>
      <c r="M148" s="379"/>
      <c r="N148" s="390"/>
      <c r="O148" s="390"/>
    </row>
    <row r="149" spans="1:15" ht="15.75" x14ac:dyDescent="0.25">
      <c r="A149" s="602"/>
      <c r="B149" s="416"/>
      <c r="C149" s="670" t="str">
        <f>IF(D147="Yes","to calculate the soil carbon accumulation", " ")</f>
        <v xml:space="preserve"> </v>
      </c>
      <c r="D149" s="495"/>
      <c r="E149" s="696"/>
      <c r="F149" s="694"/>
      <c r="G149" s="694"/>
      <c r="H149" s="694"/>
      <c r="I149" s="492" t="s">
        <v>138</v>
      </c>
      <c r="J149" s="514"/>
      <c r="K149" s="694"/>
      <c r="L149" s="695"/>
      <c r="M149" s="379"/>
      <c r="N149" s="390"/>
      <c r="O149" s="390"/>
    </row>
    <row r="150" spans="1:15" ht="16.5" x14ac:dyDescent="0.3">
      <c r="A150" s="602"/>
      <c r="B150" s="416"/>
      <c r="C150" s="670"/>
      <c r="D150" s="495"/>
      <c r="E150" s="696"/>
      <c r="F150" s="694"/>
      <c r="G150" s="694"/>
      <c r="H150" s="694"/>
      <c r="I150" s="539" t="s">
        <v>1053</v>
      </c>
      <c r="J150" s="539" t="s">
        <v>1054</v>
      </c>
      <c r="K150" s="539" t="s">
        <v>1055</v>
      </c>
      <c r="L150" s="540" t="s">
        <v>1056</v>
      </c>
      <c r="M150" s="379"/>
      <c r="N150" s="390"/>
      <c r="O150" s="390"/>
    </row>
    <row r="151" spans="1:15" ht="16.5" x14ac:dyDescent="0.3">
      <c r="A151" s="602"/>
      <c r="B151" s="507" t="s">
        <v>807</v>
      </c>
      <c r="C151" s="697">
        <f>IF(D147="yes",Esca!$J$81,0)</f>
        <v>0</v>
      </c>
      <c r="D151" s="497" t="s">
        <v>449</v>
      </c>
      <c r="E151" s="503"/>
      <c r="F151" s="495"/>
      <c r="G151" s="495"/>
      <c r="H151" s="495"/>
      <c r="I151" s="544">
        <f>$C151*1000000/$E$171</f>
        <v>0</v>
      </c>
      <c r="J151" s="544">
        <v>0</v>
      </c>
      <c r="K151" s="544">
        <v>0</v>
      </c>
      <c r="L151" s="419">
        <f>I151*'Standard values'!$D$10+J151*'Standard values'!$D$11+K151*'Standard values'!$D$12</f>
        <v>0</v>
      </c>
      <c r="M151" s="379"/>
      <c r="N151" s="390"/>
      <c r="O151" s="390"/>
    </row>
    <row r="152" spans="1:15" x14ac:dyDescent="0.2">
      <c r="A152" s="503"/>
      <c r="B152" s="539"/>
      <c r="C152" s="539"/>
      <c r="D152" s="605"/>
      <c r="E152" s="503"/>
      <c r="F152" s="495"/>
      <c r="G152" s="495"/>
      <c r="H152" s="495"/>
      <c r="I152" s="495"/>
      <c r="J152" s="495"/>
      <c r="K152" s="544"/>
      <c r="L152" s="516">
        <f>SUM(L151:L151)</f>
        <v>0</v>
      </c>
      <c r="M152" s="379"/>
      <c r="N152" s="390"/>
      <c r="O152" s="390"/>
    </row>
    <row r="153" spans="1:15" x14ac:dyDescent="0.2">
      <c r="A153" s="503"/>
      <c r="B153" s="539"/>
      <c r="C153" s="539"/>
      <c r="D153" s="605"/>
      <c r="E153" s="503"/>
      <c r="F153" s="495"/>
      <c r="G153" s="495"/>
      <c r="H153" s="495"/>
      <c r="I153" s="495"/>
      <c r="J153" s="495"/>
      <c r="K153" s="544"/>
      <c r="L153" s="700"/>
      <c r="M153" s="379"/>
      <c r="N153" s="390"/>
      <c r="O153" s="390"/>
    </row>
    <row r="154" spans="1:15" ht="14.25" x14ac:dyDescent="0.25">
      <c r="A154" s="519"/>
      <c r="B154" s="520"/>
      <c r="C154" s="520"/>
      <c r="D154" s="520"/>
      <c r="E154" s="519"/>
      <c r="F154" s="521"/>
      <c r="G154" s="521"/>
      <c r="H154" s="521" t="s">
        <v>534</v>
      </c>
      <c r="I154" s="520"/>
      <c r="J154" s="523" t="s">
        <v>1048</v>
      </c>
      <c r="K154" s="549"/>
      <c r="L154" s="525">
        <f>L152</f>
        <v>0</v>
      </c>
      <c r="M154" s="379"/>
      <c r="N154" s="390"/>
      <c r="O154" s="390"/>
    </row>
    <row r="155" spans="1:15" x14ac:dyDescent="0.2">
      <c r="A155" s="390"/>
      <c r="B155" s="390"/>
      <c r="C155" s="390"/>
      <c r="D155" s="390"/>
      <c r="E155" s="390"/>
      <c r="F155" s="376"/>
      <c r="G155" s="376"/>
      <c r="H155" s="376"/>
      <c r="I155" s="390"/>
      <c r="J155" s="550"/>
      <c r="K155" s="551"/>
      <c r="L155" s="604"/>
      <c r="M155" s="379"/>
      <c r="N155" s="390"/>
      <c r="O155" s="390"/>
    </row>
    <row r="156" spans="1:15" x14ac:dyDescent="0.2">
      <c r="A156" s="390"/>
      <c r="B156" s="390"/>
      <c r="C156" s="390"/>
      <c r="D156" s="390"/>
      <c r="E156" s="390"/>
      <c r="F156" s="376"/>
      <c r="G156" s="376"/>
      <c r="H156" s="376"/>
      <c r="I156" s="390"/>
      <c r="J156" s="550"/>
      <c r="K156" s="551"/>
      <c r="L156" s="604"/>
      <c r="M156" s="379"/>
      <c r="N156" s="390"/>
      <c r="O156" s="390"/>
    </row>
    <row r="157" spans="1:15" ht="18.75" x14ac:dyDescent="0.35">
      <c r="A157" s="530" t="s">
        <v>168</v>
      </c>
      <c r="B157" s="598"/>
      <c r="C157" s="599"/>
      <c r="D157" s="531"/>
      <c r="E157" s="600"/>
      <c r="F157" s="531"/>
      <c r="G157" s="531"/>
      <c r="H157" s="531"/>
      <c r="I157" s="531"/>
      <c r="J157" s="531"/>
      <c r="K157" s="531"/>
      <c r="L157" s="601"/>
      <c r="M157" s="379"/>
      <c r="N157" s="390"/>
      <c r="O157" s="390"/>
    </row>
    <row r="158" spans="1:15" ht="15.75" x14ac:dyDescent="0.25">
      <c r="A158" s="602"/>
      <c r="B158" s="416" t="s">
        <v>166</v>
      </c>
      <c r="C158" s="492"/>
      <c r="D158" s="495"/>
      <c r="E158" s="503"/>
      <c r="F158" s="495"/>
      <c r="G158" s="495"/>
      <c r="H158" s="495"/>
      <c r="I158" s="492" t="s">
        <v>138</v>
      </c>
      <c r="J158" s="514"/>
      <c r="K158" s="514"/>
      <c r="L158" s="537"/>
      <c r="M158" s="379"/>
      <c r="N158" s="390"/>
      <c r="O158" s="390"/>
    </row>
    <row r="159" spans="1:15" ht="15.75" x14ac:dyDescent="0.3">
      <c r="A159" s="503"/>
      <c r="B159" s="539"/>
      <c r="C159" s="595">
        <v>0</v>
      </c>
      <c r="D159" s="605" t="s">
        <v>1036</v>
      </c>
      <c r="E159" s="503"/>
      <c r="F159" s="495"/>
      <c r="G159" s="495"/>
      <c r="H159" s="495"/>
      <c r="I159" s="495"/>
      <c r="J159" s="495"/>
      <c r="K159" s="544"/>
      <c r="L159" s="516">
        <f>C159</f>
        <v>0</v>
      </c>
      <c r="M159" s="379"/>
      <c r="N159" s="390"/>
      <c r="O159" s="390"/>
    </row>
    <row r="160" spans="1:15" ht="14.25" x14ac:dyDescent="0.25">
      <c r="A160" s="519"/>
      <c r="B160" s="520"/>
      <c r="C160" s="520"/>
      <c r="D160" s="520"/>
      <c r="E160" s="519"/>
      <c r="F160" s="521"/>
      <c r="G160" s="521"/>
      <c r="H160" s="521" t="s">
        <v>534</v>
      </c>
      <c r="I160" s="520"/>
      <c r="J160" s="523" t="s">
        <v>1048</v>
      </c>
      <c r="K160" s="549"/>
      <c r="L160" s="525">
        <f>C159</f>
        <v>0</v>
      </c>
      <c r="M160" s="379"/>
      <c r="N160" s="390"/>
      <c r="O160" s="390"/>
    </row>
    <row r="161" spans="1:15" x14ac:dyDescent="0.2">
      <c r="A161" s="390"/>
      <c r="B161" s="390"/>
      <c r="C161" s="390"/>
      <c r="D161" s="390"/>
      <c r="E161" s="390"/>
      <c r="F161" s="376"/>
      <c r="G161" s="376"/>
      <c r="H161" s="376"/>
      <c r="I161" s="390"/>
      <c r="J161" s="550"/>
      <c r="K161" s="551"/>
      <c r="L161" s="604"/>
      <c r="M161" s="379"/>
      <c r="N161" s="390"/>
      <c r="O161" s="390"/>
    </row>
    <row r="162" spans="1:15" x14ac:dyDescent="0.2">
      <c r="A162" s="390"/>
      <c r="B162" s="390"/>
      <c r="C162" s="390"/>
      <c r="D162" s="390"/>
      <c r="E162" s="390"/>
      <c r="F162" s="376"/>
      <c r="G162" s="376"/>
      <c r="H162" s="376"/>
      <c r="I162" s="390"/>
      <c r="J162" s="550"/>
      <c r="K162" s="551"/>
      <c r="L162" s="604"/>
      <c r="M162" s="379"/>
      <c r="N162" s="390"/>
      <c r="O162" s="390"/>
    </row>
    <row r="163" spans="1:15" ht="18.75" x14ac:dyDescent="0.35">
      <c r="A163" s="530" t="s">
        <v>169</v>
      </c>
      <c r="B163" s="598"/>
      <c r="C163" s="599"/>
      <c r="D163" s="531"/>
      <c r="E163" s="600"/>
      <c r="F163" s="531"/>
      <c r="G163" s="531"/>
      <c r="H163" s="531"/>
      <c r="I163" s="531"/>
      <c r="J163" s="531"/>
      <c r="K163" s="531"/>
      <c r="L163" s="601"/>
      <c r="M163" s="379"/>
      <c r="N163" s="390"/>
      <c r="O163" s="390"/>
    </row>
    <row r="164" spans="1:15" ht="15.75" x14ac:dyDescent="0.25">
      <c r="A164" s="602"/>
      <c r="B164" s="416" t="s">
        <v>167</v>
      </c>
      <c r="C164" s="492"/>
      <c r="D164" s="495"/>
      <c r="E164" s="503"/>
      <c r="F164" s="495"/>
      <c r="G164" s="495"/>
      <c r="H164" s="495"/>
      <c r="I164" s="492" t="s">
        <v>138</v>
      </c>
      <c r="J164" s="514"/>
      <c r="K164" s="514"/>
      <c r="L164" s="537"/>
      <c r="M164" s="379"/>
      <c r="N164" s="390"/>
      <c r="O164" s="390"/>
    </row>
    <row r="165" spans="1:15" ht="15.75" x14ac:dyDescent="0.3">
      <c r="A165" s="503"/>
      <c r="B165" s="539"/>
      <c r="C165" s="595">
        <v>0</v>
      </c>
      <c r="D165" s="605" t="s">
        <v>1036</v>
      </c>
      <c r="E165" s="503"/>
      <c r="F165" s="495"/>
      <c r="G165" s="495"/>
      <c r="H165" s="495"/>
      <c r="I165" s="495"/>
      <c r="J165" s="495"/>
      <c r="K165" s="544"/>
      <c r="L165" s="516">
        <f>C165</f>
        <v>0</v>
      </c>
      <c r="M165" s="379"/>
      <c r="N165" s="390"/>
      <c r="O165" s="390"/>
    </row>
    <row r="166" spans="1:15" ht="14.25" x14ac:dyDescent="0.25">
      <c r="A166" s="519"/>
      <c r="B166" s="520"/>
      <c r="C166" s="520"/>
      <c r="D166" s="520"/>
      <c r="E166" s="519"/>
      <c r="F166" s="521"/>
      <c r="G166" s="521"/>
      <c r="H166" s="521" t="s">
        <v>534</v>
      </c>
      <c r="I166" s="520"/>
      <c r="J166" s="523" t="s">
        <v>1048</v>
      </c>
      <c r="K166" s="549"/>
      <c r="L166" s="525">
        <f>C165</f>
        <v>0</v>
      </c>
      <c r="M166" s="379"/>
      <c r="N166" s="390"/>
      <c r="O166" s="390"/>
    </row>
    <row r="167" spans="1:15" x14ac:dyDescent="0.2">
      <c r="A167" s="390"/>
      <c r="B167" s="390"/>
      <c r="C167" s="390"/>
      <c r="D167" s="390"/>
      <c r="E167" s="390"/>
      <c r="F167" s="376"/>
      <c r="G167" s="376"/>
      <c r="H167" s="376"/>
      <c r="I167" s="390"/>
      <c r="J167" s="550"/>
      <c r="K167" s="551"/>
      <c r="L167" s="604"/>
      <c r="M167" s="379"/>
      <c r="N167" s="390"/>
      <c r="O167" s="390"/>
    </row>
    <row r="168" spans="1:15" x14ac:dyDescent="0.2">
      <c r="A168" s="390"/>
      <c r="B168" s="390"/>
      <c r="C168" s="390"/>
      <c r="D168" s="390"/>
      <c r="E168" s="390"/>
      <c r="F168" s="376"/>
      <c r="G168" s="376"/>
      <c r="H168" s="376"/>
      <c r="I168" s="390"/>
      <c r="J168" s="550"/>
      <c r="K168" s="551"/>
      <c r="L168" s="604"/>
      <c r="M168" s="379"/>
      <c r="N168" s="390"/>
      <c r="O168" s="390"/>
    </row>
    <row r="169" spans="1:15" ht="15.75" x14ac:dyDescent="0.25">
      <c r="A169" s="530" t="s">
        <v>457</v>
      </c>
      <c r="B169" s="531"/>
      <c r="C169" s="531"/>
      <c r="D169" s="531"/>
      <c r="E169" s="532"/>
      <c r="F169" s="606"/>
      <c r="G169" s="606"/>
      <c r="H169" s="606"/>
      <c r="I169" s="607"/>
      <c r="J169" s="608"/>
      <c r="K169" s="607"/>
      <c r="L169" s="609"/>
      <c r="M169" s="379"/>
      <c r="N169" s="390"/>
      <c r="O169" s="390"/>
    </row>
    <row r="170" spans="1:15" ht="15.75" x14ac:dyDescent="0.25">
      <c r="A170" s="610"/>
      <c r="B170" s="611"/>
      <c r="C170" s="611"/>
      <c r="D170" s="611"/>
      <c r="E170" s="612"/>
      <c r="F170" s="613"/>
      <c r="G170" s="613"/>
      <c r="H170" s="613"/>
      <c r="I170" s="613"/>
      <c r="J170" s="613"/>
      <c r="K170" s="613"/>
      <c r="L170" s="614"/>
      <c r="M170" s="379"/>
      <c r="N170" s="390"/>
      <c r="O170" s="390"/>
    </row>
    <row r="171" spans="1:15" ht="15.75" x14ac:dyDescent="0.3">
      <c r="A171" s="503"/>
      <c r="B171" s="495"/>
      <c r="C171" s="495"/>
      <c r="D171" s="546" t="s">
        <v>300</v>
      </c>
      <c r="E171" s="702">
        <f>E23*C47*C56*C67*C103*C115</f>
        <v>40687.990364447454</v>
      </c>
      <c r="F171" s="495" t="s">
        <v>1030</v>
      </c>
      <c r="G171" s="495"/>
      <c r="H171" s="495"/>
      <c r="I171" s="495"/>
      <c r="J171" s="495"/>
      <c r="K171" s="495"/>
      <c r="L171" s="616"/>
      <c r="M171" s="379"/>
      <c r="N171" s="390"/>
      <c r="O171" s="390"/>
    </row>
    <row r="172" spans="1:15" ht="15.75" x14ac:dyDescent="0.3">
      <c r="A172" s="503"/>
      <c r="B172" s="495"/>
      <c r="C172" s="495"/>
      <c r="D172" s="546" t="s">
        <v>299</v>
      </c>
      <c r="E172" s="615">
        <f>E171/E23</f>
        <v>0.53126616302000251</v>
      </c>
      <c r="F172" s="495" t="s">
        <v>656</v>
      </c>
      <c r="G172" s="495"/>
      <c r="H172" s="495"/>
      <c r="I172" s="544"/>
      <c r="J172" s="495"/>
      <c r="K172" s="495"/>
      <c r="L172" s="616"/>
      <c r="M172" s="379"/>
      <c r="N172" s="390"/>
      <c r="O172" s="390"/>
    </row>
    <row r="173" spans="1:15" x14ac:dyDescent="0.2">
      <c r="A173" s="503"/>
      <c r="B173" s="495"/>
      <c r="C173" s="495"/>
      <c r="D173" s="495"/>
      <c r="E173" s="495"/>
      <c r="F173" s="617"/>
      <c r="G173" s="617"/>
      <c r="H173" s="495"/>
      <c r="I173" s="544"/>
      <c r="J173" s="495"/>
      <c r="K173" s="495"/>
      <c r="L173" s="616"/>
      <c r="M173" s="379"/>
      <c r="N173" s="390"/>
      <c r="O173" s="390"/>
    </row>
    <row r="174" spans="1:15" x14ac:dyDescent="0.2">
      <c r="A174" s="503"/>
      <c r="B174" s="495"/>
      <c r="C174" s="495"/>
      <c r="D174" s="495"/>
      <c r="E174" s="495"/>
      <c r="F174" s="617"/>
      <c r="G174" s="617"/>
      <c r="H174" s="495"/>
      <c r="I174" s="495"/>
      <c r="J174" s="495"/>
      <c r="K174" s="495"/>
      <c r="L174" s="616"/>
      <c r="M174" s="379"/>
      <c r="N174" s="390"/>
      <c r="O174" s="390"/>
    </row>
    <row r="175" spans="1:15" ht="14.25" x14ac:dyDescent="0.25">
      <c r="A175" s="618"/>
      <c r="B175" s="619"/>
      <c r="C175" s="619"/>
      <c r="D175" s="619"/>
      <c r="E175" s="620" t="s">
        <v>1059</v>
      </c>
      <c r="F175" s="621"/>
      <c r="G175" s="621"/>
      <c r="H175" s="622"/>
      <c r="I175" s="622"/>
      <c r="J175" s="620" t="s">
        <v>885</v>
      </c>
      <c r="K175" s="622"/>
      <c r="L175" s="623">
        <f>L43+L52+L62+L90+L111+L123+L140-L154-L160-L166</f>
        <v>116.39268090590119</v>
      </c>
      <c r="M175" s="379"/>
      <c r="N175" s="390"/>
      <c r="O175" s="390"/>
    </row>
    <row r="176" spans="1:15" ht="14.25" x14ac:dyDescent="0.25">
      <c r="A176" s="624"/>
      <c r="B176" s="625"/>
      <c r="C176" s="626"/>
      <c r="D176" s="619"/>
      <c r="E176" s="620" t="s">
        <v>1060</v>
      </c>
      <c r="F176" s="622"/>
      <c r="G176" s="622"/>
      <c r="H176" s="622"/>
      <c r="I176" s="622"/>
      <c r="J176" s="620" t="s">
        <v>885</v>
      </c>
      <c r="K176" s="622"/>
      <c r="L176" s="627">
        <f>L99+L111+L123+(L135*J6)+L138-L154-L160-L166</f>
        <v>69.890818520083712</v>
      </c>
      <c r="M176" s="379"/>
      <c r="N176" s="390"/>
      <c r="O176" s="390"/>
    </row>
    <row r="177" spans="1:15" x14ac:dyDescent="0.2">
      <c r="A177" s="618"/>
      <c r="B177" s="619"/>
      <c r="C177" s="619"/>
      <c r="D177" s="619"/>
      <c r="E177" s="622"/>
      <c r="F177" s="622"/>
      <c r="G177" s="622"/>
      <c r="H177" s="622"/>
      <c r="I177" s="622"/>
      <c r="J177" s="622"/>
      <c r="K177" s="622"/>
      <c r="L177" s="628"/>
      <c r="M177" s="379"/>
      <c r="N177" s="390"/>
      <c r="O177" s="390"/>
    </row>
    <row r="178" spans="1:15" x14ac:dyDescent="0.2">
      <c r="A178" s="629"/>
      <c r="B178" s="630"/>
      <c r="C178" s="630"/>
      <c r="D178" s="630"/>
      <c r="E178" s="631" t="s">
        <v>1061</v>
      </c>
      <c r="F178" s="632"/>
      <c r="G178" s="632"/>
      <c r="H178" s="632"/>
      <c r="I178" s="632"/>
      <c r="J178" s="632"/>
      <c r="K178" s="632"/>
      <c r="L178" s="633">
        <f>(83.8-L176)/83.8</f>
        <v>0.16598068591785542</v>
      </c>
      <c r="M178" s="379"/>
      <c r="N178" s="390"/>
      <c r="O178" s="390"/>
    </row>
    <row r="179" spans="1:15" x14ac:dyDescent="0.2">
      <c r="M179" s="361"/>
    </row>
    <row r="180" spans="1:15" x14ac:dyDescent="0.2">
      <c r="E180" s="634"/>
      <c r="F180" s="634"/>
      <c r="G180" s="634"/>
      <c r="H180" s="635"/>
      <c r="I180" s="634"/>
      <c r="J180" s="634"/>
      <c r="K180" s="634"/>
      <c r="L180" s="636"/>
      <c r="M180" s="361"/>
    </row>
    <row r="181" spans="1:15" x14ac:dyDescent="0.2">
      <c r="F181" s="634"/>
      <c r="G181" s="634"/>
      <c r="H181" s="634"/>
      <c r="I181" s="637"/>
      <c r="J181" s="634"/>
      <c r="K181" s="634"/>
      <c r="L181" s="638"/>
      <c r="M181" s="639"/>
      <c r="N181" s="361"/>
    </row>
    <row r="182" spans="1:15" x14ac:dyDescent="0.2">
      <c r="F182" s="634"/>
      <c r="G182" s="634"/>
      <c r="H182" s="634"/>
      <c r="I182" s="637"/>
      <c r="J182" s="634"/>
      <c r="K182" s="634"/>
      <c r="L182" s="638"/>
      <c r="M182" s="639"/>
      <c r="N182" s="361"/>
    </row>
    <row r="183" spans="1:15" ht="15.75" x14ac:dyDescent="0.25">
      <c r="F183" s="640"/>
      <c r="G183" s="640"/>
      <c r="H183" s="634"/>
      <c r="I183" s="634"/>
      <c r="J183" s="634"/>
      <c r="K183" s="634"/>
      <c r="L183" s="634"/>
      <c r="M183" s="634"/>
      <c r="N183" s="361"/>
    </row>
    <row r="184" spans="1:15" x14ac:dyDescent="0.2">
      <c r="F184" s="634"/>
      <c r="G184" s="634"/>
      <c r="H184" s="637"/>
      <c r="I184" s="634"/>
      <c r="J184" s="634"/>
      <c r="K184" s="634"/>
      <c r="L184" s="634"/>
      <c r="M184" s="634"/>
      <c r="N184" s="634"/>
    </row>
    <row r="185" spans="1:15" x14ac:dyDescent="0.2">
      <c r="F185" s="637"/>
      <c r="G185" s="637"/>
      <c r="H185" s="634"/>
      <c r="I185" s="641"/>
      <c r="J185" s="634"/>
      <c r="K185" s="634"/>
      <c r="L185" s="634"/>
      <c r="M185" s="634"/>
      <c r="N185" s="634"/>
    </row>
    <row r="186" spans="1:15" x14ac:dyDescent="0.2">
      <c r="F186" s="637"/>
      <c r="G186" s="637"/>
      <c r="H186" s="634"/>
      <c r="I186" s="641"/>
      <c r="J186" s="634"/>
      <c r="K186" s="634"/>
      <c r="L186" s="634"/>
      <c r="M186" s="634"/>
      <c r="N186" s="634"/>
    </row>
    <row r="187" spans="1:15" x14ac:dyDescent="0.2">
      <c r="F187" s="634"/>
      <c r="G187" s="634"/>
      <c r="H187" s="639"/>
      <c r="I187" s="634"/>
      <c r="J187" s="634"/>
      <c r="K187" s="634"/>
      <c r="L187" s="634"/>
      <c r="M187" s="634"/>
      <c r="N187" s="634"/>
    </row>
    <row r="188" spans="1:15" x14ac:dyDescent="0.2">
      <c r="F188" s="634"/>
      <c r="G188" s="634"/>
      <c r="H188" s="634"/>
      <c r="I188" s="634"/>
      <c r="J188" s="634"/>
      <c r="K188" s="634"/>
      <c r="L188" s="634"/>
      <c r="M188" s="634"/>
      <c r="N188" s="634"/>
    </row>
    <row r="189" spans="1:15" x14ac:dyDescent="0.2">
      <c r="F189" s="634"/>
      <c r="G189" s="634"/>
      <c r="H189" s="634"/>
      <c r="I189" s="634"/>
      <c r="J189" s="634"/>
      <c r="K189" s="634"/>
      <c r="L189" s="634"/>
      <c r="M189" s="634"/>
      <c r="N189" s="634"/>
    </row>
    <row r="190" spans="1:15" x14ac:dyDescent="0.2">
      <c r="F190" s="634"/>
      <c r="G190" s="634"/>
      <c r="H190" s="634"/>
      <c r="I190" s="634"/>
      <c r="J190" s="634"/>
      <c r="K190" s="634"/>
      <c r="L190" s="634"/>
      <c r="M190" s="634"/>
      <c r="N190" s="634"/>
    </row>
    <row r="191" spans="1:15" x14ac:dyDescent="0.2">
      <c r="F191" s="634"/>
      <c r="G191" s="634"/>
      <c r="H191" s="634"/>
      <c r="I191" s="634"/>
      <c r="J191" s="634"/>
      <c r="K191" s="634"/>
      <c r="L191" s="634"/>
      <c r="M191" s="634"/>
      <c r="N191" s="634"/>
    </row>
    <row r="192" spans="1:15" x14ac:dyDescent="0.2">
      <c r="F192" s="634"/>
      <c r="G192" s="634"/>
      <c r="H192" s="634"/>
      <c r="I192" s="634"/>
      <c r="J192" s="634"/>
      <c r="K192" s="634"/>
      <c r="L192" s="634"/>
      <c r="M192" s="634"/>
      <c r="N192" s="634"/>
    </row>
    <row r="193" spans="6:14" x14ac:dyDescent="0.2">
      <c r="F193" s="634"/>
      <c r="G193" s="634"/>
      <c r="H193" s="634"/>
      <c r="I193" s="634"/>
      <c r="J193" s="634"/>
      <c r="K193" s="634"/>
      <c r="L193" s="634"/>
      <c r="M193" s="634"/>
      <c r="N193" s="634"/>
    </row>
    <row r="194" spans="6:14" x14ac:dyDescent="0.2">
      <c r="F194" s="634"/>
      <c r="G194" s="634"/>
      <c r="H194" s="634"/>
      <c r="I194" s="634"/>
      <c r="J194" s="634"/>
      <c r="K194" s="634"/>
      <c r="L194" s="634"/>
      <c r="M194" s="634"/>
      <c r="N194" s="634"/>
    </row>
    <row r="195" spans="6:14" x14ac:dyDescent="0.2">
      <c r="F195" s="634"/>
      <c r="G195" s="634"/>
      <c r="H195" s="634"/>
      <c r="I195" s="634"/>
      <c r="J195" s="634"/>
      <c r="K195" s="634"/>
      <c r="L195" s="634"/>
      <c r="M195" s="634"/>
      <c r="N195" s="634"/>
    </row>
    <row r="196" spans="6:14" x14ac:dyDescent="0.2">
      <c r="F196" s="634"/>
      <c r="G196" s="634"/>
      <c r="H196" s="634"/>
      <c r="I196" s="634"/>
      <c r="J196" s="634"/>
      <c r="K196" s="634"/>
      <c r="L196" s="634"/>
      <c r="M196" s="634"/>
      <c r="N196" s="634"/>
    </row>
    <row r="197" spans="6:14" x14ac:dyDescent="0.2">
      <c r="F197" s="634"/>
      <c r="G197" s="634"/>
      <c r="H197" s="634"/>
      <c r="I197" s="634"/>
      <c r="J197" s="634"/>
      <c r="K197" s="634"/>
      <c r="L197" s="634"/>
      <c r="M197" s="634"/>
      <c r="N197" s="634"/>
    </row>
    <row r="198" spans="6:14" x14ac:dyDescent="0.2">
      <c r="F198" s="634"/>
      <c r="G198" s="634"/>
      <c r="H198" s="634"/>
      <c r="I198" s="634"/>
      <c r="J198" s="634"/>
      <c r="K198" s="634"/>
      <c r="L198" s="634"/>
      <c r="M198" s="634"/>
      <c r="N198" s="634"/>
    </row>
    <row r="199" spans="6:14" x14ac:dyDescent="0.2">
      <c r="F199" s="634"/>
      <c r="G199" s="634"/>
      <c r="H199" s="634"/>
      <c r="I199" s="634"/>
      <c r="J199" s="634"/>
      <c r="K199" s="634"/>
      <c r="L199" s="634"/>
      <c r="M199" s="634"/>
      <c r="N199" s="634"/>
    </row>
  </sheetData>
  <sheetProtection insertColumns="0" insertRows="0" deleteColumns="0" deleteRows="0"/>
  <customSheetViews>
    <customSheetView guid="{AD88818B-9F97-4B1E-9426-0DECE603685E}" scale="80" showGridLines="0" fitToPage="1" showRuler="0">
      <pane ySplit="19" topLeftCell="A20" activePane="bottomLeft" state="frozen"/>
      <selection pane="bottomLeft" activeCell="E3" sqref="E3"/>
      <pageMargins left="0.75" right="0.75" top="1" bottom="1" header="0.5" footer="0.5"/>
      <pageSetup paperSize="8" fitToHeight="0" orientation="landscape"/>
      <headerFooter alignWithMargins="0">
        <oddFooter>&amp;L&amp;8&amp;F&amp;C&amp;8&amp;A&amp;R&amp;8page&amp;P</oddFooter>
      </headerFooter>
    </customSheetView>
    <customSheetView guid="{7EB5D807-CE20-46E2-AEE6-2C193E010EA4}" scale="80" showGridLines="0" fitToPage="1" showRuler="0">
      <pane ySplit="19" topLeftCell="A20" activePane="bottomLeft" state="frozen"/>
      <selection pane="bottomLeft" activeCell="E3" sqref="E3"/>
      <pageMargins left="0.75" right="0.75" top="1" bottom="1" header="0.5" footer="0.5"/>
      <pageSetup paperSize="8" fitToHeight="0" orientation="landscape"/>
      <headerFooter alignWithMargins="0">
        <oddFooter>&amp;L&amp;8&amp;F&amp;C&amp;8&amp;A&amp;R&amp;8page&amp;P</oddFooter>
      </headerFooter>
    </customSheetView>
  </customSheetViews>
  <mergeCells count="6">
    <mergeCell ref="F145:L146"/>
    <mergeCell ref="F147:L148"/>
    <mergeCell ref="H11:H12"/>
    <mergeCell ref="O11:O12"/>
    <mergeCell ref="F128:L129"/>
    <mergeCell ref="F130:L131"/>
  </mergeCells>
  <phoneticPr fontId="0" type="noConversion"/>
  <conditionalFormatting sqref="O9:O19">
    <cfRule type="cellIs" dxfId="119" priority="1" stopIfTrue="1" operator="notBetween">
      <formula>-0.05</formula>
      <formula>0.05</formula>
    </cfRule>
  </conditionalFormatting>
  <conditionalFormatting sqref="E15">
    <cfRule type="expression" dxfId="118" priority="3" stopIfTrue="1">
      <formula>($E15="Combined result of previous calculation")</formula>
    </cfRule>
  </conditionalFormatting>
  <conditionalFormatting sqref="A15:D15 F15:G15">
    <cfRule type="expression" dxfId="117" priority="4" stopIfTrue="1">
      <formula>($E15="Combined result of previous calculation")</formula>
    </cfRule>
  </conditionalFormatting>
  <conditionalFormatting sqref="A7:G7 A11:G12">
    <cfRule type="expression" dxfId="116" priority="5" stopIfTrue="1">
      <formula>($E7&lt;&gt;"")</formula>
    </cfRule>
  </conditionalFormatting>
  <conditionalFormatting sqref="A16:D16 F16:G16">
    <cfRule type="expression" dxfId="115" priority="6" stopIfTrue="1">
      <formula>($E16="Esca included in combined result of previous calculation")</formula>
    </cfRule>
  </conditionalFormatting>
  <conditionalFormatting sqref="E16">
    <cfRule type="expression" dxfId="114" priority="7" stopIfTrue="1">
      <formula>($E16="Esca included in combined result of previous calculation")</formula>
    </cfRule>
  </conditionalFormatting>
  <dataValidations count="8">
    <dataValidation type="list" allowBlank="1" showInputMessage="1" showErrorMessage="1" sqref="F10 F8 F6" xr:uid="{00000000-0002-0000-0B00-000000000000}">
      <formula1>"A,D"</formula1>
    </dataValidation>
    <dataValidation type="list" showDropDown="1" showInputMessage="1" showErrorMessage="1" errorTitle="Wrong input" error="Only values &quot;0&quot; and &quot;29&quot; are allowed_x000a_" sqref="C137" xr:uid="{00000000-0002-0000-0B00-000001000000}">
      <formula1>"0,29"</formula1>
    </dataValidation>
    <dataValidation allowBlank="1" showInputMessage="1" showErrorMessage="1" promptTitle="Input value for manure" prompt="Use of manure will not lead to direct GHG emissions as the emission coeffient is 0 g CO2,eq/MJ._x000a_Use of manure will indirectly lead to GHG emissions. When using actual inputs, field N2O emissions must be calculated which increase due to use of manure." sqref="C32" xr:uid="{00000000-0002-0000-0B00-000002000000}"/>
    <dataValidation type="list" allowBlank="1" showInputMessage="1" showErrorMessage="1" sqref="E15" xr:uid="{00000000-0002-0000-0B00-000003000000}">
      <formula1>"- , Combined result of previous calculation"</formula1>
    </dataValidation>
    <dataValidation type="list" allowBlank="1" showInputMessage="1" showErrorMessage="1" sqref="E7 E11:E12" xr:uid="{00000000-0002-0000-0B00-000004000000}">
      <formula1>"- ,Individual result of previous calculation, Combined result of previous calculation"</formula1>
    </dataValidation>
    <dataValidation type="list" allowBlank="1" showInputMessage="1" showErrorMessage="1" sqref="E16" xr:uid="{00000000-0002-0000-0B00-000005000000}">
      <formula1>"- , Esca included in combined result of previous calculation"</formula1>
    </dataValidation>
    <dataValidation allowBlank="1" showInputMessage="1" showErrorMessage="1" promptTitle="Please note !" prompt="When changing the value in this cell, you must indicate in column E under &quot;overview results&quot; that you have used the result of a previous calculation. Please refer to paragraph 4.2 of the user manual for further instructions and examples." sqref="N41 N50 N59" xr:uid="{00000000-0002-0000-0B00-000006000000}"/>
    <dataValidation allowBlank="1" showInputMessage="1" showErrorMessage="1" promptTitle="Electricity mix" sqref="B50 B110 B122" xr:uid="{00000000-0002-0000-0B00-000007000000}"/>
  </dataValidations>
  <hyperlinks>
    <hyperlink ref="C148" location="Esca!A1" display="Esca!A1" xr:uid="{00000000-0004-0000-0B00-000000000000}"/>
    <hyperlink ref="C131" location="LUC!A1" display="LUC!A1" xr:uid="{00000000-0004-0000-0B00-000001000000}"/>
    <hyperlink ref="C42" location="'N2O emissions IPCC '!A1" display="N2O emissions IPCC" xr:uid="{00000000-0004-0000-0B00-000002000000}"/>
  </hyperlinks>
  <pageMargins left="0.75" right="0.75" top="1" bottom="1" header="0.5" footer="0.5"/>
  <pageSetup paperSize="8" fitToHeight="0" orientation="landscape"/>
  <headerFooter alignWithMargins="0">
    <oddFooter>&amp;L&amp;8&amp;F&amp;C&amp;8&amp;A&amp;R&amp;8page&amp;P</oddFooter>
  </headerFooter>
  <drawing r:id="rId1"/>
  <legacyDrawing r:id="rId2"/>
  <controls>
    <mc:AlternateContent xmlns:mc="http://schemas.openxmlformats.org/markup-compatibility/2006">
      <mc:Choice Requires="x14">
        <control shapeId="29700" r:id="rId3" name="CheckBox2">
          <controlPr autoLine="0" autoPict="0" linkedCell="About!N86" r:id="rId4">
            <anchor moveWithCells="1">
              <from>
                <xdr:col>9</xdr:col>
                <xdr:colOff>38100</xdr:colOff>
                <xdr:row>14</xdr:row>
                <xdr:rowOff>47625</xdr:rowOff>
              </from>
              <to>
                <xdr:col>13</xdr:col>
                <xdr:colOff>885825</xdr:colOff>
                <xdr:row>16</xdr:row>
                <xdr:rowOff>85725</xdr:rowOff>
              </to>
            </anchor>
          </controlPr>
        </control>
      </mc:Choice>
      <mc:Fallback>
        <control shapeId="29700" r:id="rId3" name="CheckBox2"/>
      </mc:Fallback>
    </mc:AlternateContent>
    <mc:AlternateContent xmlns:mc="http://schemas.openxmlformats.org/markup-compatibility/2006">
      <mc:Choice Requires="x14">
        <control shapeId="29701" r:id="rId5" name="CheckBox1">
          <controlPr autoLine="0" autoPict="0" linkedCell="About!N88" r:id="rId6">
            <anchor moveWithCells="1">
              <from>
                <xdr:col>9</xdr:col>
                <xdr:colOff>38100</xdr:colOff>
                <xdr:row>12</xdr:row>
                <xdr:rowOff>0</xdr:rowOff>
              </from>
              <to>
                <xdr:col>13</xdr:col>
                <xdr:colOff>866775</xdr:colOff>
                <xdr:row>14</xdr:row>
                <xdr:rowOff>171450</xdr:rowOff>
              </to>
            </anchor>
          </controlPr>
        </control>
      </mc:Choice>
      <mc:Fallback>
        <control shapeId="29701" r:id="rId5" name="CheckBox1"/>
      </mc:Fallback>
    </mc:AlternateContent>
    <mc:AlternateContent xmlns:mc="http://schemas.openxmlformats.org/markup-compatibility/2006">
      <mc:Choice Requires="x14">
        <control shapeId="29718" r:id="rId7" name="ComboBox1">
          <controlPr locked="0" defaultSize="0" autoLine="0" autoPict="0" linkedCell="D130" listFillRange="D128:D129" r:id="rId8">
            <anchor moveWithCells="1">
              <from>
                <xdr:col>2</xdr:col>
                <xdr:colOff>0</xdr:colOff>
                <xdr:row>128</xdr:row>
                <xdr:rowOff>0</xdr:rowOff>
              </from>
              <to>
                <xdr:col>3</xdr:col>
                <xdr:colOff>47625</xdr:colOff>
                <xdr:row>129</xdr:row>
                <xdr:rowOff>28575</xdr:rowOff>
              </to>
            </anchor>
          </controlPr>
        </control>
      </mc:Choice>
      <mc:Fallback>
        <control shapeId="29718" r:id="rId7" name="ComboBox1"/>
      </mc:Fallback>
    </mc:AlternateContent>
    <mc:AlternateContent xmlns:mc="http://schemas.openxmlformats.org/markup-compatibility/2006">
      <mc:Choice Requires="x14">
        <control shapeId="29921" r:id="rId9" name="ComboBox2">
          <controlPr locked="0" defaultSize="0" autoLine="0" autoPict="0" linkedCell="D147" listFillRange="D145:D146" r:id="rId10">
            <anchor moveWithCells="1">
              <from>
                <xdr:col>2</xdr:col>
                <xdr:colOff>38100</xdr:colOff>
                <xdr:row>145</xdr:row>
                <xdr:rowOff>0</xdr:rowOff>
              </from>
              <to>
                <xdr:col>3</xdr:col>
                <xdr:colOff>47625</xdr:colOff>
                <xdr:row>146</xdr:row>
                <xdr:rowOff>9525</xdr:rowOff>
              </to>
            </anchor>
          </controlPr>
        </control>
      </mc:Choice>
      <mc:Fallback>
        <control shapeId="29921" r:id="rId9" name="ComboBox2"/>
      </mc:Fallback>
    </mc:AlternateContent>
    <mc:AlternateContent xmlns:mc="http://schemas.openxmlformats.org/markup-compatibility/2006">
      <mc:Choice Requires="x14">
        <control shapeId="30274" r:id="rId11" name="cmdTrackChanges">
          <controlPr defaultSize="0" autoLine="0" r:id="rId12">
            <anchor moveWithCells="1">
              <from>
                <xdr:col>1</xdr:col>
                <xdr:colOff>1409700</xdr:colOff>
                <xdr:row>18</xdr:row>
                <xdr:rowOff>95250</xdr:rowOff>
              </from>
              <to>
                <xdr:col>3</xdr:col>
                <xdr:colOff>581025</xdr:colOff>
                <xdr:row>19</xdr:row>
                <xdr:rowOff>219075</xdr:rowOff>
              </to>
            </anchor>
          </controlPr>
        </control>
      </mc:Choice>
      <mc:Fallback>
        <control shapeId="30274" r:id="rId11" name="cmdTrackChanges"/>
      </mc:Fallback>
    </mc:AlternateContent>
    <mc:AlternateContent xmlns:mc="http://schemas.openxmlformats.org/markup-compatibility/2006">
      <mc:Choice Requires="x14">
        <control shapeId="30343" r:id="rId13" name="Label 647">
          <controlPr defaultSize="0" autoFill="0" autoLine="0" autoPict="0" macro="[0]!GoToAbout">
            <anchor moveWithCells="1" sizeWithCells="1">
              <from>
                <xdr:col>10</xdr:col>
                <xdr:colOff>438150</xdr:colOff>
                <xdr:row>0</xdr:row>
                <xdr:rowOff>800100</xdr:rowOff>
              </from>
              <to>
                <xdr:col>12</xdr:col>
                <xdr:colOff>85725</xdr:colOff>
                <xdr:row>1</xdr:row>
                <xdr:rowOff>0</xdr:rowOff>
              </to>
            </anchor>
          </controlPr>
        </control>
      </mc:Choice>
    </mc:AlternateContent>
    <mc:AlternateContent xmlns:mc="http://schemas.openxmlformats.org/markup-compatibility/2006">
      <mc:Choice Requires="x14">
        <control shapeId="30344" r:id="rId14" name="Label 648">
          <controlPr defaultSize="0" autoFill="0" autoLine="0" autoPict="0" macro="[0]!GoToDirectory">
            <anchor moveWithCells="1" sizeWithCells="1">
              <from>
                <xdr:col>13</xdr:col>
                <xdr:colOff>0</xdr:colOff>
                <xdr:row>0</xdr:row>
                <xdr:rowOff>800100</xdr:rowOff>
              </from>
              <to>
                <xdr:col>13</xdr:col>
                <xdr:colOff>1000125</xdr:colOff>
                <xdr:row>1</xdr:row>
                <xdr:rowOff>0</xdr:rowOff>
              </to>
            </anchor>
          </controlPr>
        </control>
      </mc:Choice>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E4">
    <pageSetUpPr fitToPage="1"/>
  </sheetPr>
  <dimension ref="A1:O191"/>
  <sheetViews>
    <sheetView showGridLines="0" zoomScale="80" workbookViewId="0">
      <selection activeCell="A2" sqref="A2"/>
    </sheetView>
  </sheetViews>
  <sheetFormatPr baseColWidth="10" defaultColWidth="8.85546875" defaultRowHeight="12.75" x14ac:dyDescent="0.2"/>
  <cols>
    <col min="1" max="1" width="22.5703125" style="360" customWidth="1"/>
    <col min="2" max="2" width="25.85546875" style="360" customWidth="1"/>
    <col min="3" max="3" width="9.7109375" style="360" customWidth="1"/>
    <col min="4" max="4" width="20.140625" style="360" customWidth="1"/>
    <col min="5" max="5" width="14.85546875" style="360" customWidth="1"/>
    <col min="6" max="6" width="8.5703125" style="360" customWidth="1"/>
    <col min="7" max="7" width="2.85546875" style="360" customWidth="1"/>
    <col min="8" max="8" width="19.5703125" style="360" customWidth="1"/>
    <col min="9" max="12" width="9.140625" style="360" customWidth="1"/>
    <col min="13" max="13" width="2.5703125" style="360" customWidth="1"/>
    <col min="14" max="14" width="16.7109375" style="360" customWidth="1"/>
    <col min="15" max="15" width="13.7109375" style="360" customWidth="1"/>
    <col min="16" max="16384" width="8.85546875" style="361"/>
  </cols>
  <sheetData>
    <row r="1" spans="1:15" ht="102" customHeight="1" x14ac:dyDescent="0.2"/>
    <row r="2" spans="1:15" ht="27.75" customHeight="1" x14ac:dyDescent="0.25">
      <c r="A2" s="362" t="s">
        <v>947</v>
      </c>
      <c r="B2" s="363"/>
      <c r="C2" s="364"/>
      <c r="D2" s="364"/>
      <c r="E2" s="364"/>
      <c r="F2" s="365"/>
      <c r="G2" s="365"/>
      <c r="H2" s="366"/>
      <c r="I2" s="367"/>
      <c r="J2" s="368"/>
      <c r="K2" s="369"/>
      <c r="L2" s="370"/>
      <c r="M2" s="367"/>
      <c r="N2" s="367"/>
      <c r="O2" s="371" t="str">
        <f>About!D2</f>
        <v>Version 4d for Testing</v>
      </c>
    </row>
    <row r="3" spans="1:15" ht="27.75" customHeight="1" x14ac:dyDescent="0.25">
      <c r="A3" s="372" t="s">
        <v>1050</v>
      </c>
      <c r="B3" s="373"/>
      <c r="C3" s="374"/>
      <c r="D3" s="374"/>
      <c r="E3" s="373"/>
      <c r="F3" s="373"/>
      <c r="G3" s="373"/>
      <c r="H3" s="375"/>
      <c r="I3" s="376"/>
      <c r="J3" s="377"/>
      <c r="K3" s="378"/>
      <c r="L3" s="377"/>
      <c r="M3" s="377"/>
      <c r="N3" s="379"/>
      <c r="O3" s="378"/>
    </row>
    <row r="4" spans="1:15" ht="16.5" customHeight="1" x14ac:dyDescent="0.25">
      <c r="A4" s="380" t="s">
        <v>861</v>
      </c>
      <c r="B4" s="381" t="s">
        <v>854</v>
      </c>
      <c r="C4" s="381" t="s">
        <v>1057</v>
      </c>
      <c r="D4" s="381" t="s">
        <v>852</v>
      </c>
      <c r="E4" s="382" t="s">
        <v>1047</v>
      </c>
      <c r="F4" s="383" t="s">
        <v>1125</v>
      </c>
      <c r="G4" s="384"/>
      <c r="H4" s="385" t="s">
        <v>869</v>
      </c>
      <c r="I4" s="386"/>
      <c r="J4" s="387" t="s">
        <v>1063</v>
      </c>
      <c r="K4" s="388"/>
      <c r="L4" s="389"/>
      <c r="M4" s="390"/>
      <c r="N4" s="387" t="s">
        <v>391</v>
      </c>
      <c r="O4" s="391"/>
    </row>
    <row r="5" spans="1:15" ht="16.5" customHeight="1" x14ac:dyDescent="0.25">
      <c r="A5" s="392" t="s">
        <v>863</v>
      </c>
      <c r="B5" s="393" t="s">
        <v>853</v>
      </c>
      <c r="C5" s="393" t="s">
        <v>1062</v>
      </c>
      <c r="D5" s="393" t="s">
        <v>853</v>
      </c>
      <c r="E5" s="394"/>
      <c r="F5" s="395" t="s">
        <v>1126</v>
      </c>
      <c r="G5" s="396"/>
      <c r="H5" s="397" t="s">
        <v>866</v>
      </c>
      <c r="I5" s="390"/>
      <c r="J5" s="398" t="str">
        <f>A65</f>
        <v>Ethanol plant</v>
      </c>
      <c r="K5" s="399"/>
      <c r="L5" s="400"/>
      <c r="M5" s="390"/>
      <c r="N5" s="398" t="s">
        <v>392</v>
      </c>
      <c r="O5" s="400"/>
    </row>
    <row r="6" spans="1:15" ht="16.5" customHeight="1" x14ac:dyDescent="0.35">
      <c r="A6" s="401" t="s">
        <v>170</v>
      </c>
      <c r="B6" s="402"/>
      <c r="C6" s="403"/>
      <c r="D6" s="404"/>
      <c r="E6" s="405">
        <f>IF(F6="A",D7,H6)</f>
        <v>23.428245342469936</v>
      </c>
      <c r="F6" s="406" t="s">
        <v>1127</v>
      </c>
      <c r="G6" s="407"/>
      <c r="H6" s="408">
        <v>23</v>
      </c>
      <c r="I6" s="390"/>
      <c r="J6" s="409">
        <f>F88/F90</f>
        <v>0.59511653718091007</v>
      </c>
      <c r="K6" s="410" t="s">
        <v>1032</v>
      </c>
      <c r="L6" s="411"/>
      <c r="M6" s="390"/>
      <c r="N6" s="412">
        <v>83.8</v>
      </c>
      <c r="O6" s="413" t="s">
        <v>394</v>
      </c>
    </row>
    <row r="7" spans="1:15" ht="12" customHeight="1" x14ac:dyDescent="0.2">
      <c r="A7" s="398" t="str">
        <f>A21</f>
        <v>Cultivation of wheat</v>
      </c>
      <c r="B7" s="414">
        <f>L43</f>
        <v>39.367491707507298</v>
      </c>
      <c r="C7" s="415">
        <f>J6</f>
        <v>0.59511653718091007</v>
      </c>
      <c r="D7" s="416">
        <f>C7*B7</f>
        <v>23.428245342469936</v>
      </c>
      <c r="E7" s="1215"/>
      <c r="F7" s="418"/>
      <c r="G7" s="418"/>
      <c r="H7" s="419">
        <f>23.43</f>
        <v>23.43</v>
      </c>
      <c r="I7" s="390"/>
      <c r="J7" s="420">
        <f>1-J6</f>
        <v>0.40488346281908993</v>
      </c>
      <c r="K7" s="421" t="s">
        <v>1033</v>
      </c>
      <c r="L7" s="422"/>
      <c r="M7" s="390"/>
      <c r="N7" s="398" t="s">
        <v>393</v>
      </c>
      <c r="O7" s="400"/>
    </row>
    <row r="8" spans="1:15" ht="16.5" customHeight="1" x14ac:dyDescent="0.35">
      <c r="A8" s="401" t="s">
        <v>544</v>
      </c>
      <c r="B8" s="423"/>
      <c r="C8" s="423"/>
      <c r="D8" s="424"/>
      <c r="E8" s="425">
        <f>IF(F8="A",D9,H8)</f>
        <v>29.564976039996683</v>
      </c>
      <c r="F8" s="406" t="s">
        <v>1127</v>
      </c>
      <c r="G8" s="407"/>
      <c r="H8" s="408">
        <v>30</v>
      </c>
      <c r="I8" s="390"/>
      <c r="J8" s="390"/>
      <c r="K8" s="390"/>
      <c r="L8" s="390"/>
      <c r="M8" s="390"/>
      <c r="N8" s="426">
        <f>(N6-E18)/N6</f>
        <v>0.3448518535210931</v>
      </c>
      <c r="O8" s="427"/>
    </row>
    <row r="9" spans="1:15" ht="12" customHeight="1" x14ac:dyDescent="0.2">
      <c r="A9" s="398" t="str">
        <f>A65</f>
        <v>Ethanol plant</v>
      </c>
      <c r="B9" s="414">
        <f>L82</f>
        <v>49.679305132482305</v>
      </c>
      <c r="C9" s="415">
        <f>J6</f>
        <v>0.59511653718091007</v>
      </c>
      <c r="D9" s="416">
        <f>C9*B9</f>
        <v>29.564976039996683</v>
      </c>
      <c r="E9" s="417"/>
      <c r="F9" s="418"/>
      <c r="G9" s="418"/>
      <c r="H9" s="419">
        <f>1.4*21.12</f>
        <v>29.567999999999998</v>
      </c>
      <c r="I9" s="390"/>
      <c r="J9" s="390"/>
      <c r="K9" s="390"/>
      <c r="L9" s="390"/>
      <c r="M9" s="390"/>
      <c r="N9" s="390"/>
      <c r="O9" s="428"/>
    </row>
    <row r="10" spans="1:15" ht="16.5" customHeight="1" x14ac:dyDescent="0.35">
      <c r="A10" s="401" t="s">
        <v>545</v>
      </c>
      <c r="B10" s="423"/>
      <c r="C10" s="423"/>
      <c r="D10" s="424"/>
      <c r="E10" s="425">
        <f>IF(F10="A",D11+D12+D13+D14, H10)</f>
        <v>1.908193292465783</v>
      </c>
      <c r="F10" s="406" t="s">
        <v>1127</v>
      </c>
      <c r="G10" s="407"/>
      <c r="H10" s="408">
        <v>2</v>
      </c>
      <c r="I10" s="390"/>
      <c r="J10" s="390"/>
      <c r="K10" s="390"/>
      <c r="L10" s="390"/>
      <c r="M10" s="390"/>
      <c r="N10" s="390"/>
      <c r="O10" s="430"/>
    </row>
    <row r="11" spans="1:15" ht="13.5" thickBot="1" x14ac:dyDescent="0.25">
      <c r="A11" s="398" t="str">
        <f>A46</f>
        <v xml:space="preserve">Handling &amp; storage </v>
      </c>
      <c r="B11" s="414">
        <f>L52</f>
        <v>9.7721115771996853E-2</v>
      </c>
      <c r="C11" s="415">
        <f>J6</f>
        <v>0.59511653718091007</v>
      </c>
      <c r="D11" s="416">
        <f t="shared" ref="D11:D17" si="0">C11*B11</f>
        <v>5.8155452027685579E-2</v>
      </c>
      <c r="E11" s="1215"/>
      <c r="F11" s="407"/>
      <c r="G11" s="407"/>
      <c r="H11" s="1426">
        <f>0.38</f>
        <v>0.38</v>
      </c>
      <c r="I11" s="390"/>
      <c r="J11" s="390"/>
      <c r="K11" s="390"/>
      <c r="L11" s="390"/>
      <c r="M11" s="390"/>
      <c r="N11" s="390"/>
      <c r="O11" s="1428"/>
    </row>
    <row r="12" spans="1:15" ht="12" customHeight="1" x14ac:dyDescent="0.2">
      <c r="A12" s="398" t="str">
        <f>A55</f>
        <v>Transport of wheat</v>
      </c>
      <c r="B12" s="414">
        <f>L62</f>
        <v>0.52060153661066044</v>
      </c>
      <c r="C12" s="415">
        <f>J6</f>
        <v>0.59511653718091007</v>
      </c>
      <c r="D12" s="416">
        <f t="shared" si="0"/>
        <v>0.309818583718797</v>
      </c>
      <c r="E12" s="1215"/>
      <c r="F12" s="418"/>
      <c r="G12" s="418"/>
      <c r="H12" s="1427"/>
      <c r="I12" s="390"/>
      <c r="J12" s="432" t="s">
        <v>140</v>
      </c>
      <c r="K12" s="433"/>
      <c r="L12" s="433"/>
      <c r="M12" s="433"/>
      <c r="N12" s="434"/>
      <c r="O12" s="1428"/>
    </row>
    <row r="13" spans="1:15" ht="12" customHeight="1" x14ac:dyDescent="0.2">
      <c r="A13" s="398" t="str">
        <f>A94</f>
        <v>Transport of ethanol to depot</v>
      </c>
      <c r="B13" s="414">
        <f>L103</f>
        <v>0.60397867724853904</v>
      </c>
      <c r="C13" s="415">
        <v>1</v>
      </c>
      <c r="D13" s="416">
        <f t="shared" si="0"/>
        <v>0.60397867724853904</v>
      </c>
      <c r="E13" s="436"/>
      <c r="F13" s="437"/>
      <c r="G13" s="437"/>
      <c r="H13" s="419">
        <f>1.1</f>
        <v>1.1000000000000001</v>
      </c>
      <c r="I13" s="390"/>
      <c r="J13" s="438"/>
      <c r="K13" s="439"/>
      <c r="L13" s="439"/>
      <c r="M13" s="439"/>
      <c r="N13" s="440"/>
      <c r="O13" s="441"/>
    </row>
    <row r="14" spans="1:15" ht="12" customHeight="1" x14ac:dyDescent="0.2">
      <c r="A14" s="398" t="str">
        <f>A106</f>
        <v>Transport to filling station</v>
      </c>
      <c r="B14" s="414">
        <f>L115</f>
        <v>0.93624057947076134</v>
      </c>
      <c r="C14" s="415">
        <v>1</v>
      </c>
      <c r="D14" s="416">
        <f t="shared" si="0"/>
        <v>0.93624057947076134</v>
      </c>
      <c r="E14" s="436"/>
      <c r="F14" s="437"/>
      <c r="G14" s="437"/>
      <c r="H14" s="419">
        <f>0.44</f>
        <v>0.44</v>
      </c>
      <c r="I14" s="390"/>
      <c r="J14" s="438"/>
      <c r="K14" s="439"/>
      <c r="L14" s="439"/>
      <c r="M14" s="442"/>
      <c r="N14" s="443"/>
      <c r="O14" s="441"/>
    </row>
    <row r="15" spans="1:15" ht="17.25" customHeight="1" x14ac:dyDescent="0.35">
      <c r="A15" s="444" t="s">
        <v>551</v>
      </c>
      <c r="B15" s="445">
        <f>L127</f>
        <v>0</v>
      </c>
      <c r="C15" s="446">
        <f>J6</f>
        <v>0.59511653718091007</v>
      </c>
      <c r="D15" s="445">
        <f t="shared" si="0"/>
        <v>0</v>
      </c>
      <c r="E15" s="425">
        <f>D15</f>
        <v>0</v>
      </c>
      <c r="F15" s="451"/>
      <c r="G15" s="451"/>
      <c r="H15" s="447">
        <v>0</v>
      </c>
      <c r="I15" s="390"/>
      <c r="J15" s="438"/>
      <c r="K15" s="439"/>
      <c r="L15" s="439"/>
      <c r="M15" s="448"/>
      <c r="N15" s="449"/>
      <c r="O15" s="450"/>
    </row>
    <row r="16" spans="1:15" ht="16.5" customHeight="1" x14ac:dyDescent="0.35">
      <c r="A16" s="444" t="s">
        <v>724</v>
      </c>
      <c r="B16" s="445">
        <f>L146-L130</f>
        <v>0</v>
      </c>
      <c r="C16" s="446">
        <v>1</v>
      </c>
      <c r="D16" s="445">
        <f t="shared" si="0"/>
        <v>0</v>
      </c>
      <c r="E16" s="425">
        <f>D16</f>
        <v>0</v>
      </c>
      <c r="F16" s="451"/>
      <c r="G16" s="451"/>
      <c r="H16" s="447">
        <v>0</v>
      </c>
      <c r="I16" s="379"/>
      <c r="J16" s="438"/>
      <c r="K16" s="439"/>
      <c r="L16" s="439"/>
      <c r="M16" s="448"/>
      <c r="N16" s="449"/>
      <c r="O16" s="450"/>
    </row>
    <row r="17" spans="1:15" ht="16.5" customHeight="1" thickBot="1" x14ac:dyDescent="0.4">
      <c r="A17" s="444" t="s">
        <v>725</v>
      </c>
      <c r="B17" s="445">
        <f>L152+L158</f>
        <v>0</v>
      </c>
      <c r="C17" s="446">
        <v>1</v>
      </c>
      <c r="D17" s="445">
        <f t="shared" si="0"/>
        <v>0</v>
      </c>
      <c r="E17" s="425">
        <f>D17</f>
        <v>0</v>
      </c>
      <c r="F17" s="451"/>
      <c r="G17" s="451"/>
      <c r="H17" s="447">
        <v>0</v>
      </c>
      <c r="I17" s="379"/>
      <c r="J17" s="459" t="s">
        <v>1</v>
      </c>
      <c r="K17" s="460"/>
      <c r="L17" s="460"/>
      <c r="M17" s="461"/>
      <c r="N17" s="462"/>
      <c r="O17" s="450"/>
    </row>
    <row r="18" spans="1:15" ht="16.5" customHeight="1" thickBot="1" x14ac:dyDescent="0.3">
      <c r="A18" s="452" t="s">
        <v>1049</v>
      </c>
      <c r="B18" s="453">
        <f>SUM(B7:B15)-SUM(B16:B17)</f>
        <v>91.205338749091567</v>
      </c>
      <c r="C18" s="454"/>
      <c r="D18" s="455"/>
      <c r="E18" s="456">
        <f>SUM(E6:E15)-SUM(E16:E17)</f>
        <v>54.901414674932397</v>
      </c>
      <c r="F18" s="457"/>
      <c r="G18" s="457"/>
      <c r="H18" s="458">
        <v>55</v>
      </c>
      <c r="I18" s="379"/>
      <c r="J18" s="650"/>
      <c r="K18" s="651"/>
      <c r="L18" s="651"/>
      <c r="M18" s="652"/>
      <c r="N18" s="652"/>
      <c r="O18" s="463"/>
    </row>
    <row r="19" spans="1:15" ht="16.5" customHeight="1" x14ac:dyDescent="0.25">
      <c r="A19" s="464"/>
      <c r="B19" s="465"/>
      <c r="E19" s="466" t="s">
        <v>859</v>
      </c>
      <c r="F19" s="467"/>
      <c r="G19" s="467"/>
      <c r="H19" s="468"/>
      <c r="I19" s="469"/>
      <c r="J19" s="470"/>
      <c r="K19" s="433"/>
      <c r="L19" s="471"/>
      <c r="M19" s="433"/>
      <c r="N19" s="433"/>
      <c r="O19" s="472"/>
    </row>
    <row r="20" spans="1:15" ht="22.5" customHeight="1" thickBot="1" x14ac:dyDescent="0.25">
      <c r="A20" s="473" t="s">
        <v>1051</v>
      </c>
      <c r="B20" s="379"/>
      <c r="E20" s="474" t="s">
        <v>860</v>
      </c>
      <c r="F20" s="442"/>
      <c r="G20" s="442"/>
      <c r="H20" s="442"/>
      <c r="I20" s="439"/>
      <c r="J20" s="475"/>
      <c r="K20" s="475"/>
      <c r="L20" s="476"/>
      <c r="M20" s="477"/>
      <c r="N20" s="477"/>
      <c r="O20" s="478"/>
    </row>
    <row r="21" spans="1:15" ht="15.75" x14ac:dyDescent="0.25">
      <c r="A21" s="479" t="s">
        <v>490</v>
      </c>
      <c r="B21" s="480"/>
      <c r="C21" s="480"/>
      <c r="D21" s="480"/>
      <c r="E21" s="479" t="s">
        <v>513</v>
      </c>
      <c r="F21" s="481"/>
      <c r="G21" s="481"/>
      <c r="H21" s="480"/>
      <c r="I21" s="482" t="s">
        <v>532</v>
      </c>
      <c r="J21" s="481"/>
      <c r="K21" s="481"/>
      <c r="L21" s="483"/>
      <c r="M21" s="715"/>
      <c r="N21" s="530" t="s">
        <v>162</v>
      </c>
      <c r="O21" s="773"/>
    </row>
    <row r="22" spans="1:15" ht="15.75" x14ac:dyDescent="0.25">
      <c r="A22" s="486"/>
      <c r="B22" s="487" t="s">
        <v>524</v>
      </c>
      <c r="C22" s="488"/>
      <c r="D22" s="488"/>
      <c r="E22" s="489" t="s">
        <v>524</v>
      </c>
      <c r="F22" s="490"/>
      <c r="G22" s="490"/>
      <c r="H22" s="491"/>
      <c r="I22" s="492" t="s">
        <v>138</v>
      </c>
      <c r="J22" s="490"/>
      <c r="K22" s="490"/>
      <c r="L22" s="493"/>
      <c r="M22" s="484"/>
      <c r="N22" s="538" t="s">
        <v>163</v>
      </c>
      <c r="O22" s="749" t="s">
        <v>139</v>
      </c>
    </row>
    <row r="23" spans="1:15" ht="16.5" x14ac:dyDescent="0.3">
      <c r="A23" s="494"/>
      <c r="B23" s="495" t="s">
        <v>1034</v>
      </c>
      <c r="C23" s="496">
        <v>5208.2168117301198</v>
      </c>
      <c r="D23" s="497" t="s">
        <v>527</v>
      </c>
      <c r="E23" s="656">
        <f>C23*(1-C24)*VLOOKUP($B23,'Standard values'!$C$9:$S$162,14, FALSE)</f>
        <v>76586.828216491413</v>
      </c>
      <c r="F23" s="499" t="s">
        <v>1052</v>
      </c>
      <c r="G23" s="499"/>
      <c r="H23" s="499"/>
      <c r="I23" s="500" t="s">
        <v>1053</v>
      </c>
      <c r="J23" s="500" t="s">
        <v>1054</v>
      </c>
      <c r="K23" s="500" t="s">
        <v>1055</v>
      </c>
      <c r="L23" s="501" t="s">
        <v>1056</v>
      </c>
      <c r="M23" s="379"/>
      <c r="N23" s="540" t="s">
        <v>1056</v>
      </c>
      <c r="O23" s="540" t="s">
        <v>550</v>
      </c>
    </row>
    <row r="24" spans="1:15" ht="15.75" x14ac:dyDescent="0.3">
      <c r="A24" s="503"/>
      <c r="B24" s="495" t="s">
        <v>521</v>
      </c>
      <c r="C24" s="504">
        <v>0.13500000000000001</v>
      </c>
      <c r="D24" s="497"/>
      <c r="E24" s="505">
        <v>1</v>
      </c>
      <c r="F24" s="506" t="s">
        <v>53</v>
      </c>
      <c r="G24" s="506"/>
      <c r="H24" s="495"/>
      <c r="I24" s="507"/>
      <c r="J24" s="508"/>
      <c r="K24" s="508"/>
      <c r="L24" s="509"/>
      <c r="M24" s="379"/>
      <c r="N24" s="541"/>
      <c r="O24" s="541"/>
    </row>
    <row r="25" spans="1:15" ht="15.75" x14ac:dyDescent="0.3">
      <c r="A25" s="503"/>
      <c r="B25" s="495" t="s">
        <v>124</v>
      </c>
      <c r="C25" s="723">
        <v>2148.3894348386743</v>
      </c>
      <c r="D25" s="497" t="s">
        <v>527</v>
      </c>
      <c r="E25" s="510">
        <f>+C23/E163</f>
        <v>0.12800378600858547</v>
      </c>
      <c r="F25" s="506" t="s">
        <v>161</v>
      </c>
      <c r="G25" s="506"/>
      <c r="H25" s="495"/>
      <c r="I25" s="508"/>
      <c r="J25" s="508"/>
      <c r="K25" s="508"/>
      <c r="L25" s="509"/>
      <c r="M25" s="379"/>
      <c r="N25" s="541"/>
      <c r="O25" s="541"/>
    </row>
    <row r="26" spans="1:15" x14ac:dyDescent="0.2">
      <c r="A26" s="503"/>
      <c r="B26" s="495"/>
      <c r="C26" s="660"/>
      <c r="D26" s="497"/>
      <c r="E26" s="503"/>
      <c r="F26" s="495"/>
      <c r="G26" s="495"/>
      <c r="H26" s="495"/>
      <c r="I26" s="546"/>
      <c r="J26" s="546"/>
      <c r="K26" s="546"/>
      <c r="L26" s="661"/>
      <c r="M26" s="379"/>
      <c r="N26" s="541"/>
      <c r="O26" s="541"/>
    </row>
    <row r="27" spans="1:15" x14ac:dyDescent="0.2">
      <c r="A27" s="503"/>
      <c r="B27" s="511" t="s">
        <v>525</v>
      </c>
      <c r="C27" s="660"/>
      <c r="D27" s="497"/>
      <c r="E27" s="503"/>
      <c r="F27" s="495"/>
      <c r="G27" s="495"/>
      <c r="H27" s="495"/>
      <c r="I27" s="546"/>
      <c r="J27" s="546"/>
      <c r="K27" s="546"/>
      <c r="L27" s="661"/>
      <c r="M27" s="379"/>
      <c r="N27" s="541"/>
      <c r="O27" s="541"/>
    </row>
    <row r="28" spans="1:15" ht="14.25" x14ac:dyDescent="0.2">
      <c r="A28" s="503"/>
      <c r="B28" s="495" t="s">
        <v>509</v>
      </c>
      <c r="C28" s="723">
        <v>3716.5</v>
      </c>
      <c r="D28" s="497" t="s">
        <v>528</v>
      </c>
      <c r="E28" s="513"/>
      <c r="F28" s="495"/>
      <c r="G28" s="495"/>
      <c r="H28" s="495"/>
      <c r="I28" s="508">
        <f>$C28*VLOOKUP($B28,'Standard values'!$C$9:$S$162,7, FALSE)/$E$163</f>
        <v>8.0050631067823872</v>
      </c>
      <c r="J28" s="508">
        <f>$C28*VLOOKUP($B28,'Standard values'!$C$9:$S$162,8, FALSE)/$E$163</f>
        <v>0</v>
      </c>
      <c r="K28" s="508">
        <f>$C28*VLOOKUP($B28,'Standard values'!$C$9:$S$162,9, FALSE)/$E$163</f>
        <v>0</v>
      </c>
      <c r="L28" s="509">
        <f>I28*'Standard values'!$D$10+J28*'Standard values'!$D$11+K28*'Standard values'!$D$12</f>
        <v>8.0050631067823872</v>
      </c>
      <c r="M28" s="379"/>
      <c r="N28" s="562">
        <f>+L28/$E$25</f>
        <v>62.537705769464282</v>
      </c>
      <c r="O28" s="750">
        <f>L28*$E$163/1000</f>
        <v>325.70993055555556</v>
      </c>
    </row>
    <row r="29" spans="1:15" x14ac:dyDescent="0.2">
      <c r="A29" s="503"/>
      <c r="B29" s="495"/>
      <c r="C29" s="660"/>
      <c r="D29" s="497"/>
      <c r="E29" s="513"/>
      <c r="F29" s="495"/>
      <c r="G29" s="495"/>
      <c r="H29" s="495"/>
      <c r="I29" s="508"/>
      <c r="J29" s="508"/>
      <c r="K29" s="508"/>
      <c r="L29" s="509"/>
      <c r="M29" s="379"/>
      <c r="N29" s="562"/>
      <c r="O29" s="750"/>
    </row>
    <row r="30" spans="1:15" x14ac:dyDescent="0.2">
      <c r="A30" s="503"/>
      <c r="B30" s="511" t="s">
        <v>1045</v>
      </c>
      <c r="C30" s="660"/>
      <c r="D30" s="497"/>
      <c r="E30" s="513"/>
      <c r="F30" s="495"/>
      <c r="G30" s="495"/>
      <c r="H30" s="495"/>
      <c r="I30" s="508"/>
      <c r="J30" s="508"/>
      <c r="K30" s="508"/>
      <c r="L30" s="509"/>
      <c r="M30" s="379"/>
      <c r="N30" s="562"/>
      <c r="O30" s="750"/>
    </row>
    <row r="31" spans="1:15" ht="14.25" x14ac:dyDescent="0.2">
      <c r="A31" s="503"/>
      <c r="B31" s="495" t="s">
        <v>231</v>
      </c>
      <c r="C31" s="556">
        <v>109.30441083988111</v>
      </c>
      <c r="D31" s="497" t="s">
        <v>529</v>
      </c>
      <c r="E31" s="513"/>
      <c r="F31" s="495"/>
      <c r="G31" s="495"/>
      <c r="H31" s="495"/>
      <c r="I31" s="508">
        <f>$C31*VLOOKUP($B31,'Standard values'!$C$9:$S$162,3, FALSE)/$E$163</f>
        <v>7.5944794094809875</v>
      </c>
      <c r="J31" s="508">
        <f>$C31*VLOOKUP($B31,'Standard values'!$C$9:$S$162,4, FALSE)/$E$163</f>
        <v>2.3314769599091817E-2</v>
      </c>
      <c r="K31" s="508">
        <f>$C31*VLOOKUP($B31,'Standard values'!$C$9:$S$162,5, FALSE)/$E$163</f>
        <v>2.5901777379421516E-2</v>
      </c>
      <c r="L31" s="509">
        <f>I31*'Standard values'!$D$10+J31*'Standard values'!$D$11+K31*'Standard values'!$D$12</f>
        <v>15.896078308525894</v>
      </c>
      <c r="M31" s="379"/>
      <c r="N31" s="562">
        <f>+L31/$E$25</f>
        <v>124.18443863418003</v>
      </c>
      <c r="O31" s="750">
        <f>L31*$E$163/1000</f>
        <v>646.77948104980374</v>
      </c>
    </row>
    <row r="32" spans="1:15" ht="14.25" x14ac:dyDescent="0.2">
      <c r="A32" s="503"/>
      <c r="B32" s="495" t="s">
        <v>504</v>
      </c>
      <c r="C32" s="556">
        <v>0</v>
      </c>
      <c r="D32" s="497" t="s">
        <v>529</v>
      </c>
      <c r="E32" s="513"/>
      <c r="F32" s="495"/>
      <c r="G32" s="495"/>
      <c r="H32" s="495"/>
      <c r="I32" s="508">
        <f>$C32*VLOOKUP($B32,'Standard values'!$C$9:$S$162,3, FALSE)/$E$163</f>
        <v>0</v>
      </c>
      <c r="J32" s="508">
        <f>$C32*VLOOKUP($B32,'Standard values'!$C$9:$S$162,4, FALSE)/$E$163</f>
        <v>0</v>
      </c>
      <c r="K32" s="508">
        <f>$C32*VLOOKUP($B32,'Standard values'!$C$9:$S$162,5, FALSE)/$E$163</f>
        <v>0</v>
      </c>
      <c r="L32" s="509">
        <f>I32*'Standard values'!$D$10+J32*'Standard values'!$D$11+K32*'Standard values'!$D$12</f>
        <v>0</v>
      </c>
      <c r="M32" s="379"/>
      <c r="N32" s="562">
        <f>+L32/$E$25</f>
        <v>0</v>
      </c>
      <c r="O32" s="750">
        <f>L32*$E$163/1000</f>
        <v>0</v>
      </c>
    </row>
    <row r="33" spans="1:15" ht="15.75" x14ac:dyDescent="0.3">
      <c r="A33" s="503"/>
      <c r="B33" s="495" t="s">
        <v>233</v>
      </c>
      <c r="C33" s="556">
        <v>16.357714030632511</v>
      </c>
      <c r="D33" s="497" t="s">
        <v>530</v>
      </c>
      <c r="E33" s="513"/>
      <c r="F33" s="495"/>
      <c r="G33" s="495"/>
      <c r="H33" s="495"/>
      <c r="I33" s="508">
        <f>$C33*VLOOKUP($B33,'Standard values'!$C$9:$S$162,3, FALSE)/$E$163</f>
        <v>0.21561203330840112</v>
      </c>
      <c r="J33" s="508">
        <f>$C33*VLOOKUP($B33,'Standard values'!$C$9:$S$162,4, FALSE)/$E$163</f>
        <v>6.3154588714152068E-4</v>
      </c>
      <c r="K33" s="508">
        <f>$C33*VLOOKUP($B33,'Standard values'!$C$9:$S$162,5, FALSE)/$E$163</f>
        <v>4.9449451981925676E-6</v>
      </c>
      <c r="L33" s="509">
        <f>I33*'Standard values'!$D$10+J33*'Standard values'!$D$11+K33*'Standard values'!$D$12</f>
        <v>0.23287427415600051</v>
      </c>
      <c r="M33" s="379"/>
      <c r="N33" s="562">
        <f>+L33/$E$25</f>
        <v>1.8192764559353045</v>
      </c>
      <c r="O33" s="750">
        <f>L33*$E$163/1000</f>
        <v>9.4751862229870447</v>
      </c>
    </row>
    <row r="34" spans="1:15" ht="15.75" x14ac:dyDescent="0.3">
      <c r="A34" s="503"/>
      <c r="B34" s="495" t="s">
        <v>232</v>
      </c>
      <c r="C34" s="556">
        <v>21.636015155139138</v>
      </c>
      <c r="D34" s="497" t="s">
        <v>531</v>
      </c>
      <c r="E34" s="513"/>
      <c r="F34" s="495"/>
      <c r="G34" s="495"/>
      <c r="H34" s="495"/>
      <c r="I34" s="508">
        <f>$C34*VLOOKUP($B34,'Standard values'!$C$9:$S$162,3, FALSE)/$E$163</f>
        <v>0.51308257670131951</v>
      </c>
      <c r="J34" s="508">
        <f>$C34*VLOOKUP($B34,'Standard values'!$C$9:$S$162,4, FALSE)/$E$163</f>
        <v>7.0776501649619532E-4</v>
      </c>
      <c r="K34" s="508">
        <f>$C34*VLOOKUP($B34,'Standard values'!$C$9:$S$162,5, FALSE)/$E$163</f>
        <v>2.7385348121377956E-5</v>
      </c>
      <c r="L34" s="509">
        <f>I34*'Standard values'!$D$10+J34*'Standard values'!$D$11+K34*'Standard values'!$D$12</f>
        <v>0.53893753585389503</v>
      </c>
      <c r="M34" s="379"/>
      <c r="N34" s="562">
        <f>+L34/$E$25</f>
        <v>4.2103249650580441</v>
      </c>
      <c r="O34" s="750">
        <f>L34*$E$163/1000</f>
        <v>21.928285265862336</v>
      </c>
    </row>
    <row r="35" spans="1:15" ht="14.25" x14ac:dyDescent="0.2">
      <c r="A35" s="503"/>
      <c r="B35" s="495" t="s">
        <v>502</v>
      </c>
      <c r="C35" s="556">
        <v>2.335</v>
      </c>
      <c r="D35" s="497" t="s">
        <v>527</v>
      </c>
      <c r="E35" s="513"/>
      <c r="F35" s="665"/>
      <c r="G35" s="665"/>
      <c r="H35" s="665"/>
      <c r="I35" s="508">
        <f>$C35*VLOOKUP($B35,'Standard values'!$C$9:$S$162,3, FALSE)/$E$163</f>
        <v>0.5673659957944569</v>
      </c>
      <c r="J35" s="508">
        <f>$C35*VLOOKUP($B35,'Standard values'!$C$9:$S$162,4, FALSE)/$E$163</f>
        <v>1.4649477146967333E-3</v>
      </c>
      <c r="K35" s="508">
        <f>$C35*VLOOKUP($B35,'Standard values'!$C$9:$S$162,5, FALSE)/$E$163</f>
        <v>9.64920843923159E-5</v>
      </c>
      <c r="L35" s="509">
        <f>I35*'Standard values'!$D$10+J35*'Standard values'!$D$11+K35*'Standard values'!$D$12</f>
        <v>0.63274432981078532</v>
      </c>
      <c r="M35" s="379"/>
      <c r="N35" s="562">
        <f>+L35/$E$25</f>
        <v>4.943168866648568</v>
      </c>
      <c r="O35" s="750">
        <f>L35*$E$163/1000</f>
        <v>25.745095194499996</v>
      </c>
    </row>
    <row r="36" spans="1:15" x14ac:dyDescent="0.2">
      <c r="A36" s="503"/>
      <c r="B36" s="495"/>
      <c r="C36" s="666"/>
      <c r="D36" s="497"/>
      <c r="E36" s="513"/>
      <c r="F36" s="665"/>
      <c r="G36" s="665"/>
      <c r="H36" s="665"/>
      <c r="I36" s="508"/>
      <c r="J36" s="508"/>
      <c r="K36" s="508"/>
      <c r="L36" s="509"/>
      <c r="M36" s="379"/>
      <c r="N36" s="562"/>
      <c r="O36" s="750"/>
    </row>
    <row r="37" spans="1:15" x14ac:dyDescent="0.2">
      <c r="A37" s="503"/>
      <c r="B37" s="511" t="s">
        <v>511</v>
      </c>
      <c r="C37" s="666"/>
      <c r="D37" s="497"/>
      <c r="E37" s="513"/>
      <c r="F37" s="495"/>
      <c r="G37" s="495"/>
      <c r="H37" s="665"/>
      <c r="I37" s="508"/>
      <c r="J37" s="508"/>
      <c r="K37" s="508"/>
      <c r="L37" s="509"/>
      <c r="M37" s="379"/>
      <c r="N37" s="562"/>
      <c r="O37" s="750"/>
    </row>
    <row r="38" spans="1:15" ht="14.25" x14ac:dyDescent="0.2">
      <c r="A38" s="503"/>
      <c r="B38" s="499" t="s">
        <v>1080</v>
      </c>
      <c r="C38" s="726">
        <v>120</v>
      </c>
      <c r="D38" s="497" t="s">
        <v>527</v>
      </c>
      <c r="E38" s="513"/>
      <c r="F38" s="495"/>
      <c r="G38" s="495"/>
      <c r="H38" s="495"/>
      <c r="I38" s="508">
        <f>$C38*VLOOKUP($B38,'Standard values'!$C$9:$S$162,3, FALSE)/$E$163</f>
        <v>0.44550452941118518</v>
      </c>
      <c r="J38" s="508">
        <f>$C38*VLOOKUP($B38,'Standard values'!$C$9:$S$162,4, FALSE)/$E$163</f>
        <v>8.172436068274115E-4</v>
      </c>
      <c r="K38" s="508">
        <f>$C38*VLOOKUP($B38,'Standard values'!$C$9:$S$162,5, FALSE)/$E$163</f>
        <v>1.1805940664489816E-3</v>
      </c>
      <c r="L38" s="509">
        <f>I38*'Standard values'!$D$10+J38*'Standard values'!$D$11+K38*'Standard values'!$D$12</f>
        <v>0.81775265138366704</v>
      </c>
      <c r="M38" s="379"/>
      <c r="N38" s="562">
        <f>+L38/$E$25</f>
        <v>6.3885036285475083</v>
      </c>
      <c r="O38" s="750">
        <f>L38*$E$163/1000</f>
        <v>33.272711999999999</v>
      </c>
    </row>
    <row r="39" spans="1:15" x14ac:dyDescent="0.2">
      <c r="A39" s="503"/>
      <c r="B39" s="511"/>
      <c r="C39" s="668"/>
      <c r="D39" s="497"/>
      <c r="E39" s="513"/>
      <c r="F39" s="495"/>
      <c r="G39" s="495"/>
      <c r="H39" s="495"/>
      <c r="I39" s="508"/>
      <c r="J39" s="508"/>
      <c r="K39" s="508"/>
      <c r="L39" s="509"/>
      <c r="M39" s="379"/>
      <c r="N39" s="562"/>
      <c r="O39" s="750"/>
    </row>
    <row r="40" spans="1:15" ht="15" x14ac:dyDescent="0.25">
      <c r="A40" s="503"/>
      <c r="B40" s="511" t="s">
        <v>1046</v>
      </c>
      <c r="C40" s="728">
        <v>1.8083001106671583</v>
      </c>
      <c r="D40" s="497" t="s">
        <v>527</v>
      </c>
      <c r="E40" s="513"/>
      <c r="F40" s="495"/>
      <c r="G40" s="495"/>
      <c r="H40" s="495"/>
      <c r="I40" s="508">
        <v>0</v>
      </c>
      <c r="J40" s="508">
        <v>0</v>
      </c>
      <c r="K40" s="508">
        <f>1000*$C40/$E$163</f>
        <v>4.4443092285216999E-2</v>
      </c>
      <c r="L40" s="509">
        <f>I40*'Standard values'!$D$10+J40*'Standard values'!$D$11+K40*'Standard values'!$D$12</f>
        <v>13.244041500994665</v>
      </c>
      <c r="M40" s="379"/>
      <c r="N40" s="562">
        <f>+L40/$E$25</f>
        <v>103.46601388888888</v>
      </c>
      <c r="O40" s="750">
        <f>L40*$E$163/1000</f>
        <v>538.87343297881318</v>
      </c>
    </row>
    <row r="41" spans="1:15" ht="15.75" x14ac:dyDescent="0.3">
      <c r="A41" s="503"/>
      <c r="B41" s="511"/>
      <c r="C41" s="670" t="s">
        <v>664</v>
      </c>
      <c r="D41" s="495"/>
      <c r="E41" s="513"/>
      <c r="F41" s="514"/>
      <c r="G41" s="514"/>
      <c r="H41" s="514" t="s">
        <v>1047</v>
      </c>
      <c r="I41" s="515">
        <f>SUM(I24:I40)</f>
        <v>17.341107651478737</v>
      </c>
      <c r="J41" s="515">
        <f>SUM(J24:J40)</f>
        <v>2.6936271824253677E-2</v>
      </c>
      <c r="K41" s="515">
        <f>SUM(K24:K40)</f>
        <v>7.1654286108799384E-2</v>
      </c>
      <c r="L41" s="516">
        <f>I41*'Standard values'!$D$10+J41*'Standard values'!$D$11+K41*'Standard values'!$D$12</f>
        <v>39.367491707507298</v>
      </c>
      <c r="M41" s="379"/>
      <c r="N41" s="1201">
        <f>+L41/E$25</f>
        <v>307.54943220872264</v>
      </c>
      <c r="O41" s="1202">
        <f>L41*$E$163/1000</f>
        <v>1601.7841232675221</v>
      </c>
    </row>
    <row r="42" spans="1:15" x14ac:dyDescent="0.2">
      <c r="A42" s="503"/>
      <c r="B42" s="511"/>
      <c r="C42" s="671" t="s">
        <v>665</v>
      </c>
      <c r="D42" s="495"/>
      <c r="E42" s="513"/>
      <c r="F42" s="514"/>
      <c r="G42" s="514"/>
      <c r="H42" s="514"/>
      <c r="I42" s="416"/>
      <c r="J42" s="416"/>
      <c r="K42" s="416"/>
      <c r="L42" s="436"/>
      <c r="M42" s="379"/>
      <c r="N42" s="1203"/>
      <c r="O42" s="1204"/>
    </row>
    <row r="43" spans="1:15" ht="14.25" x14ac:dyDescent="0.25">
      <c r="A43" s="519"/>
      <c r="B43" s="520"/>
      <c r="C43" s="520"/>
      <c r="D43" s="520"/>
      <c r="E43" s="519"/>
      <c r="F43" s="521"/>
      <c r="G43" s="521"/>
      <c r="H43" s="521" t="s">
        <v>534</v>
      </c>
      <c r="I43" s="522"/>
      <c r="J43" s="523" t="s">
        <v>1048</v>
      </c>
      <c r="K43" s="524"/>
      <c r="L43" s="525">
        <f>N41*E$25</f>
        <v>39.367491707507298</v>
      </c>
      <c r="M43" s="379"/>
      <c r="N43" s="390"/>
      <c r="O43" s="390"/>
    </row>
    <row r="44" spans="1:15" x14ac:dyDescent="0.2">
      <c r="A44" s="379"/>
      <c r="B44" s="379"/>
      <c r="C44" s="379"/>
      <c r="D44" s="379"/>
      <c r="E44" s="379"/>
      <c r="F44" s="526"/>
      <c r="G44" s="526"/>
      <c r="H44" s="526"/>
      <c r="I44" s="527"/>
      <c r="J44" s="528"/>
      <c r="K44" s="484"/>
      <c r="L44" s="430"/>
      <c r="M44" s="379"/>
      <c r="N44" s="390"/>
      <c r="O44" s="390"/>
    </row>
    <row r="45" spans="1:15" x14ac:dyDescent="0.2">
      <c r="A45" s="390"/>
      <c r="B45" s="390"/>
      <c r="C45" s="390"/>
      <c r="D45" s="390"/>
      <c r="E45" s="390"/>
      <c r="F45" s="390"/>
      <c r="G45" s="390"/>
      <c r="H45" s="390"/>
      <c r="I45" s="529"/>
      <c r="J45" s="529"/>
      <c r="K45" s="529"/>
      <c r="L45" s="529"/>
      <c r="M45" s="379"/>
      <c r="N45" s="390"/>
      <c r="O45" s="390"/>
    </row>
    <row r="46" spans="1:15" ht="15.75" x14ac:dyDescent="0.25">
      <c r="A46" s="530" t="s">
        <v>338</v>
      </c>
      <c r="B46" s="532" t="s">
        <v>339</v>
      </c>
      <c r="C46" s="531"/>
      <c r="D46" s="531"/>
      <c r="E46" s="530" t="s">
        <v>513</v>
      </c>
      <c r="F46" s="532"/>
      <c r="G46" s="532"/>
      <c r="H46" s="531"/>
      <c r="I46" s="532" t="s">
        <v>532</v>
      </c>
      <c r="J46" s="533"/>
      <c r="K46" s="533"/>
      <c r="L46" s="534"/>
      <c r="M46" s="379"/>
      <c r="N46" s="535" t="s">
        <v>162</v>
      </c>
      <c r="O46" s="390"/>
    </row>
    <row r="47" spans="1:15" ht="15.75" x14ac:dyDescent="0.3">
      <c r="A47" s="587"/>
      <c r="B47" s="511" t="s">
        <v>1034</v>
      </c>
      <c r="C47" s="536">
        <v>1</v>
      </c>
      <c r="D47" s="495" t="s">
        <v>492</v>
      </c>
      <c r="E47" s="588">
        <f>E23*C47</f>
        <v>76586.828216491413</v>
      </c>
      <c r="F47" s="495" t="s">
        <v>493</v>
      </c>
      <c r="G47" s="495"/>
      <c r="H47" s="495"/>
      <c r="I47" s="492" t="s">
        <v>138</v>
      </c>
      <c r="J47" s="514"/>
      <c r="K47" s="514"/>
      <c r="L47" s="537"/>
      <c r="M47" s="379"/>
      <c r="N47" s="554" t="s">
        <v>163</v>
      </c>
      <c r="O47" s="390"/>
    </row>
    <row r="48" spans="1:15" ht="15.75" x14ac:dyDescent="0.3">
      <c r="A48" s="587"/>
      <c r="B48" s="495"/>
      <c r="C48" s="512"/>
      <c r="D48" s="495"/>
      <c r="E48" s="505">
        <f>E24*C47</f>
        <v>1</v>
      </c>
      <c r="F48" s="506" t="s">
        <v>53</v>
      </c>
      <c r="G48" s="506"/>
      <c r="H48" s="495"/>
      <c r="I48" s="539" t="s">
        <v>1053</v>
      </c>
      <c r="J48" s="539" t="s">
        <v>1054</v>
      </c>
      <c r="K48" s="539" t="s">
        <v>1055</v>
      </c>
      <c r="L48" s="540" t="s">
        <v>1056</v>
      </c>
      <c r="M48" s="379"/>
      <c r="N48" s="540" t="s">
        <v>1056</v>
      </c>
      <c r="O48" s="390"/>
    </row>
    <row r="49" spans="1:15" x14ac:dyDescent="0.2">
      <c r="A49" s="503"/>
      <c r="B49" s="511" t="s">
        <v>525</v>
      </c>
      <c r="C49" s="495"/>
      <c r="D49" s="495"/>
      <c r="E49" s="503"/>
      <c r="F49" s="495"/>
      <c r="G49" s="495"/>
      <c r="H49" s="495"/>
      <c r="I49" s="495"/>
      <c r="J49" s="495"/>
      <c r="K49" s="495"/>
      <c r="L49" s="541"/>
      <c r="M49" s="379"/>
      <c r="N49" s="541"/>
      <c r="O49" s="390"/>
    </row>
    <row r="50" spans="1:15" ht="15.75" x14ac:dyDescent="0.3">
      <c r="A50" s="503"/>
      <c r="B50" s="1301" t="s">
        <v>49</v>
      </c>
      <c r="C50" s="542">
        <v>4.0000000000000002E-4</v>
      </c>
      <c r="D50" s="495" t="s">
        <v>1035</v>
      </c>
      <c r="E50" s="503"/>
      <c r="F50" s="495"/>
      <c r="G50" s="495"/>
      <c r="H50" s="495"/>
      <c r="I50" s="544">
        <f>$C50*$E$48*VLOOKUP($B50,'Standard values'!$C$9:$S$162,7, FALSE)/$E$164</f>
        <v>9.0948385881260807E-2</v>
      </c>
      <c r="J50" s="544">
        <f>$C50*$E$48*VLOOKUP($B50,'Standard values'!$C$9:$S$162,8, FALSE)/$E$164</f>
        <v>2.2179717349869472E-4</v>
      </c>
      <c r="K50" s="544">
        <f>$C50*$E$48*VLOOKUP($B50,'Standard values'!$C$9:$S$162,9, FALSE)/$E$164</f>
        <v>4.1201360847942346E-6</v>
      </c>
      <c r="L50" s="516">
        <f>I50*'Standard values'!$D$10+J50*'Standard values'!$D$11+K50*'Standard values'!$D$12</f>
        <v>9.7721115771996853E-2</v>
      </c>
      <c r="M50" s="379"/>
      <c r="N50" s="1201">
        <f>+L50/E$25</f>
        <v>0.76342363627777776</v>
      </c>
      <c r="O50" s="390"/>
    </row>
    <row r="51" spans="1:15" x14ac:dyDescent="0.2">
      <c r="A51" s="590"/>
      <c r="B51" s="495"/>
      <c r="C51" s="492"/>
      <c r="D51" s="495"/>
      <c r="E51" s="503"/>
      <c r="F51" s="495"/>
      <c r="G51" s="495"/>
      <c r="H51" s="495"/>
      <c r="I51" s="495"/>
      <c r="J51" s="495"/>
      <c r="K51" s="495"/>
      <c r="L51" s="541"/>
      <c r="M51" s="379"/>
      <c r="N51" s="1203"/>
      <c r="O51" s="390"/>
    </row>
    <row r="52" spans="1:15" ht="14.25" x14ac:dyDescent="0.25">
      <c r="A52" s="519"/>
      <c r="B52" s="520"/>
      <c r="C52" s="520"/>
      <c r="D52" s="520"/>
      <c r="E52" s="519"/>
      <c r="F52" s="521"/>
      <c r="G52" s="521"/>
      <c r="H52" s="521" t="s">
        <v>534</v>
      </c>
      <c r="I52" s="520"/>
      <c r="J52" s="523" t="s">
        <v>1048</v>
      </c>
      <c r="K52" s="549"/>
      <c r="L52" s="525">
        <f>N50*E$25</f>
        <v>9.7721115771996853E-2</v>
      </c>
      <c r="M52" s="379"/>
      <c r="N52" s="390"/>
      <c r="O52" s="390"/>
    </row>
    <row r="53" spans="1:15" x14ac:dyDescent="0.2">
      <c r="A53" s="390"/>
      <c r="B53" s="390"/>
      <c r="C53" s="390"/>
      <c r="D53" s="390"/>
      <c r="E53" s="390"/>
      <c r="F53" s="376"/>
      <c r="G53" s="376"/>
      <c r="H53" s="376"/>
      <c r="I53" s="390"/>
      <c r="J53" s="550"/>
      <c r="K53" s="551"/>
      <c r="L53" s="552"/>
      <c r="M53" s="379"/>
      <c r="N53" s="390"/>
      <c r="O53" s="390"/>
    </row>
    <row r="54" spans="1:15" x14ac:dyDescent="0.2">
      <c r="A54" s="390"/>
      <c r="B54" s="390"/>
      <c r="C54" s="390"/>
      <c r="D54" s="390"/>
      <c r="E54" s="390"/>
      <c r="F54" s="390"/>
      <c r="G54" s="390"/>
      <c r="H54" s="390"/>
      <c r="I54" s="529"/>
      <c r="J54" s="529"/>
      <c r="K54" s="529"/>
      <c r="L54" s="529"/>
      <c r="M54" s="379"/>
      <c r="N54" s="390"/>
      <c r="O54" s="390"/>
    </row>
    <row r="55" spans="1:15" ht="15.75" x14ac:dyDescent="0.25">
      <c r="A55" s="530" t="s">
        <v>491</v>
      </c>
      <c r="B55" s="531"/>
      <c r="C55" s="531"/>
      <c r="D55" s="531"/>
      <c r="E55" s="530" t="s">
        <v>513</v>
      </c>
      <c r="F55" s="532"/>
      <c r="G55" s="532"/>
      <c r="H55" s="531"/>
      <c r="I55" s="532" t="s">
        <v>532</v>
      </c>
      <c r="J55" s="533"/>
      <c r="K55" s="533"/>
      <c r="L55" s="534"/>
      <c r="M55" s="379"/>
      <c r="N55" s="535" t="s">
        <v>162</v>
      </c>
      <c r="O55" s="390"/>
    </row>
    <row r="56" spans="1:15" ht="15.75" x14ac:dyDescent="0.3">
      <c r="A56" s="503"/>
      <c r="B56" s="511" t="s">
        <v>1034</v>
      </c>
      <c r="C56" s="536">
        <v>0.99009900990099009</v>
      </c>
      <c r="D56" s="495" t="s">
        <v>492</v>
      </c>
      <c r="E56" s="553">
        <f>E47*C56</f>
        <v>75828.542788605351</v>
      </c>
      <c r="F56" s="495" t="s">
        <v>493</v>
      </c>
      <c r="G56" s="495"/>
      <c r="H56" s="495"/>
      <c r="I56" s="492" t="s">
        <v>138</v>
      </c>
      <c r="J56" s="514"/>
      <c r="K56" s="514"/>
      <c r="L56" s="537"/>
      <c r="M56" s="379"/>
      <c r="N56" s="554" t="s">
        <v>163</v>
      </c>
      <c r="O56" s="390"/>
    </row>
    <row r="57" spans="1:15" ht="15.75" x14ac:dyDescent="0.3">
      <c r="A57" s="503"/>
      <c r="B57" s="495"/>
      <c r="C57" s="495"/>
      <c r="D57" s="495"/>
      <c r="E57" s="505">
        <f>E48*C56</f>
        <v>0.99009900990099009</v>
      </c>
      <c r="F57" s="506" t="s">
        <v>53</v>
      </c>
      <c r="G57" s="506"/>
      <c r="H57" s="495"/>
      <c r="I57" s="539" t="s">
        <v>1053</v>
      </c>
      <c r="J57" s="539" t="s">
        <v>1054</v>
      </c>
      <c r="K57" s="539" t="s">
        <v>1055</v>
      </c>
      <c r="L57" s="540" t="s">
        <v>1056</v>
      </c>
      <c r="M57" s="379"/>
      <c r="N57" s="540" t="s">
        <v>1056</v>
      </c>
      <c r="O57" s="390"/>
    </row>
    <row r="58" spans="1:15" x14ac:dyDescent="0.2">
      <c r="A58" s="503"/>
      <c r="B58" s="511" t="s">
        <v>498</v>
      </c>
      <c r="C58" s="495"/>
      <c r="D58" s="495"/>
      <c r="E58" s="505"/>
      <c r="F58" s="506"/>
      <c r="G58" s="506"/>
      <c r="H58" s="495"/>
      <c r="I58" s="539"/>
      <c r="J58" s="539"/>
      <c r="K58" s="539"/>
      <c r="L58" s="540"/>
      <c r="M58" s="379"/>
      <c r="N58" s="541"/>
      <c r="O58" s="390"/>
    </row>
    <row r="59" spans="1:15" ht="15.75" x14ac:dyDescent="0.3">
      <c r="A59" s="503"/>
      <c r="B59" s="495" t="s">
        <v>1111</v>
      </c>
      <c r="C59" s="542">
        <v>50</v>
      </c>
      <c r="D59" s="495" t="s">
        <v>510</v>
      </c>
      <c r="E59" s="543">
        <f>(C59*E57)/(VLOOKUP($B56,'Standard values'!$C$9:$S$162,14, FALSE))/(1-$C$24)/1000</f>
        <v>3.3665386259809252E-3</v>
      </c>
      <c r="F59" s="495" t="s">
        <v>242</v>
      </c>
      <c r="G59" s="495"/>
      <c r="H59" s="495"/>
      <c r="I59" s="544">
        <f>$E59*VLOOKUP($B59,'Standard values'!$C$9:$S$162,15, FALSE)*VLOOKUP(C60,'Standard values'!$C$9:$S$162,7, FALSE)/$E$164</f>
        <v>0.51980943397446866</v>
      </c>
      <c r="J59" s="544">
        <f>$E59*((VLOOKUP($B59,'Standard values'!$C$9:$S$162,15, FALSE)*VLOOKUP(C60,'Standard values'!$C$9:$S$162,8, FALSE))+VLOOKUP($B59,'Standard values'!$C$9:$S$162,16, FALSE))/$E$164</f>
        <v>3.168410544766967E-5</v>
      </c>
      <c r="K59" s="544">
        <f>$E59*((VLOOKUP($B59,'Standard values'!$C$9:$S$162,15, FALSE)*VLOOKUP(C60,'Standard values'!$C$9:$S$162,9, FALSE))+VLOOKUP($B59,'Standard values'!$C$9:$S$162,17, FALSE))/$E$164</f>
        <v>0</v>
      </c>
      <c r="L59" s="516">
        <f>I59*'Standard values'!$D$10+J59*'Standard values'!$D$11+K59*'Standard values'!$D$12</f>
        <v>0.52060153661066044</v>
      </c>
      <c r="M59" s="379"/>
      <c r="N59" s="1201">
        <f>+L59/E$25</f>
        <v>4.0670792079207922</v>
      </c>
      <c r="O59" s="390"/>
    </row>
    <row r="60" spans="1:15" x14ac:dyDescent="0.2">
      <c r="A60" s="503"/>
      <c r="B60" s="546" t="s">
        <v>54</v>
      </c>
      <c r="C60" s="547" t="s">
        <v>509</v>
      </c>
      <c r="D60" s="495"/>
      <c r="E60" s="543"/>
      <c r="F60" s="495"/>
      <c r="G60" s="495"/>
      <c r="H60" s="495"/>
      <c r="I60" s="544"/>
      <c r="J60" s="544"/>
      <c r="K60" s="544"/>
      <c r="L60" s="516"/>
      <c r="M60" s="379"/>
      <c r="N60" s="1203"/>
      <c r="O60" s="390"/>
    </row>
    <row r="61" spans="1:15" x14ac:dyDescent="0.2">
      <c r="A61" s="503"/>
      <c r="B61" s="495"/>
      <c r="C61" s="495"/>
      <c r="D61" s="495"/>
      <c r="E61" s="503"/>
      <c r="F61" s="495"/>
      <c r="G61" s="495"/>
      <c r="H61" s="548"/>
      <c r="I61" s="544"/>
      <c r="J61" s="544"/>
      <c r="K61" s="544"/>
      <c r="L61" s="516"/>
      <c r="M61" s="379"/>
      <c r="N61" s="390"/>
      <c r="O61" s="390"/>
    </row>
    <row r="62" spans="1:15" ht="14.25" x14ac:dyDescent="0.25">
      <c r="A62" s="519"/>
      <c r="B62" s="520"/>
      <c r="C62" s="520"/>
      <c r="D62" s="520"/>
      <c r="E62" s="519"/>
      <c r="F62" s="521"/>
      <c r="G62" s="521"/>
      <c r="H62" s="521" t="s">
        <v>534</v>
      </c>
      <c r="I62" s="520"/>
      <c r="J62" s="523" t="s">
        <v>1048</v>
      </c>
      <c r="K62" s="549"/>
      <c r="L62" s="525">
        <f>N59*E$25</f>
        <v>0.52060153661066044</v>
      </c>
      <c r="M62" s="379"/>
      <c r="N62" s="390"/>
      <c r="O62" s="390"/>
    </row>
    <row r="63" spans="1:15" x14ac:dyDescent="0.2">
      <c r="A63" s="390"/>
      <c r="B63" s="390"/>
      <c r="C63" s="390"/>
      <c r="D63" s="390"/>
      <c r="E63" s="390"/>
      <c r="F63" s="376"/>
      <c r="G63" s="376"/>
      <c r="H63" s="376"/>
      <c r="I63" s="390"/>
      <c r="J63" s="550"/>
      <c r="K63" s="551"/>
      <c r="L63" s="552"/>
      <c r="M63" s="379"/>
      <c r="N63" s="379"/>
      <c r="O63" s="379"/>
    </row>
    <row r="64" spans="1:15" x14ac:dyDescent="0.2">
      <c r="A64" s="390"/>
      <c r="B64" s="390"/>
      <c r="C64" s="390"/>
      <c r="D64" s="390"/>
      <c r="E64" s="390"/>
      <c r="F64" s="390"/>
      <c r="G64" s="390"/>
      <c r="H64" s="390"/>
      <c r="I64" s="390"/>
      <c r="J64" s="390"/>
      <c r="K64" s="390"/>
      <c r="L64" s="375"/>
      <c r="M64" s="379"/>
      <c r="N64" s="379"/>
      <c r="O64" s="379"/>
    </row>
    <row r="65" spans="1:15" ht="15.75" x14ac:dyDescent="0.25">
      <c r="A65" s="530" t="s">
        <v>536</v>
      </c>
      <c r="B65" s="531"/>
      <c r="C65" s="531"/>
      <c r="D65" s="531"/>
      <c r="E65" s="530" t="s">
        <v>513</v>
      </c>
      <c r="F65" s="532"/>
      <c r="G65" s="532"/>
      <c r="H65" s="531"/>
      <c r="I65" s="532" t="s">
        <v>532</v>
      </c>
      <c r="J65" s="533"/>
      <c r="K65" s="533"/>
      <c r="L65" s="534"/>
      <c r="M65" s="379"/>
      <c r="N65" s="535" t="s">
        <v>162</v>
      </c>
      <c r="O65" s="379"/>
    </row>
    <row r="66" spans="1:15" x14ac:dyDescent="0.2">
      <c r="A66" s="503"/>
      <c r="B66" s="511" t="s">
        <v>524</v>
      </c>
      <c r="C66" s="495"/>
      <c r="D66" s="495"/>
      <c r="E66" s="553"/>
      <c r="F66" s="495"/>
      <c r="G66" s="495"/>
      <c r="H66" s="495"/>
      <c r="I66" s="492" t="s">
        <v>138</v>
      </c>
      <c r="J66" s="514"/>
      <c r="K66" s="514"/>
      <c r="L66" s="537"/>
      <c r="M66" s="379"/>
      <c r="N66" s="554" t="s">
        <v>1010</v>
      </c>
      <c r="O66" s="379"/>
    </row>
    <row r="67" spans="1:15" ht="15.75" x14ac:dyDescent="0.3">
      <c r="A67" s="503"/>
      <c r="B67" s="495" t="s">
        <v>499</v>
      </c>
      <c r="C67" s="536">
        <v>0.53657882465020257</v>
      </c>
      <c r="D67" s="495" t="s">
        <v>494</v>
      </c>
      <c r="E67" s="553">
        <f>E56*C67</f>
        <v>40687.990364447454</v>
      </c>
      <c r="F67" s="495" t="s">
        <v>1030</v>
      </c>
      <c r="G67" s="495"/>
      <c r="H67" s="495"/>
      <c r="I67" s="539" t="s">
        <v>1053</v>
      </c>
      <c r="J67" s="539" t="s">
        <v>1054</v>
      </c>
      <c r="K67" s="539" t="s">
        <v>1055</v>
      </c>
      <c r="L67" s="540" t="s">
        <v>1056</v>
      </c>
      <c r="M67" s="379"/>
      <c r="N67" s="540" t="s">
        <v>1056</v>
      </c>
      <c r="O67" s="379"/>
    </row>
    <row r="68" spans="1:15" ht="15.75" x14ac:dyDescent="0.3">
      <c r="A68" s="563"/>
      <c r="B68" s="506" t="s">
        <v>125</v>
      </c>
      <c r="C68" s="728">
        <v>1.1399999999999999</v>
      </c>
      <c r="D68" s="506" t="s">
        <v>489</v>
      </c>
      <c r="E68" s="505">
        <f>E57*C67</f>
        <v>0.53126616302000251</v>
      </c>
      <c r="F68" s="506" t="s">
        <v>53</v>
      </c>
      <c r="G68" s="506"/>
      <c r="H68" s="495"/>
      <c r="I68" s="495"/>
      <c r="J68" s="495"/>
      <c r="K68" s="495"/>
      <c r="L68" s="541"/>
      <c r="M68" s="379"/>
      <c r="N68" s="541"/>
      <c r="O68" s="379"/>
    </row>
    <row r="69" spans="1:15" ht="15.75" x14ac:dyDescent="0.3">
      <c r="A69" s="563"/>
      <c r="B69" s="506"/>
      <c r="C69" s="564"/>
      <c r="D69" s="506"/>
      <c r="E69" s="762">
        <f>E67/E163/VLOOKUP($B67,'Standard values'!$C$9:$S$162,14, FALSE)</f>
        <v>3.7299515106303617E-2</v>
      </c>
      <c r="F69" s="495" t="s">
        <v>1009</v>
      </c>
      <c r="G69" s="495"/>
      <c r="H69" s="495"/>
      <c r="I69" s="495"/>
      <c r="J69" s="495"/>
      <c r="K69" s="495"/>
      <c r="L69" s="541"/>
      <c r="M69" s="379"/>
      <c r="N69" s="562"/>
      <c r="O69" s="379"/>
    </row>
    <row r="70" spans="1:15" x14ac:dyDescent="0.2">
      <c r="A70" s="503"/>
      <c r="B70" s="511" t="s">
        <v>525</v>
      </c>
      <c r="C70" s="495"/>
      <c r="D70" s="495"/>
      <c r="E70" s="513"/>
      <c r="F70" s="495"/>
      <c r="G70" s="495"/>
      <c r="H70" s="495"/>
      <c r="I70" s="495"/>
      <c r="J70" s="495"/>
      <c r="K70" s="495"/>
      <c r="L70" s="541"/>
      <c r="M70" s="379"/>
      <c r="N70" s="562"/>
      <c r="O70" s="379"/>
    </row>
    <row r="71" spans="1:15" ht="15.75" x14ac:dyDescent="0.3">
      <c r="A71" s="503"/>
      <c r="B71" s="1301" t="s">
        <v>50</v>
      </c>
      <c r="C71" s="536">
        <f>1.4*0.0540842969041402</f>
        <v>7.5718015665796265E-2</v>
      </c>
      <c r="D71" s="495" t="s">
        <v>495</v>
      </c>
      <c r="E71" s="503"/>
      <c r="F71" s="495"/>
      <c r="G71" s="495"/>
      <c r="H71" s="495"/>
      <c r="I71" s="544">
        <f>$C71*$E$68*VLOOKUP($B71,'Standard values'!$C$9:$S$162,7, FALSE)/$E$164</f>
        <v>9.0378664055700515</v>
      </c>
      <c r="J71" s="544">
        <f>$C71*$E$68*VLOOKUP($B71,'Standard values'!$C$9:$S$162,8, FALSE)/$E$164</f>
        <v>2.2040252393385532E-2</v>
      </c>
      <c r="K71" s="544">
        <f>$C71*$E$68*VLOOKUP($B71,'Standard values'!$C$9:$S$162,9, FALSE)/$E$164</f>
        <v>4.0803597331012434E-4</v>
      </c>
      <c r="L71" s="419">
        <f>I71*'Standard values'!$D$10+J71*'Standard values'!$D$11+K71*'Standard values'!$D$12</f>
        <v>9.7104674354511076</v>
      </c>
      <c r="M71" s="379"/>
      <c r="N71" s="562">
        <f>+L71/$E$69</f>
        <v>260.33763194444418</v>
      </c>
      <c r="O71" s="379"/>
    </row>
    <row r="72" spans="1:15" ht="15.75" x14ac:dyDescent="0.3">
      <c r="A72" s="503"/>
      <c r="B72" s="495" t="s">
        <v>827</v>
      </c>
      <c r="C72" s="536">
        <f>1.4*0.36367027228646</f>
        <v>0.50913838120104393</v>
      </c>
      <c r="D72" s="495" t="s">
        <v>495</v>
      </c>
      <c r="E72" s="503"/>
      <c r="F72" s="495"/>
      <c r="G72" s="495"/>
      <c r="H72" s="495"/>
      <c r="I72" s="544"/>
      <c r="J72" s="774"/>
      <c r="K72" s="774"/>
      <c r="L72" s="419"/>
      <c r="M72" s="379"/>
      <c r="N72" s="562"/>
      <c r="O72" s="379"/>
    </row>
    <row r="73" spans="1:15" x14ac:dyDescent="0.2">
      <c r="A73" s="503"/>
      <c r="B73" s="571" t="s">
        <v>729</v>
      </c>
      <c r="C73" s="566"/>
      <c r="D73" s="566"/>
      <c r="E73" s="567"/>
      <c r="F73" s="568"/>
      <c r="G73" s="568"/>
      <c r="H73" s="568"/>
      <c r="I73" s="569" t="s">
        <v>830</v>
      </c>
      <c r="J73" s="568"/>
      <c r="K73" s="568"/>
      <c r="L73" s="570"/>
      <c r="M73" s="379"/>
      <c r="N73" s="562"/>
      <c r="O73" s="379"/>
    </row>
    <row r="74" spans="1:15" ht="15.75" x14ac:dyDescent="0.3">
      <c r="A74" s="503"/>
      <c r="B74" s="679" t="s">
        <v>826</v>
      </c>
      <c r="C74" s="573"/>
      <c r="D74" s="566"/>
      <c r="E74" s="567"/>
      <c r="F74" s="568"/>
      <c r="G74" s="568"/>
      <c r="H74" s="568"/>
      <c r="I74" s="574">
        <f>$C72*$E$68*VLOOKUP($B74,'Standard values'!$C$9:$S$159,7, FALSE)/$E$164</f>
        <v>0</v>
      </c>
      <c r="J74" s="574">
        <f>$C72*$E$68*VLOOKUP($B74,'Standard values'!$C$9:$S$159,8, FALSE)/$E$164</f>
        <v>1.4142732811140112E-3</v>
      </c>
      <c r="K74" s="574">
        <f>$C72*$E$68*VLOOKUP($B74,'Standard values'!$C$9:$S$159,9, FALSE)/$E$164</f>
        <v>5.657093124456044E-4</v>
      </c>
      <c r="L74" s="575">
        <f>I74*'Standard values'!$D$10+J74*'Standard values'!$D$11+K74*'Standard values'!$D$12</f>
        <v>0.2039382071366404</v>
      </c>
      <c r="M74" s="379"/>
      <c r="N74" s="562">
        <f>+L74/$E$69</f>
        <v>5.4675833333333292</v>
      </c>
      <c r="O74" s="379"/>
    </row>
    <row r="75" spans="1:15" ht="14.25" x14ac:dyDescent="0.25">
      <c r="A75" s="503"/>
      <c r="B75" s="582" t="s">
        <v>828</v>
      </c>
      <c r="C75" s="536">
        <f>1/0.9</f>
        <v>1.1111111111111112</v>
      </c>
      <c r="D75" s="568" t="s">
        <v>419</v>
      </c>
      <c r="E75" s="567"/>
      <c r="F75" s="568"/>
      <c r="G75" s="568"/>
      <c r="H75" s="568"/>
      <c r="I75" s="574"/>
      <c r="J75" s="581"/>
      <c r="K75" s="581"/>
      <c r="L75" s="575"/>
      <c r="M75" s="379"/>
      <c r="N75" s="562"/>
      <c r="O75" s="379"/>
    </row>
    <row r="76" spans="1:15" ht="29.25" customHeight="1" x14ac:dyDescent="0.3">
      <c r="A76" s="503"/>
      <c r="B76" s="680" t="s">
        <v>158</v>
      </c>
      <c r="C76" s="573">
        <f>C75*C72</f>
        <v>0.56570931244560441</v>
      </c>
      <c r="D76" s="568" t="s">
        <v>495</v>
      </c>
      <c r="E76" s="567"/>
      <c r="F76" s="568"/>
      <c r="G76" s="568"/>
      <c r="H76" s="568"/>
      <c r="I76" s="574">
        <f>$C76*$E$68*VLOOKUP($B76,'Standard values'!$C$9:$S$162,7, FALSE)/$E$164</f>
        <v>35.619321148825037</v>
      </c>
      <c r="J76" s="574">
        <f>$C76*$E$68*VLOOKUP($B76,'Standard values'!$C$9:$S$162,8, FALSE)/$E$164</f>
        <v>0.11208901460206934</v>
      </c>
      <c r="K76" s="574">
        <f>$C76*$E$68*VLOOKUP($B76,'Standard values'!$C$9:$S$162,9, FALSE)/$E$164</f>
        <v>1.2571318054346766E-4</v>
      </c>
      <c r="L76" s="575">
        <f>I76*'Standard values'!$D$10+J76*'Standard values'!$D$11+K76*'Standard values'!$D$12</f>
        <v>38.459009041678726</v>
      </c>
      <c r="M76" s="379"/>
      <c r="N76" s="562">
        <f>+L76/$E$69</f>
        <v>1031.0860324074067</v>
      </c>
      <c r="O76" s="379"/>
    </row>
    <row r="77" spans="1:15" ht="14.25" x14ac:dyDescent="0.25">
      <c r="A77" s="503"/>
      <c r="B77" s="582" t="s">
        <v>829</v>
      </c>
      <c r="C77" s="536">
        <v>0.02</v>
      </c>
      <c r="D77" s="568" t="s">
        <v>419</v>
      </c>
      <c r="E77" s="567"/>
      <c r="F77" s="568"/>
      <c r="G77" s="568"/>
      <c r="H77" s="568"/>
      <c r="I77" s="574"/>
      <c r="J77" s="581"/>
      <c r="K77" s="581"/>
      <c r="L77" s="575"/>
      <c r="M77" s="379"/>
      <c r="N77" s="562"/>
      <c r="O77" s="379"/>
    </row>
    <row r="78" spans="1:15" ht="15.75" x14ac:dyDescent="0.3">
      <c r="A78" s="503"/>
      <c r="B78" s="1301" t="s">
        <v>50</v>
      </c>
      <c r="C78" s="573">
        <f>C77*C72</f>
        <v>1.0182767624020879E-2</v>
      </c>
      <c r="D78" s="568" t="s">
        <v>495</v>
      </c>
      <c r="E78" s="567"/>
      <c r="F78" s="568"/>
      <c r="G78" s="568"/>
      <c r="H78" s="568"/>
      <c r="I78" s="574">
        <f>$C78*$E$68*VLOOKUP($B78,'Standard values'!$C$9:$S$162,7, FALSE)/$E$164</f>
        <v>1.2154372062663175</v>
      </c>
      <c r="J78" s="574">
        <f>$C78*$E$68*VLOOKUP($B78,'Standard values'!$C$9:$S$162,8, FALSE)/$E$164</f>
        <v>2.9640339425587442E-3</v>
      </c>
      <c r="K78" s="574">
        <f>$C78*$E$68*VLOOKUP($B78,'Standard values'!$C$9:$S$162,9, FALSE)/$E$164</f>
        <v>5.4873803307223625E-5</v>
      </c>
      <c r="L78" s="575">
        <f>I78*'Standard values'!$D$10+J78*'Standard values'!$D$11+K78*'Standard values'!$D$12</f>
        <v>1.3058904482158389</v>
      </c>
      <c r="M78" s="379"/>
      <c r="N78" s="562">
        <f>+L78/$E$69</f>
        <v>35.010922916666644</v>
      </c>
      <c r="O78" s="379"/>
    </row>
    <row r="79" spans="1:15" x14ac:dyDescent="0.2">
      <c r="A79" s="503"/>
      <c r="B79" s="775"/>
      <c r="C79" s="776"/>
      <c r="D79" s="495"/>
      <c r="E79" s="503"/>
      <c r="F79" s="495"/>
      <c r="G79" s="495"/>
      <c r="H79" s="514" t="s">
        <v>1047</v>
      </c>
      <c r="I79" s="583">
        <f>SUM(I70:I78)</f>
        <v>45.872624760661402</v>
      </c>
      <c r="J79" s="583">
        <f>SUM(J70:J78)</f>
        <v>0.13850757421912763</v>
      </c>
      <c r="K79" s="583">
        <f>SUM(K70:K78)</f>
        <v>1.1543322696064202E-3</v>
      </c>
      <c r="L79" s="516">
        <f>I79*'Standard values'!$D$10+J79*'Standard values'!$D$11+K79*'Standard values'!$D$12</f>
        <v>49.679305132482305</v>
      </c>
      <c r="M79" s="379"/>
      <c r="N79" s="545">
        <f>+L79/$E$69</f>
        <v>1331.9021706018507</v>
      </c>
      <c r="O79" s="379"/>
    </row>
    <row r="80" spans="1:15" x14ac:dyDescent="0.2">
      <c r="A80" s="503"/>
      <c r="B80" s="495"/>
      <c r="C80" s="499"/>
      <c r="D80" s="499"/>
      <c r="E80" s="681"/>
      <c r="F80" s="495"/>
      <c r="G80" s="495"/>
      <c r="H80" s="495"/>
      <c r="I80" s="583"/>
      <c r="J80" s="583"/>
      <c r="K80" s="583"/>
      <c r="L80" s="516"/>
      <c r="M80" s="379"/>
      <c r="N80" s="390"/>
      <c r="O80" s="379"/>
    </row>
    <row r="81" spans="1:15" x14ac:dyDescent="0.2">
      <c r="A81" s="503"/>
      <c r="B81" s="682"/>
      <c r="C81" s="499"/>
      <c r="D81" s="499"/>
      <c r="E81" s="503"/>
      <c r="F81" s="495"/>
      <c r="G81" s="495"/>
      <c r="H81" s="495"/>
      <c r="I81" s="495"/>
      <c r="J81" s="495"/>
      <c r="K81" s="495"/>
      <c r="L81" s="541"/>
      <c r="M81" s="379"/>
      <c r="N81" s="390"/>
      <c r="O81" s="379"/>
    </row>
    <row r="82" spans="1:15" ht="14.25" x14ac:dyDescent="0.25">
      <c r="A82" s="519"/>
      <c r="B82" s="520"/>
      <c r="C82" s="520"/>
      <c r="D82" s="520"/>
      <c r="E82" s="519"/>
      <c r="F82" s="521"/>
      <c r="G82" s="521"/>
      <c r="H82" s="521" t="s">
        <v>534</v>
      </c>
      <c r="I82" s="520"/>
      <c r="J82" s="523" t="s">
        <v>1048</v>
      </c>
      <c r="K82" s="549"/>
      <c r="L82" s="525">
        <f>L79</f>
        <v>49.679305132482305</v>
      </c>
      <c r="M82" s="379"/>
      <c r="N82" s="390"/>
      <c r="O82" s="379"/>
    </row>
    <row r="83" spans="1:15" x14ac:dyDescent="0.2">
      <c r="A83" s="390"/>
      <c r="B83" s="390"/>
      <c r="C83" s="390"/>
      <c r="D83" s="390"/>
      <c r="E83" s="390"/>
      <c r="F83" s="376"/>
      <c r="G83" s="376"/>
      <c r="H83" s="376"/>
      <c r="I83" s="390"/>
      <c r="J83" s="550"/>
      <c r="K83" s="551"/>
      <c r="L83" s="585"/>
      <c r="M83" s="379"/>
      <c r="N83" s="390"/>
      <c r="O83" s="390"/>
    </row>
    <row r="84" spans="1:15" x14ac:dyDescent="0.2">
      <c r="A84" s="390"/>
      <c r="B84" s="390"/>
      <c r="C84" s="390"/>
      <c r="D84" s="390"/>
      <c r="E84" s="390"/>
      <c r="F84" s="376"/>
      <c r="G84" s="376"/>
      <c r="H84" s="376"/>
      <c r="I84" s="390"/>
      <c r="J84" s="550"/>
      <c r="K84" s="551"/>
      <c r="L84" s="585"/>
      <c r="M84" s="379"/>
      <c r="N84" s="390"/>
      <c r="O84" s="390"/>
    </row>
    <row r="85" spans="1:15" ht="15.75" x14ac:dyDescent="0.25">
      <c r="A85" s="530" t="s">
        <v>1057</v>
      </c>
      <c r="B85" s="531"/>
      <c r="C85" s="531"/>
      <c r="D85" s="531"/>
      <c r="E85" s="608" t="s">
        <v>526</v>
      </c>
      <c r="F85" s="606"/>
      <c r="G85" s="606"/>
      <c r="H85" s="606"/>
      <c r="I85" s="607"/>
      <c r="J85" s="608" t="s">
        <v>1048</v>
      </c>
      <c r="K85" s="607"/>
      <c r="L85" s="609">
        <f>L43+L52+L62+L82</f>
        <v>89.66511949237227</v>
      </c>
      <c r="M85" s="379"/>
      <c r="N85" s="535" t="s">
        <v>162</v>
      </c>
      <c r="O85" s="390"/>
    </row>
    <row r="86" spans="1:15" ht="15.75" x14ac:dyDescent="0.25">
      <c r="A86" s="610" t="s">
        <v>937</v>
      </c>
      <c r="B86" s="611"/>
      <c r="C86" s="611"/>
      <c r="D86" s="611"/>
      <c r="E86" s="613"/>
      <c r="F86" s="613"/>
      <c r="G86" s="613"/>
      <c r="H86" s="613"/>
      <c r="I86" s="613"/>
      <c r="J86" s="613"/>
      <c r="K86" s="613"/>
      <c r="L86" s="614"/>
      <c r="M86" s="379"/>
      <c r="N86" s="554" t="s">
        <v>1010</v>
      </c>
      <c r="O86" s="390"/>
    </row>
    <row r="87" spans="1:15" ht="15.75" x14ac:dyDescent="0.3">
      <c r="A87" s="567"/>
      <c r="B87" s="568"/>
      <c r="C87" s="568"/>
      <c r="D87" s="683"/>
      <c r="E87" s="683"/>
      <c r="F87" s="683"/>
      <c r="G87" s="683"/>
      <c r="H87" s="683" t="s">
        <v>667</v>
      </c>
      <c r="I87" s="684">
        <f>L85</f>
        <v>89.66511949237227</v>
      </c>
      <c r="J87" s="568" t="s">
        <v>137</v>
      </c>
      <c r="K87" s="568"/>
      <c r="L87" s="685"/>
      <c r="M87" s="379"/>
      <c r="N87" s="540" t="s">
        <v>1056</v>
      </c>
      <c r="O87" s="390"/>
    </row>
    <row r="88" spans="1:15" ht="15.75" x14ac:dyDescent="0.3">
      <c r="A88" s="567"/>
      <c r="B88" s="568" t="s">
        <v>51</v>
      </c>
      <c r="C88" s="568" t="s">
        <v>499</v>
      </c>
      <c r="D88" s="568"/>
      <c r="E88" s="683" t="s">
        <v>118</v>
      </c>
      <c r="F88" s="747">
        <f>1*1000*VLOOKUP($C88,'Standard values'!$C$9:$S$162,14, FALSE)</f>
        <v>26810</v>
      </c>
      <c r="G88" s="747"/>
      <c r="H88" s="568" t="s">
        <v>501</v>
      </c>
      <c r="I88" s="574">
        <f>$I$87*F88/F$90</f>
        <v>53.361195418213107</v>
      </c>
      <c r="J88" s="568" t="s">
        <v>137</v>
      </c>
      <c r="K88" s="568"/>
      <c r="L88" s="685"/>
      <c r="M88" s="379"/>
      <c r="N88" s="541"/>
      <c r="O88" s="390"/>
    </row>
    <row r="89" spans="1:15" ht="15.75" x14ac:dyDescent="0.3">
      <c r="A89" s="567"/>
      <c r="B89" s="568" t="s">
        <v>123</v>
      </c>
      <c r="C89" s="568" t="s">
        <v>121</v>
      </c>
      <c r="D89" s="568"/>
      <c r="E89" s="683" t="s">
        <v>119</v>
      </c>
      <c r="F89" s="747">
        <f>C68*1000*VLOOKUP($C89,'Standard values'!$C$9:$S$162,14, FALSE)</f>
        <v>18240</v>
      </c>
      <c r="G89" s="747"/>
      <c r="H89" s="568" t="s">
        <v>501</v>
      </c>
      <c r="I89" s="574">
        <f>$I$87*F89/F$90</f>
        <v>36.303924074159156</v>
      </c>
      <c r="J89" s="568" t="s">
        <v>137</v>
      </c>
      <c r="K89" s="568"/>
      <c r="L89" s="685"/>
      <c r="M89" s="379"/>
      <c r="N89" s="562"/>
      <c r="O89" s="390"/>
    </row>
    <row r="90" spans="1:15" x14ac:dyDescent="0.2">
      <c r="A90" s="567"/>
      <c r="B90" s="568"/>
      <c r="C90" s="568"/>
      <c r="D90" s="568"/>
      <c r="E90" s="568" t="s">
        <v>533</v>
      </c>
      <c r="F90" s="747">
        <f>SUM(F88:F89)</f>
        <v>45050</v>
      </c>
      <c r="G90" s="747"/>
      <c r="H90" s="568" t="s">
        <v>501</v>
      </c>
      <c r="I90" s="568"/>
      <c r="J90" s="568"/>
      <c r="K90" s="568"/>
      <c r="L90" s="685"/>
      <c r="M90" s="379"/>
      <c r="N90" s="562"/>
      <c r="O90" s="390"/>
    </row>
    <row r="91" spans="1:15" ht="14.25" x14ac:dyDescent="0.25">
      <c r="A91" s="519"/>
      <c r="B91" s="520"/>
      <c r="C91" s="520"/>
      <c r="D91" s="520"/>
      <c r="E91" s="523" t="s">
        <v>1058</v>
      </c>
      <c r="F91" s="521"/>
      <c r="G91" s="521"/>
      <c r="H91" s="687"/>
      <c r="I91" s="520"/>
      <c r="J91" s="523" t="s">
        <v>1048</v>
      </c>
      <c r="K91" s="687"/>
      <c r="L91" s="525">
        <f>I88</f>
        <v>53.361195418213107</v>
      </c>
      <c r="M91" s="379"/>
      <c r="N91" s="545">
        <f>L91/$E$69</f>
        <v>1430.6136491622935</v>
      </c>
      <c r="O91" s="379"/>
    </row>
    <row r="92" spans="1:15" x14ac:dyDescent="0.2">
      <c r="A92" s="390"/>
      <c r="B92" s="390"/>
      <c r="C92" s="390"/>
      <c r="D92" s="379"/>
      <c r="E92" s="379"/>
      <c r="F92" s="551"/>
      <c r="G92" s="551"/>
      <c r="H92" s="437"/>
      <c r="I92" s="378"/>
      <c r="J92" s="379"/>
      <c r="K92" s="379"/>
      <c r="L92" s="586"/>
      <c r="M92" s="379"/>
      <c r="O92" s="379"/>
    </row>
    <row r="93" spans="1:15" x14ac:dyDescent="0.2">
      <c r="A93" s="375"/>
      <c r="B93" s="585"/>
      <c r="C93" s="386"/>
      <c r="D93" s="390"/>
      <c r="E93" s="379"/>
      <c r="F93" s="379"/>
      <c r="G93" s="379"/>
      <c r="H93" s="379"/>
      <c r="I93" s="379"/>
      <c r="J93" s="591"/>
      <c r="K93" s="379"/>
      <c r="L93" s="379"/>
      <c r="M93" s="379"/>
      <c r="N93" s="379"/>
      <c r="O93" s="379"/>
    </row>
    <row r="94" spans="1:15" ht="15.75" x14ac:dyDescent="0.25">
      <c r="A94" s="530" t="s">
        <v>809</v>
      </c>
      <c r="B94" s="532"/>
      <c r="C94" s="531"/>
      <c r="D94" s="531"/>
      <c r="E94" s="530" t="s">
        <v>513</v>
      </c>
      <c r="F94" s="532"/>
      <c r="G94" s="532"/>
      <c r="H94" s="531"/>
      <c r="I94" s="532" t="s">
        <v>532</v>
      </c>
      <c r="J94" s="533"/>
      <c r="K94" s="533"/>
      <c r="L94" s="534"/>
      <c r="M94" s="379"/>
      <c r="N94" s="535" t="s">
        <v>162</v>
      </c>
      <c r="O94" s="379"/>
    </row>
    <row r="95" spans="1:15" ht="15.75" x14ac:dyDescent="0.3">
      <c r="A95" s="503"/>
      <c r="B95" s="511" t="s">
        <v>499</v>
      </c>
      <c r="C95" s="593">
        <v>1</v>
      </c>
      <c r="D95" s="495" t="s">
        <v>497</v>
      </c>
      <c r="E95" s="513">
        <f>E67*C95</f>
        <v>40687.990364447454</v>
      </c>
      <c r="F95" s="495" t="s">
        <v>1030</v>
      </c>
      <c r="G95" s="495"/>
      <c r="H95" s="594"/>
      <c r="I95" s="492" t="s">
        <v>138</v>
      </c>
      <c r="J95" s="514"/>
      <c r="K95" s="514"/>
      <c r="L95" s="537"/>
      <c r="M95" s="379"/>
      <c r="N95" s="554" t="s">
        <v>1010</v>
      </c>
      <c r="O95" s="379"/>
    </row>
    <row r="96" spans="1:15" ht="15.75" x14ac:dyDescent="0.3">
      <c r="A96" s="503"/>
      <c r="B96" s="495"/>
      <c r="C96" s="495"/>
      <c r="D96" s="495"/>
      <c r="E96" s="505">
        <f>E68*C95</f>
        <v>0.53126616302000251</v>
      </c>
      <c r="F96" s="506" t="s">
        <v>53</v>
      </c>
      <c r="G96" s="506"/>
      <c r="H96" s="594"/>
      <c r="I96" s="539" t="s">
        <v>1053</v>
      </c>
      <c r="J96" s="539" t="s">
        <v>1054</v>
      </c>
      <c r="K96" s="539" t="s">
        <v>1055</v>
      </c>
      <c r="L96" s="540" t="s">
        <v>1056</v>
      </c>
      <c r="M96" s="379"/>
      <c r="N96" s="501" t="s">
        <v>1056</v>
      </c>
      <c r="O96" s="379"/>
    </row>
    <row r="97" spans="1:15" x14ac:dyDescent="0.2">
      <c r="A97" s="503"/>
      <c r="B97" s="511" t="s">
        <v>498</v>
      </c>
      <c r="C97" s="495"/>
      <c r="D97" s="495"/>
      <c r="E97" s="513"/>
      <c r="F97" s="495"/>
      <c r="G97" s="495"/>
      <c r="H97" s="495"/>
      <c r="I97" s="495"/>
      <c r="J97" s="495"/>
      <c r="K97" s="495"/>
      <c r="L97" s="541"/>
      <c r="M97" s="379"/>
      <c r="N97" s="541"/>
      <c r="O97" s="379"/>
    </row>
    <row r="98" spans="1:15" ht="15.75" x14ac:dyDescent="0.3">
      <c r="A98" s="503"/>
      <c r="B98" s="495" t="s">
        <v>159</v>
      </c>
      <c r="C98" s="595">
        <v>150</v>
      </c>
      <c r="D98" s="495" t="s">
        <v>510</v>
      </c>
      <c r="E98" s="543">
        <f>(C98*E96/VLOOKUP($B95,'Standard values'!$C$9:$S$162,14, FALSE))/1000</f>
        <v>2.9723955409548817E-3</v>
      </c>
      <c r="F98" s="495" t="s">
        <v>242</v>
      </c>
      <c r="G98" s="495"/>
      <c r="H98" s="495"/>
      <c r="I98" s="544">
        <f>$E98*VLOOKUP($B98,'Standard values'!$C$9:$S$162,15, FALSE)*VLOOKUP(C99,'Standard values'!$C$9:$S$162,7, FALSE)/$E$164</f>
        <v>0.49425587467362919</v>
      </c>
      <c r="J98" s="544">
        <f>$E98*((VLOOKUP($B98,'Standard values'!$C$9:$S$162,15, FALSE)*VLOOKUP(C99,'Standard values'!$C$9:$S$162,8, FALSE))+VLOOKUP($B98,'Standard values'!$C$9:$S$162,16, FALSE))/$E$164</f>
        <v>2.7974636329727714E-5</v>
      </c>
      <c r="K98" s="544">
        <f>$E98*((VLOOKUP($B98,'Standard values'!$C$9:$S$162,15, FALSE)*VLOOKUP(C99,'Standard values'!$C$9:$S$162,9, FALSE))+VLOOKUP($B98,'Standard values'!$C$9:$S$162,17, FALSE))/$E$164</f>
        <v>0</v>
      </c>
      <c r="L98" s="516">
        <f>I98*'Standard values'!$D$10+J98*'Standard values'!$D$11+K98*'Standard values'!$D$12</f>
        <v>0.4949552405818724</v>
      </c>
      <c r="M98" s="379"/>
      <c r="N98" s="562">
        <f>+L98/E$69</f>
        <v>13.26975</v>
      </c>
      <c r="O98" s="379"/>
    </row>
    <row r="99" spans="1:15" x14ac:dyDescent="0.2">
      <c r="A99" s="503"/>
      <c r="B99" s="546" t="s">
        <v>54</v>
      </c>
      <c r="C99" s="673" t="s">
        <v>509</v>
      </c>
      <c r="D99" s="495"/>
      <c r="E99" s="503"/>
      <c r="F99" s="495"/>
      <c r="G99" s="495"/>
      <c r="H99" s="495"/>
      <c r="I99" s="544"/>
      <c r="J99" s="544"/>
      <c r="K99" s="544"/>
      <c r="L99" s="516"/>
      <c r="M99" s="379"/>
      <c r="N99" s="562"/>
      <c r="O99" s="379"/>
    </row>
    <row r="100" spans="1:15" x14ac:dyDescent="0.2">
      <c r="A100" s="503"/>
      <c r="B100" s="495"/>
      <c r="C100" s="668"/>
      <c r="D100" s="495"/>
      <c r="E100" s="543"/>
      <c r="F100" s="495"/>
      <c r="G100" s="495"/>
      <c r="H100" s="495"/>
      <c r="I100" s="544"/>
      <c r="J100" s="544"/>
      <c r="K100" s="544"/>
      <c r="L100" s="516"/>
      <c r="M100" s="379"/>
      <c r="N100" s="562"/>
      <c r="O100" s="379"/>
    </row>
    <row r="101" spans="1:15" x14ac:dyDescent="0.2">
      <c r="A101" s="503"/>
      <c r="B101" s="511" t="s">
        <v>444</v>
      </c>
      <c r="C101" s="495"/>
      <c r="D101" s="495"/>
      <c r="E101" s="503"/>
      <c r="F101" s="495"/>
      <c r="G101" s="495"/>
      <c r="H101" s="495"/>
      <c r="I101" s="544"/>
      <c r="J101" s="544"/>
      <c r="K101" s="544"/>
      <c r="L101" s="584"/>
      <c r="M101" s="379"/>
      <c r="N101" s="562"/>
      <c r="O101" s="379"/>
    </row>
    <row r="102" spans="1:15" ht="15.75" x14ac:dyDescent="0.3">
      <c r="A102" s="590"/>
      <c r="B102" s="1301" t="s">
        <v>49</v>
      </c>
      <c r="C102" s="542">
        <v>8.4000000000000003E-4</v>
      </c>
      <c r="D102" s="495" t="s">
        <v>495</v>
      </c>
      <c r="E102" s="503"/>
      <c r="F102" s="495"/>
      <c r="G102" s="495"/>
      <c r="H102" s="495"/>
      <c r="I102" s="544">
        <f>$C102*$E$96*VLOOKUP($B102,'Standard values'!$C$9:$S$162,7, FALSE)/$E$164</f>
        <v>0.10146738000000001</v>
      </c>
      <c r="J102" s="544">
        <f>$C102*$E$96*VLOOKUP($B102,'Standard values'!$C$9:$S$162,8, FALSE)/$E$164</f>
        <v>2.4744999999999997E-4</v>
      </c>
      <c r="K102" s="544">
        <f>$C102*$E$96*VLOOKUP($B102,'Standard values'!$C$9:$S$162,9, FALSE)/$E$164</f>
        <v>4.5966666666666661E-6</v>
      </c>
      <c r="L102" s="516">
        <f>I102*'Standard values'!$D$10+J102*'Standard values'!$D$11+K102*'Standard values'!$D$12</f>
        <v>0.10902343666666668</v>
      </c>
      <c r="M102" s="379"/>
      <c r="N102" s="562">
        <f>+L102/E$69</f>
        <v>2.9229183370333338</v>
      </c>
      <c r="O102" s="379"/>
    </row>
    <row r="103" spans="1:15" ht="14.25" x14ac:dyDescent="0.25">
      <c r="A103" s="519"/>
      <c r="B103" s="520"/>
      <c r="C103" s="520"/>
      <c r="D103" s="520"/>
      <c r="E103" s="519"/>
      <c r="F103" s="521"/>
      <c r="G103" s="521"/>
      <c r="H103" s="521" t="s">
        <v>534</v>
      </c>
      <c r="I103" s="520"/>
      <c r="J103" s="523" t="s">
        <v>1048</v>
      </c>
      <c r="K103" s="549"/>
      <c r="L103" s="525">
        <f>L102+L98</f>
        <v>0.60397867724853904</v>
      </c>
      <c r="M103" s="379"/>
      <c r="N103" s="545">
        <f>+L103/E$69</f>
        <v>16.192668337033332</v>
      </c>
      <c r="O103" s="379"/>
    </row>
    <row r="104" spans="1:15" x14ac:dyDescent="0.2">
      <c r="A104" s="390"/>
      <c r="B104" s="390"/>
      <c r="C104" s="390"/>
      <c r="D104" s="390"/>
      <c r="E104" s="390"/>
      <c r="F104" s="376"/>
      <c r="G104" s="376"/>
      <c r="H104" s="376"/>
      <c r="I104" s="390"/>
      <c r="J104" s="550"/>
      <c r="K104" s="551"/>
      <c r="L104" s="552"/>
      <c r="M104" s="379"/>
      <c r="N104" s="390"/>
      <c r="O104" s="379"/>
    </row>
    <row r="105" spans="1:15" x14ac:dyDescent="0.2">
      <c r="A105" s="390"/>
      <c r="B105" s="390"/>
      <c r="C105" s="390"/>
      <c r="D105" s="390"/>
      <c r="E105" s="390"/>
      <c r="F105" s="376"/>
      <c r="G105" s="376"/>
      <c r="H105" s="376"/>
      <c r="I105" s="390"/>
      <c r="J105" s="550"/>
      <c r="K105" s="551"/>
      <c r="L105" s="552"/>
      <c r="M105" s="379"/>
      <c r="N105" s="379"/>
      <c r="O105" s="379"/>
    </row>
    <row r="106" spans="1:15" ht="15.75" x14ac:dyDescent="0.25">
      <c r="A106" s="530" t="s">
        <v>810</v>
      </c>
      <c r="B106" s="531"/>
      <c r="C106" s="531"/>
      <c r="D106" s="531"/>
      <c r="E106" s="530" t="s">
        <v>513</v>
      </c>
      <c r="F106" s="531"/>
      <c r="G106" s="531"/>
      <c r="H106" s="531"/>
      <c r="I106" s="531"/>
      <c r="J106" s="531"/>
      <c r="K106" s="531"/>
      <c r="L106" s="596"/>
      <c r="M106" s="379"/>
      <c r="N106" s="535" t="s">
        <v>162</v>
      </c>
      <c r="O106" s="379"/>
    </row>
    <row r="107" spans="1:15" ht="15.75" x14ac:dyDescent="0.3">
      <c r="A107" s="503"/>
      <c r="B107" s="511" t="s">
        <v>499</v>
      </c>
      <c r="C107" s="593">
        <v>1</v>
      </c>
      <c r="D107" s="495" t="s">
        <v>497</v>
      </c>
      <c r="E107" s="513">
        <f>E95*C107</f>
        <v>40687.990364447454</v>
      </c>
      <c r="F107" s="495" t="s">
        <v>1030</v>
      </c>
      <c r="G107" s="495"/>
      <c r="H107" s="495"/>
      <c r="I107" s="492" t="s">
        <v>138</v>
      </c>
      <c r="J107" s="514"/>
      <c r="K107" s="514"/>
      <c r="L107" s="537"/>
      <c r="M107" s="379"/>
      <c r="N107" s="554" t="s">
        <v>1010</v>
      </c>
      <c r="O107" s="379"/>
    </row>
    <row r="108" spans="1:15" ht="15.75" x14ac:dyDescent="0.3">
      <c r="A108" s="503"/>
      <c r="B108" s="495"/>
      <c r="C108" s="495"/>
      <c r="D108" s="495"/>
      <c r="E108" s="505">
        <f>E96*C107</f>
        <v>0.53126616302000251</v>
      </c>
      <c r="F108" s="506" t="s">
        <v>53</v>
      </c>
      <c r="G108" s="506"/>
      <c r="H108" s="495"/>
      <c r="I108" s="539" t="s">
        <v>1053</v>
      </c>
      <c r="J108" s="539" t="s">
        <v>1054</v>
      </c>
      <c r="K108" s="539" t="s">
        <v>1055</v>
      </c>
      <c r="L108" s="540" t="s">
        <v>1056</v>
      </c>
      <c r="M108" s="379"/>
      <c r="N108" s="540" t="s">
        <v>1056</v>
      </c>
      <c r="O108" s="379"/>
    </row>
    <row r="109" spans="1:15" x14ac:dyDescent="0.2">
      <c r="A109" s="503"/>
      <c r="B109" s="511" t="s">
        <v>498</v>
      </c>
      <c r="C109" s="495"/>
      <c r="D109" s="495"/>
      <c r="E109" s="513"/>
      <c r="F109" s="495"/>
      <c r="G109" s="495"/>
      <c r="H109" s="495"/>
      <c r="I109" s="495"/>
      <c r="J109" s="495"/>
      <c r="K109" s="495"/>
      <c r="L109" s="541"/>
      <c r="M109" s="379"/>
      <c r="N109" s="541"/>
      <c r="O109" s="379"/>
    </row>
    <row r="110" spans="1:15" ht="15.75" x14ac:dyDescent="0.3">
      <c r="A110" s="503"/>
      <c r="B110" s="495" t="s">
        <v>159</v>
      </c>
      <c r="C110" s="595">
        <v>150</v>
      </c>
      <c r="D110" s="495" t="s">
        <v>510</v>
      </c>
      <c r="E110" s="543">
        <f>(C110*E108/VLOOKUP($B107,'Standard values'!$C$9:$S$162,14, FALSE))/1000</f>
        <v>2.9723955409548817E-3</v>
      </c>
      <c r="F110" s="495" t="s">
        <v>242</v>
      </c>
      <c r="G110" s="495"/>
      <c r="H110" s="495"/>
      <c r="I110" s="544">
        <f>$E110*VLOOKUP($B110,'Standard values'!$C$9:$S$162,15, FALSE)*VLOOKUP(C111,'Standard values'!$C$9:$S$162,7, FALSE)/$E$164</f>
        <v>0.49425587467362919</v>
      </c>
      <c r="J110" s="544">
        <f>$E110*((VLOOKUP($B110,'Standard values'!$C$9:$S$162,15, FALSE)*VLOOKUP(C111,'Standard values'!$C$9:$S$162,8, FALSE))+VLOOKUP($B110,'Standard values'!$C$9:$S$162,16, FALSE))/$E$164</f>
        <v>2.7974636329727714E-5</v>
      </c>
      <c r="K110" s="544">
        <f>$E110*((VLOOKUP($B110,'Standard values'!$C$9:$S$162,15, FALSE)*VLOOKUP(C111,'Standard values'!$C$9:$S$162,9, FALSE))+VLOOKUP($B110,'Standard values'!$C$9:$S$162,17, FALSE))/$E$164</f>
        <v>0</v>
      </c>
      <c r="L110" s="516">
        <f>I110*'Standard values'!$D$10+J110*'Standard values'!$D$11+K110*'Standard values'!$D$12</f>
        <v>0.4949552405818724</v>
      </c>
      <c r="M110" s="379"/>
      <c r="N110" s="562">
        <f>+L110/E$69</f>
        <v>13.26975</v>
      </c>
      <c r="O110" s="379"/>
    </row>
    <row r="111" spans="1:15" x14ac:dyDescent="0.2">
      <c r="A111" s="503"/>
      <c r="B111" s="546" t="s">
        <v>54</v>
      </c>
      <c r="C111" s="673" t="s">
        <v>509</v>
      </c>
      <c r="D111" s="495"/>
      <c r="E111" s="503"/>
      <c r="F111" s="495"/>
      <c r="G111" s="495"/>
      <c r="H111" s="495"/>
      <c r="I111" s="544"/>
      <c r="J111" s="544"/>
      <c r="K111" s="544"/>
      <c r="L111" s="516"/>
      <c r="M111" s="379"/>
      <c r="N111" s="562"/>
      <c r="O111" s="379"/>
    </row>
    <row r="112" spans="1:15" x14ac:dyDescent="0.2">
      <c r="A112" s="503"/>
      <c r="B112" s="495"/>
      <c r="C112" s="495"/>
      <c r="D112" s="495"/>
      <c r="E112" s="505"/>
      <c r="F112" s="506"/>
      <c r="G112" s="506"/>
      <c r="H112" s="495"/>
      <c r="I112" s="539"/>
      <c r="J112" s="539"/>
      <c r="K112" s="539"/>
      <c r="L112" s="690"/>
      <c r="M112" s="379"/>
      <c r="N112" s="540"/>
      <c r="O112" s="379"/>
    </row>
    <row r="113" spans="1:15" x14ac:dyDescent="0.2">
      <c r="A113" s="503"/>
      <c r="B113" s="511" t="s">
        <v>441</v>
      </c>
      <c r="C113" s="495"/>
      <c r="D113" s="495"/>
      <c r="E113" s="503"/>
      <c r="F113" s="495"/>
      <c r="G113" s="495"/>
      <c r="H113" s="495"/>
      <c r="I113" s="544"/>
      <c r="J113" s="544"/>
      <c r="K113" s="544"/>
      <c r="L113" s="584"/>
      <c r="M113" s="379"/>
      <c r="N113" s="541"/>
      <c r="O113" s="379"/>
    </row>
    <row r="114" spans="1:15" ht="15.75" x14ac:dyDescent="0.3">
      <c r="A114" s="503"/>
      <c r="B114" s="1301" t="s">
        <v>49</v>
      </c>
      <c r="C114" s="542">
        <v>3.3999999999999998E-3</v>
      </c>
      <c r="D114" s="495" t="s">
        <v>495</v>
      </c>
      <c r="E114" s="503"/>
      <c r="F114" s="495"/>
      <c r="G114" s="495"/>
      <c r="H114" s="495"/>
      <c r="I114" s="544">
        <f>$C114*$E$108*VLOOKUP($B114,'Standard values'!$C$9:$S$162,7, FALSE)/$E$164</f>
        <v>0.41070129999999999</v>
      </c>
      <c r="J114" s="544">
        <f>$C114*$E$108*VLOOKUP($B114,'Standard values'!$C$9:$S$162,8, FALSE)/$E$164</f>
        <v>1.0015833333333333E-3</v>
      </c>
      <c r="K114" s="544">
        <f>$C114*$E$108*VLOOKUP($B114,'Standard values'!$C$9:$S$162,9, FALSE)/$E$164</f>
        <v>1.8605555555555555E-5</v>
      </c>
      <c r="L114" s="516">
        <f>I114*'Standard values'!$D$10+J114*'Standard values'!$D$11+K114*'Standard values'!$D$12</f>
        <v>0.44128533888888888</v>
      </c>
      <c r="M114" s="379"/>
      <c r="N114" s="562">
        <f>+L114/$E$69</f>
        <v>11.830859935611111</v>
      </c>
      <c r="O114" s="379"/>
    </row>
    <row r="115" spans="1:15" ht="14.25" x14ac:dyDescent="0.25">
      <c r="A115" s="519"/>
      <c r="B115" s="520"/>
      <c r="C115" s="520"/>
      <c r="D115" s="520"/>
      <c r="E115" s="519"/>
      <c r="F115" s="521"/>
      <c r="G115" s="521"/>
      <c r="H115" s="521" t="s">
        <v>534</v>
      </c>
      <c r="I115" s="520"/>
      <c r="J115" s="523" t="s">
        <v>1048</v>
      </c>
      <c r="K115" s="549"/>
      <c r="L115" s="525">
        <f>L110+L114</f>
        <v>0.93624057947076134</v>
      </c>
      <c r="M115" s="379"/>
      <c r="N115" s="545">
        <f>+L115/$E$69</f>
        <v>25.100609935611111</v>
      </c>
      <c r="O115" s="379"/>
    </row>
    <row r="116" spans="1:15" x14ac:dyDescent="0.2">
      <c r="A116" s="390"/>
      <c r="B116" s="390"/>
      <c r="C116" s="390"/>
      <c r="D116" s="390"/>
      <c r="E116" s="390"/>
      <c r="F116" s="376"/>
      <c r="G116" s="376"/>
      <c r="H116" s="376"/>
      <c r="I116" s="390"/>
      <c r="J116" s="550"/>
      <c r="K116" s="551"/>
      <c r="L116" s="597"/>
      <c r="M116" s="379"/>
      <c r="N116" s="390"/>
      <c r="O116" s="379"/>
    </row>
    <row r="117" spans="1:15" x14ac:dyDescent="0.2">
      <c r="A117" s="390"/>
      <c r="B117" s="390"/>
      <c r="C117" s="390"/>
      <c r="D117" s="390"/>
      <c r="E117" s="390"/>
      <c r="F117" s="376"/>
      <c r="G117" s="376"/>
      <c r="H117" s="376"/>
      <c r="I117" s="390"/>
      <c r="J117" s="550"/>
      <c r="K117" s="551"/>
      <c r="L117" s="597"/>
      <c r="M117" s="379"/>
      <c r="N117" s="379"/>
      <c r="O117" s="379"/>
    </row>
    <row r="118" spans="1:15" ht="15.75" x14ac:dyDescent="0.25">
      <c r="A118" s="530" t="s">
        <v>546</v>
      </c>
      <c r="B118" s="598"/>
      <c r="C118" s="599"/>
      <c r="D118" s="531"/>
      <c r="E118" s="600"/>
      <c r="F118" s="531"/>
      <c r="G118" s="531"/>
      <c r="H118" s="531"/>
      <c r="I118" s="531"/>
      <c r="J118" s="531"/>
      <c r="K118" s="531"/>
      <c r="L118" s="601"/>
      <c r="M118" s="379"/>
      <c r="N118" s="379"/>
      <c r="O118" s="379"/>
    </row>
    <row r="119" spans="1:15" ht="15.75" x14ac:dyDescent="0.25">
      <c r="A119" s="602"/>
      <c r="B119" s="603" t="s">
        <v>549</v>
      </c>
      <c r="C119" s="511" t="s">
        <v>908</v>
      </c>
      <c r="D119" s="495"/>
      <c r="E119" s="503"/>
      <c r="F119" s="495"/>
      <c r="G119" s="495"/>
      <c r="H119" s="495"/>
      <c r="I119" s="495"/>
      <c r="J119" s="495"/>
      <c r="K119" s="495"/>
      <c r="L119" s="537"/>
      <c r="M119" s="379"/>
      <c r="N119" s="390"/>
      <c r="O119" s="390"/>
    </row>
    <row r="120" spans="1:15" ht="15.75" customHeight="1" x14ac:dyDescent="0.25">
      <c r="A120" s="602"/>
      <c r="B120" s="511"/>
      <c r="C120" s="668"/>
      <c r="D120" s="691" t="s">
        <v>431</v>
      </c>
      <c r="E120" s="692" t="str">
        <f>IF(D122="Yes","From :  ", " ")</f>
        <v xml:space="preserve"> </v>
      </c>
      <c r="F120" s="1422" t="str">
        <f>IF(D122="Yes",LUC!H$35 &amp; " ; " &amp; LUC!H$36 &amp; " ; " &amp; LUC!H$39 &amp; " ; " &amp; LUC!H$40 &amp; " ; " &amp; LUC!H$45 &amp; " ; " &amp; LUC!H$46 &amp; " ; " &amp; LUC!H$47, " ")</f>
        <v xml:space="preserve"> </v>
      </c>
      <c r="G120" s="1422"/>
      <c r="H120" s="1422"/>
      <c r="I120" s="1422"/>
      <c r="J120" s="1422"/>
      <c r="K120" s="1422"/>
      <c r="L120" s="1423"/>
      <c r="M120" s="379"/>
      <c r="N120" s="390"/>
      <c r="O120" s="390"/>
    </row>
    <row r="121" spans="1:15" ht="15.75" x14ac:dyDescent="0.25">
      <c r="A121" s="602"/>
      <c r="B121" s="539" t="s">
        <v>450</v>
      </c>
      <c r="C121" s="693" t="s">
        <v>431</v>
      </c>
      <c r="D121" s="691" t="s">
        <v>432</v>
      </c>
      <c r="E121" s="513"/>
      <c r="F121" s="1422"/>
      <c r="G121" s="1422"/>
      <c r="H121" s="1422"/>
      <c r="I121" s="1422"/>
      <c r="J121" s="1422"/>
      <c r="K121" s="1422"/>
      <c r="L121" s="1423"/>
      <c r="M121" s="379"/>
      <c r="N121" s="390"/>
      <c r="O121" s="390"/>
    </row>
    <row r="122" spans="1:15" ht="15.75" customHeight="1" x14ac:dyDescent="0.25">
      <c r="A122" s="602"/>
      <c r="B122" s="511"/>
      <c r="C122" s="670" t="str">
        <f>IF(D122="Yes","Go to", " ")</f>
        <v xml:space="preserve"> </v>
      </c>
      <c r="D122" s="691" t="s">
        <v>432</v>
      </c>
      <c r="E122" s="692" t="str">
        <f>IF(D122="Yes","To    :   ", " ")</f>
        <v xml:space="preserve"> </v>
      </c>
      <c r="F122" s="1424" t="str">
        <f>IF(D122="Yes", LUC!D$35 &amp; " ; " &amp; LUC!D$36 &amp; " ; " &amp; LUC!D$39 &amp; " ; " &amp; LUC!D$40 &amp; " ; " &amp; LUC!D$45 &amp; " ; " &amp; LUC!D$46 &amp; " ; " &amp; LUC!D$47, " ")</f>
        <v xml:space="preserve"> </v>
      </c>
      <c r="G122" s="1424"/>
      <c r="H122" s="1424"/>
      <c r="I122" s="1424"/>
      <c r="J122" s="1424"/>
      <c r="K122" s="1424"/>
      <c r="L122" s="1425"/>
      <c r="M122" s="379"/>
      <c r="N122" s="390"/>
      <c r="O122" s="390"/>
    </row>
    <row r="123" spans="1:15" ht="15.75" x14ac:dyDescent="0.25">
      <c r="A123" s="602"/>
      <c r="B123" s="416"/>
      <c r="C123" s="671" t="str">
        <f>IF(D122="Yes","sheet 'LUC' ", " ")</f>
        <v xml:space="preserve"> </v>
      </c>
      <c r="D123" s="495"/>
      <c r="E123" s="696"/>
      <c r="F123" s="1424"/>
      <c r="G123" s="1424"/>
      <c r="H123" s="1424"/>
      <c r="I123" s="1424"/>
      <c r="J123" s="1424"/>
      <c r="K123" s="1424"/>
      <c r="L123" s="1425"/>
      <c r="M123" s="379"/>
      <c r="N123" s="390"/>
      <c r="O123" s="390"/>
    </row>
    <row r="124" spans="1:15" ht="15.75" x14ac:dyDescent="0.25">
      <c r="A124" s="602"/>
      <c r="B124" s="416"/>
      <c r="C124" s="670" t="str">
        <f>IF(D122="Yes","to calculate the land use change", " ")</f>
        <v xml:space="preserve"> </v>
      </c>
      <c r="D124" s="495"/>
      <c r="E124" s="696"/>
      <c r="F124" s="694"/>
      <c r="G124" s="694"/>
      <c r="H124" s="694"/>
      <c r="I124" s="492" t="s">
        <v>138</v>
      </c>
      <c r="J124" s="514"/>
      <c r="K124" s="694"/>
      <c r="L124" s="695"/>
      <c r="M124" s="379"/>
      <c r="N124" s="390"/>
      <c r="O124" s="390"/>
    </row>
    <row r="125" spans="1:15" ht="16.5" x14ac:dyDescent="0.3">
      <c r="A125" s="602"/>
      <c r="B125" s="416"/>
      <c r="C125" s="670"/>
      <c r="D125" s="495"/>
      <c r="E125" s="696"/>
      <c r="F125" s="694"/>
      <c r="G125" s="694"/>
      <c r="H125" s="694"/>
      <c r="I125" s="539" t="s">
        <v>1053</v>
      </c>
      <c r="J125" s="539" t="s">
        <v>1054</v>
      </c>
      <c r="K125" s="539" t="s">
        <v>1055</v>
      </c>
      <c r="L125" s="540" t="s">
        <v>1056</v>
      </c>
      <c r="M125" s="379"/>
      <c r="N125" s="390"/>
      <c r="O125" s="390"/>
    </row>
    <row r="126" spans="1:15" ht="16.5" x14ac:dyDescent="0.3">
      <c r="A126" s="602"/>
      <c r="B126" s="507" t="s">
        <v>451</v>
      </c>
      <c r="C126" s="697">
        <f>IF(D122="Yes",LUC!$J$86,0)</f>
        <v>0</v>
      </c>
      <c r="D126" s="497" t="s">
        <v>449</v>
      </c>
      <c r="E126" s="503"/>
      <c r="F126" s="495"/>
      <c r="G126" s="495"/>
      <c r="H126" s="495"/>
      <c r="I126" s="544">
        <f>$C126*1000000/$E$163</f>
        <v>0</v>
      </c>
      <c r="J126" s="544">
        <v>0</v>
      </c>
      <c r="K126" s="544">
        <v>0</v>
      </c>
      <c r="L126" s="419">
        <f>I126*'Standard values'!$D$10+J126*'Standard values'!$D$11+K126*'Standard values'!$D$12</f>
        <v>0</v>
      </c>
      <c r="M126" s="379"/>
      <c r="N126" s="390"/>
      <c r="O126" s="390"/>
    </row>
    <row r="127" spans="1:15" ht="15.75" x14ac:dyDescent="0.25">
      <c r="A127" s="602"/>
      <c r="B127" s="507"/>
      <c r="C127" s="698"/>
      <c r="D127" s="497"/>
      <c r="E127" s="503"/>
      <c r="F127" s="495"/>
      <c r="G127" s="495"/>
      <c r="H127" s="495"/>
      <c r="I127" s="544"/>
      <c r="J127" s="544"/>
      <c r="K127" s="544"/>
      <c r="L127" s="516">
        <f>SUM(L126:L126)</f>
        <v>0</v>
      </c>
      <c r="M127" s="379"/>
      <c r="N127" s="390"/>
      <c r="O127" s="390"/>
    </row>
    <row r="128" spans="1:15" ht="15.75" x14ac:dyDescent="0.25">
      <c r="A128" s="602"/>
      <c r="B128" s="416"/>
      <c r="C128" s="492"/>
      <c r="D128" s="495"/>
      <c r="E128" s="503"/>
      <c r="F128" s="495"/>
      <c r="G128" s="495"/>
      <c r="H128" s="495"/>
      <c r="I128" s="544"/>
      <c r="J128" s="544"/>
      <c r="K128" s="544"/>
      <c r="L128" s="516"/>
      <c r="M128" s="379"/>
      <c r="N128" s="390"/>
      <c r="O128" s="390"/>
    </row>
    <row r="129" spans="1:15" ht="15.75" x14ac:dyDescent="0.3">
      <c r="A129" s="503"/>
      <c r="B129" s="539" t="s">
        <v>452</v>
      </c>
      <c r="C129" s="595">
        <v>0</v>
      </c>
      <c r="D129" s="605" t="s">
        <v>1036</v>
      </c>
      <c r="E129" s="699"/>
      <c r="F129" s="495"/>
      <c r="G129" s="495"/>
      <c r="H129" s="495"/>
      <c r="I129" s="544">
        <f>-C129</f>
        <v>0</v>
      </c>
      <c r="J129" s="544">
        <v>0</v>
      </c>
      <c r="K129" s="544">
        <v>0</v>
      </c>
      <c r="L129" s="419">
        <f>I129*'Standard values'!$D$10+J129*'Standard values'!$D$11+K129*'Standard values'!$D$12</f>
        <v>0</v>
      </c>
      <c r="M129" s="379"/>
      <c r="N129" s="390"/>
      <c r="O129" s="390"/>
    </row>
    <row r="130" spans="1:15" x14ac:dyDescent="0.2">
      <c r="A130" s="503"/>
      <c r="B130" s="539" t="str">
        <f>IF(C129=-29,"Year of conversion:","")</f>
        <v/>
      </c>
      <c r="C130" s="539" t="str">
        <f>IF(D129=-29,"Year of conversion:","")</f>
        <v/>
      </c>
      <c r="D130" s="605" t="str">
        <f>IF(C129=-29,"Fill in the year of conversion","")</f>
        <v/>
      </c>
      <c r="E130" s="503"/>
      <c r="F130" s="495"/>
      <c r="G130" s="495"/>
      <c r="H130" s="495"/>
      <c r="I130" s="495"/>
      <c r="J130" s="495"/>
      <c r="K130" s="544"/>
      <c r="L130" s="516">
        <f>SUM(L129:L129)</f>
        <v>0</v>
      </c>
      <c r="M130" s="379"/>
      <c r="N130" s="390"/>
      <c r="O130" s="390"/>
    </row>
    <row r="131" spans="1:15" x14ac:dyDescent="0.2">
      <c r="A131" s="503"/>
      <c r="B131" s="539"/>
      <c r="C131" s="539"/>
      <c r="D131" s="605"/>
      <c r="E131" s="503"/>
      <c r="F131" s="495"/>
      <c r="G131" s="495"/>
      <c r="H131" s="495"/>
      <c r="I131" s="495"/>
      <c r="J131" s="495"/>
      <c r="K131" s="544"/>
      <c r="L131" s="700"/>
      <c r="M131" s="379"/>
      <c r="N131" s="390"/>
      <c r="O131" s="390"/>
    </row>
    <row r="132" spans="1:15" ht="14.25" x14ac:dyDescent="0.25">
      <c r="A132" s="519"/>
      <c r="B132" s="520"/>
      <c r="C132" s="520"/>
      <c r="D132" s="520"/>
      <c r="E132" s="519"/>
      <c r="F132" s="521"/>
      <c r="G132" s="521"/>
      <c r="H132" s="521" t="s">
        <v>534</v>
      </c>
      <c r="I132" s="520"/>
      <c r="J132" s="523" t="s">
        <v>1048</v>
      </c>
      <c r="K132" s="549"/>
      <c r="L132" s="525">
        <f>L127+L130</f>
        <v>0</v>
      </c>
      <c r="M132" s="379"/>
      <c r="N132" s="390"/>
      <c r="O132" s="390"/>
    </row>
    <row r="133" spans="1:15" x14ac:dyDescent="0.2">
      <c r="A133" s="390"/>
      <c r="B133" s="390"/>
      <c r="C133" s="390"/>
      <c r="D133" s="390"/>
      <c r="E133" s="390"/>
      <c r="F133" s="376"/>
      <c r="G133" s="376"/>
      <c r="H133" s="376"/>
      <c r="I133" s="390"/>
      <c r="J133" s="550"/>
      <c r="K133" s="551"/>
      <c r="L133" s="604"/>
      <c r="M133" s="379"/>
      <c r="N133" s="390"/>
      <c r="O133" s="390"/>
    </row>
    <row r="134" spans="1:15" x14ac:dyDescent="0.2">
      <c r="A134" s="390"/>
      <c r="B134" s="390"/>
      <c r="C134" s="390"/>
      <c r="D134" s="390"/>
      <c r="E134" s="390"/>
      <c r="F134" s="376"/>
      <c r="G134" s="376"/>
      <c r="H134" s="376"/>
      <c r="I134" s="390"/>
      <c r="J134" s="550"/>
      <c r="K134" s="551"/>
      <c r="L134" s="604"/>
      <c r="M134" s="379"/>
      <c r="N134" s="390"/>
      <c r="O134" s="390"/>
    </row>
    <row r="135" spans="1:15" ht="15.75" x14ac:dyDescent="0.25">
      <c r="A135" s="530" t="s">
        <v>547</v>
      </c>
      <c r="B135" s="598"/>
      <c r="C135" s="599"/>
      <c r="D135" s="531"/>
      <c r="E135" s="600"/>
      <c r="F135" s="531"/>
      <c r="G135" s="531"/>
      <c r="H135" s="531"/>
      <c r="I135" s="531"/>
      <c r="J135" s="531"/>
      <c r="K135" s="531"/>
      <c r="L135" s="601"/>
      <c r="M135" s="379"/>
      <c r="N135" s="390"/>
      <c r="O135" s="390"/>
    </row>
    <row r="136" spans="1:15" ht="15.75" customHeight="1" x14ac:dyDescent="0.25">
      <c r="A136" s="602"/>
      <c r="B136" s="416" t="s">
        <v>548</v>
      </c>
      <c r="C136" s="492" t="s">
        <v>429</v>
      </c>
      <c r="D136" s="616"/>
      <c r="E136" s="503"/>
      <c r="F136" s="495"/>
      <c r="G136" s="495"/>
      <c r="H136" s="495"/>
      <c r="I136" s="492" t="s">
        <v>138</v>
      </c>
      <c r="J136" s="514"/>
      <c r="K136" s="514"/>
      <c r="L136" s="537"/>
      <c r="M136" s="379"/>
      <c r="N136" s="390"/>
      <c r="O136" s="390"/>
    </row>
    <row r="137" spans="1:15" ht="15.75" customHeight="1" x14ac:dyDescent="0.25">
      <c r="A137" s="602"/>
      <c r="B137" s="511"/>
      <c r="C137" s="668"/>
      <c r="D137" s="691" t="s">
        <v>431</v>
      </c>
      <c r="E137" s="692" t="str">
        <f>IF(D139="Yes","From :  ", " ")</f>
        <v xml:space="preserve"> </v>
      </c>
      <c r="F137" s="1422" t="str">
        <f>IF(D139="Yes",Esca!H$42 &amp; ", " &amp; Esca!H$43 &amp; " input ","")</f>
        <v/>
      </c>
      <c r="G137" s="1422"/>
      <c r="H137" s="1422"/>
      <c r="I137" s="1422"/>
      <c r="J137" s="1422"/>
      <c r="K137" s="1422"/>
      <c r="L137" s="1423"/>
      <c r="M137" s="379"/>
      <c r="N137" s="390"/>
      <c r="O137" s="390"/>
    </row>
    <row r="138" spans="1:15" ht="15.75" x14ac:dyDescent="0.25">
      <c r="A138" s="602"/>
      <c r="B138" s="539" t="s">
        <v>430</v>
      </c>
      <c r="C138" s="668"/>
      <c r="D138" s="691" t="s">
        <v>432</v>
      </c>
      <c r="E138" s="513"/>
      <c r="F138" s="1422"/>
      <c r="G138" s="1422"/>
      <c r="H138" s="1422"/>
      <c r="I138" s="1422"/>
      <c r="J138" s="1422"/>
      <c r="K138" s="1422"/>
      <c r="L138" s="1423"/>
      <c r="M138" s="379"/>
      <c r="N138" s="390"/>
      <c r="O138" s="390"/>
    </row>
    <row r="139" spans="1:15" ht="15.75" customHeight="1" x14ac:dyDescent="0.25">
      <c r="A139" s="602"/>
      <c r="B139" s="511"/>
      <c r="C139" s="670" t="str">
        <f>IF(D139="Yes","Go to", " ")</f>
        <v xml:space="preserve"> </v>
      </c>
      <c r="D139" s="691" t="s">
        <v>432</v>
      </c>
      <c r="E139" s="692" t="str">
        <f>IF(D139="Yes","To    :   ", " ")</f>
        <v xml:space="preserve"> </v>
      </c>
      <c r="F139" s="1422" t="str">
        <f>IF(D139="Yes",Esca!D$42 &amp; ", " &amp; Esca!D$43 &amp; " input ","")</f>
        <v/>
      </c>
      <c r="G139" s="1422"/>
      <c r="H139" s="1422"/>
      <c r="I139" s="1422"/>
      <c r="J139" s="1422"/>
      <c r="K139" s="1422"/>
      <c r="L139" s="1423"/>
      <c r="M139" s="379"/>
      <c r="N139" s="390"/>
      <c r="O139" s="390"/>
    </row>
    <row r="140" spans="1:15" ht="15.75" x14ac:dyDescent="0.25">
      <c r="A140" s="602"/>
      <c r="B140" s="416"/>
      <c r="C140" s="671" t="str">
        <f>IF(D139="Yes","sheet 'Esca' ", " ")</f>
        <v xml:space="preserve"> </v>
      </c>
      <c r="D140" s="495"/>
      <c r="E140" s="696"/>
      <c r="F140" s="1422"/>
      <c r="G140" s="1422"/>
      <c r="H140" s="1422"/>
      <c r="I140" s="1422"/>
      <c r="J140" s="1422"/>
      <c r="K140" s="1422"/>
      <c r="L140" s="1423"/>
      <c r="M140" s="379"/>
      <c r="N140" s="390"/>
      <c r="O140" s="390"/>
    </row>
    <row r="141" spans="1:15" ht="15.75" x14ac:dyDescent="0.25">
      <c r="A141" s="602"/>
      <c r="B141" s="416"/>
      <c r="C141" s="670" t="str">
        <f>IF(D139="Yes","to calculate the soil carbon accumulation", " ")</f>
        <v xml:space="preserve"> </v>
      </c>
      <c r="D141" s="495"/>
      <c r="E141" s="696"/>
      <c r="F141" s="694"/>
      <c r="G141" s="694"/>
      <c r="H141" s="694"/>
      <c r="I141" s="492" t="s">
        <v>138</v>
      </c>
      <c r="J141" s="514"/>
      <c r="K141" s="694"/>
      <c r="L141" s="695"/>
      <c r="M141" s="379"/>
      <c r="N141" s="390"/>
      <c r="O141" s="390"/>
    </row>
    <row r="142" spans="1:15" ht="16.5" x14ac:dyDescent="0.3">
      <c r="A142" s="602"/>
      <c r="B142" s="416"/>
      <c r="C142" s="670"/>
      <c r="D142" s="495"/>
      <c r="E142" s="696"/>
      <c r="F142" s="694"/>
      <c r="G142" s="694"/>
      <c r="H142" s="694"/>
      <c r="I142" s="539" t="s">
        <v>1053</v>
      </c>
      <c r="J142" s="539" t="s">
        <v>1054</v>
      </c>
      <c r="K142" s="539" t="s">
        <v>1055</v>
      </c>
      <c r="L142" s="540" t="s">
        <v>1056</v>
      </c>
      <c r="M142" s="379"/>
      <c r="N142" s="390"/>
      <c r="O142" s="390"/>
    </row>
    <row r="143" spans="1:15" ht="16.5" x14ac:dyDescent="0.3">
      <c r="A143" s="602"/>
      <c r="B143" s="507" t="s">
        <v>807</v>
      </c>
      <c r="C143" s="697">
        <f>IF(D139="yes",Esca!$J$81,0)</f>
        <v>0</v>
      </c>
      <c r="D143" s="497" t="s">
        <v>449</v>
      </c>
      <c r="E143" s="503"/>
      <c r="F143" s="495"/>
      <c r="G143" s="495"/>
      <c r="H143" s="495"/>
      <c r="I143" s="544">
        <f>$C143*1000000/$E$163</f>
        <v>0</v>
      </c>
      <c r="J143" s="544">
        <v>0</v>
      </c>
      <c r="K143" s="544">
        <v>0</v>
      </c>
      <c r="L143" s="419">
        <f>I143*'Standard values'!$D$10+J143*'Standard values'!$D$11+K143*'Standard values'!$D$12</f>
        <v>0</v>
      </c>
      <c r="M143" s="379"/>
      <c r="N143" s="390"/>
      <c r="O143" s="390"/>
    </row>
    <row r="144" spans="1:15" x14ac:dyDescent="0.2">
      <c r="A144" s="503"/>
      <c r="B144" s="539"/>
      <c r="C144" s="539"/>
      <c r="D144" s="605"/>
      <c r="E144" s="503"/>
      <c r="F144" s="495"/>
      <c r="G144" s="495"/>
      <c r="H144" s="495"/>
      <c r="I144" s="495"/>
      <c r="J144" s="495"/>
      <c r="K144" s="544"/>
      <c r="L144" s="516">
        <f>SUM(L143:L143)</f>
        <v>0</v>
      </c>
      <c r="M144" s="379"/>
      <c r="N144" s="390"/>
      <c r="O144" s="390"/>
    </row>
    <row r="145" spans="1:15" x14ac:dyDescent="0.2">
      <c r="A145" s="503"/>
      <c r="B145" s="539"/>
      <c r="C145" s="539"/>
      <c r="D145" s="605"/>
      <c r="E145" s="503"/>
      <c r="F145" s="495"/>
      <c r="G145" s="495"/>
      <c r="H145" s="495"/>
      <c r="I145" s="495"/>
      <c r="J145" s="495"/>
      <c r="K145" s="544"/>
      <c r="L145" s="700"/>
      <c r="M145" s="379"/>
      <c r="N145" s="390"/>
      <c r="O145" s="390"/>
    </row>
    <row r="146" spans="1:15" ht="14.25" x14ac:dyDescent="0.25">
      <c r="A146" s="519"/>
      <c r="B146" s="520"/>
      <c r="C146" s="520"/>
      <c r="D146" s="520"/>
      <c r="E146" s="519"/>
      <c r="F146" s="521"/>
      <c r="G146" s="521"/>
      <c r="H146" s="521" t="s">
        <v>534</v>
      </c>
      <c r="I146" s="520"/>
      <c r="J146" s="523" t="s">
        <v>1048</v>
      </c>
      <c r="K146" s="549"/>
      <c r="L146" s="525">
        <f>L144</f>
        <v>0</v>
      </c>
      <c r="M146" s="379"/>
      <c r="N146" s="390"/>
      <c r="O146" s="390"/>
    </row>
    <row r="147" spans="1:15" x14ac:dyDescent="0.2">
      <c r="A147" s="390"/>
      <c r="B147" s="390"/>
      <c r="C147" s="390"/>
      <c r="D147" s="390"/>
      <c r="E147" s="390"/>
      <c r="F147" s="376"/>
      <c r="G147" s="376"/>
      <c r="H147" s="376"/>
      <c r="I147" s="390"/>
      <c r="J147" s="550"/>
      <c r="K147" s="551"/>
      <c r="L147" s="604"/>
      <c r="M147" s="379"/>
      <c r="N147" s="390"/>
      <c r="O147" s="390"/>
    </row>
    <row r="148" spans="1:15" x14ac:dyDescent="0.2">
      <c r="A148" s="390"/>
      <c r="B148" s="390"/>
      <c r="C148" s="390"/>
      <c r="D148" s="390"/>
      <c r="E148" s="390"/>
      <c r="F148" s="376"/>
      <c r="G148" s="376"/>
      <c r="H148" s="376"/>
      <c r="I148" s="390"/>
      <c r="J148" s="550"/>
      <c r="K148" s="551"/>
      <c r="L148" s="604"/>
      <c r="M148" s="379"/>
      <c r="N148" s="390"/>
      <c r="O148" s="390"/>
    </row>
    <row r="149" spans="1:15" ht="18.75" x14ac:dyDescent="0.35">
      <c r="A149" s="530" t="s">
        <v>168</v>
      </c>
      <c r="B149" s="598"/>
      <c r="C149" s="599"/>
      <c r="D149" s="531"/>
      <c r="E149" s="600"/>
      <c r="F149" s="531"/>
      <c r="G149" s="531"/>
      <c r="H149" s="531"/>
      <c r="I149" s="531"/>
      <c r="J149" s="531"/>
      <c r="K149" s="531"/>
      <c r="L149" s="601"/>
      <c r="M149" s="379"/>
      <c r="N149" s="390"/>
      <c r="O149" s="390"/>
    </row>
    <row r="150" spans="1:15" ht="15.75" x14ac:dyDescent="0.25">
      <c r="A150" s="602"/>
      <c r="B150" s="416" t="s">
        <v>166</v>
      </c>
      <c r="C150" s="492"/>
      <c r="D150" s="495"/>
      <c r="E150" s="503"/>
      <c r="F150" s="495"/>
      <c r="G150" s="495"/>
      <c r="H150" s="495"/>
      <c r="I150" s="492" t="s">
        <v>138</v>
      </c>
      <c r="J150" s="514"/>
      <c r="K150" s="514"/>
      <c r="L150" s="537"/>
      <c r="M150" s="379"/>
      <c r="N150" s="390"/>
      <c r="O150" s="390"/>
    </row>
    <row r="151" spans="1:15" ht="15.75" x14ac:dyDescent="0.3">
      <c r="A151" s="503"/>
      <c r="B151" s="539"/>
      <c r="C151" s="595">
        <v>0</v>
      </c>
      <c r="D151" s="605" t="s">
        <v>1036</v>
      </c>
      <c r="E151" s="503"/>
      <c r="F151" s="495"/>
      <c r="G151" s="495"/>
      <c r="H151" s="495"/>
      <c r="I151" s="495"/>
      <c r="J151" s="495"/>
      <c r="K151" s="544"/>
      <c r="L151" s="516">
        <f>C151</f>
        <v>0</v>
      </c>
      <c r="M151" s="379"/>
      <c r="N151" s="390"/>
      <c r="O151" s="390"/>
    </row>
    <row r="152" spans="1:15" ht="14.25" x14ac:dyDescent="0.25">
      <c r="A152" s="519"/>
      <c r="B152" s="520"/>
      <c r="C152" s="520"/>
      <c r="D152" s="520"/>
      <c r="E152" s="519"/>
      <c r="F152" s="521"/>
      <c r="G152" s="521"/>
      <c r="H152" s="521" t="s">
        <v>534</v>
      </c>
      <c r="I152" s="520"/>
      <c r="J152" s="523" t="s">
        <v>1048</v>
      </c>
      <c r="K152" s="549"/>
      <c r="L152" s="525">
        <f>C151</f>
        <v>0</v>
      </c>
      <c r="M152" s="379"/>
      <c r="N152" s="390"/>
      <c r="O152" s="390"/>
    </row>
    <row r="153" spans="1:15" x14ac:dyDescent="0.2">
      <c r="A153" s="390"/>
      <c r="B153" s="390"/>
      <c r="C153" s="390"/>
      <c r="D153" s="390"/>
      <c r="E153" s="390"/>
      <c r="F153" s="376"/>
      <c r="G153" s="376"/>
      <c r="H153" s="376"/>
      <c r="I153" s="390"/>
      <c r="J153" s="550"/>
      <c r="K153" s="551"/>
      <c r="L153" s="604"/>
      <c r="M153" s="379"/>
      <c r="N153" s="390"/>
      <c r="O153" s="390"/>
    </row>
    <row r="154" spans="1:15" x14ac:dyDescent="0.2">
      <c r="A154" s="390"/>
      <c r="B154" s="390"/>
      <c r="C154" s="390"/>
      <c r="D154" s="390"/>
      <c r="E154" s="390"/>
      <c r="F154" s="376"/>
      <c r="G154" s="376"/>
      <c r="H154" s="376"/>
      <c r="I154" s="390"/>
      <c r="J154" s="550"/>
      <c r="K154" s="551"/>
      <c r="L154" s="604"/>
      <c r="M154" s="379"/>
      <c r="N154" s="390"/>
      <c r="O154" s="390"/>
    </row>
    <row r="155" spans="1:15" ht="18.75" x14ac:dyDescent="0.35">
      <c r="A155" s="530" t="s">
        <v>169</v>
      </c>
      <c r="B155" s="598"/>
      <c r="C155" s="599"/>
      <c r="D155" s="531"/>
      <c r="E155" s="600"/>
      <c r="F155" s="531"/>
      <c r="G155" s="531"/>
      <c r="H155" s="531"/>
      <c r="I155" s="531"/>
      <c r="J155" s="531"/>
      <c r="K155" s="531"/>
      <c r="L155" s="601"/>
      <c r="M155" s="379"/>
      <c r="N155" s="390"/>
      <c r="O155" s="390"/>
    </row>
    <row r="156" spans="1:15" ht="15.75" x14ac:dyDescent="0.25">
      <c r="A156" s="602"/>
      <c r="B156" s="416" t="s">
        <v>167</v>
      </c>
      <c r="C156" s="492"/>
      <c r="D156" s="495"/>
      <c r="E156" s="503"/>
      <c r="F156" s="495"/>
      <c r="G156" s="495"/>
      <c r="H156" s="495"/>
      <c r="I156" s="492" t="s">
        <v>138</v>
      </c>
      <c r="J156" s="514"/>
      <c r="K156" s="514"/>
      <c r="L156" s="537"/>
      <c r="M156" s="379"/>
      <c r="N156" s="390"/>
      <c r="O156" s="390"/>
    </row>
    <row r="157" spans="1:15" ht="15.75" x14ac:dyDescent="0.3">
      <c r="A157" s="503"/>
      <c r="B157" s="539"/>
      <c r="C157" s="595">
        <v>0</v>
      </c>
      <c r="D157" s="605" t="s">
        <v>1036</v>
      </c>
      <c r="E157" s="503"/>
      <c r="F157" s="495"/>
      <c r="G157" s="495"/>
      <c r="H157" s="495"/>
      <c r="I157" s="495"/>
      <c r="J157" s="495"/>
      <c r="K157" s="544"/>
      <c r="L157" s="516">
        <f>C157</f>
        <v>0</v>
      </c>
      <c r="M157" s="379"/>
      <c r="N157" s="390"/>
      <c r="O157" s="390"/>
    </row>
    <row r="158" spans="1:15" ht="14.25" x14ac:dyDescent="0.25">
      <c r="A158" s="519"/>
      <c r="B158" s="520"/>
      <c r="C158" s="520"/>
      <c r="D158" s="520"/>
      <c r="E158" s="519"/>
      <c r="F158" s="521"/>
      <c r="G158" s="521"/>
      <c r="H158" s="521" t="s">
        <v>534</v>
      </c>
      <c r="I158" s="520"/>
      <c r="J158" s="523" t="s">
        <v>1048</v>
      </c>
      <c r="K158" s="549"/>
      <c r="L158" s="525">
        <f>C157</f>
        <v>0</v>
      </c>
      <c r="M158" s="379"/>
      <c r="N158" s="390"/>
      <c r="O158" s="390"/>
    </row>
    <row r="159" spans="1:15" x14ac:dyDescent="0.2">
      <c r="A159" s="390"/>
      <c r="B159" s="390"/>
      <c r="C159" s="390"/>
      <c r="D159" s="390"/>
      <c r="E159" s="390"/>
      <c r="F159" s="376"/>
      <c r="G159" s="376"/>
      <c r="H159" s="376"/>
      <c r="I159" s="390"/>
      <c r="J159" s="550"/>
      <c r="K159" s="551"/>
      <c r="L159" s="604"/>
      <c r="M159" s="379"/>
      <c r="N159" s="390"/>
      <c r="O159" s="390"/>
    </row>
    <row r="160" spans="1:15" x14ac:dyDescent="0.2">
      <c r="A160" s="390"/>
      <c r="B160" s="390"/>
      <c r="C160" s="390"/>
      <c r="D160" s="390"/>
      <c r="E160" s="390"/>
      <c r="F160" s="376"/>
      <c r="G160" s="376"/>
      <c r="H160" s="376"/>
      <c r="I160" s="390"/>
      <c r="J160" s="550"/>
      <c r="K160" s="551"/>
      <c r="L160" s="604"/>
      <c r="M160" s="379"/>
      <c r="N160" s="390"/>
      <c r="O160" s="390"/>
    </row>
    <row r="161" spans="1:15" ht="15.75" x14ac:dyDescent="0.25">
      <c r="A161" s="530" t="s">
        <v>457</v>
      </c>
      <c r="B161" s="531"/>
      <c r="C161" s="531"/>
      <c r="D161" s="531"/>
      <c r="E161" s="532"/>
      <c r="F161" s="606"/>
      <c r="G161" s="606"/>
      <c r="H161" s="606"/>
      <c r="I161" s="607"/>
      <c r="J161" s="608"/>
      <c r="K161" s="607"/>
      <c r="L161" s="609"/>
      <c r="M161" s="379"/>
      <c r="N161" s="390"/>
      <c r="O161" s="390"/>
    </row>
    <row r="162" spans="1:15" ht="15.75" x14ac:dyDescent="0.25">
      <c r="A162" s="610"/>
      <c r="B162" s="611"/>
      <c r="C162" s="611"/>
      <c r="D162" s="611"/>
      <c r="E162" s="612"/>
      <c r="F162" s="613"/>
      <c r="G162" s="613"/>
      <c r="H162" s="613"/>
      <c r="I162" s="613"/>
      <c r="J162" s="613"/>
      <c r="K162" s="613"/>
      <c r="L162" s="614"/>
      <c r="M162" s="379"/>
      <c r="N162" s="390"/>
      <c r="O162" s="390"/>
    </row>
    <row r="163" spans="1:15" ht="15.75" x14ac:dyDescent="0.3">
      <c r="A163" s="503"/>
      <c r="B163" s="495"/>
      <c r="C163" s="495"/>
      <c r="D163" s="546" t="s">
        <v>300</v>
      </c>
      <c r="E163" s="702">
        <f>E23*C47*C56*C67*C95*C107</f>
        <v>40687.990364447454</v>
      </c>
      <c r="F163" s="495" t="s">
        <v>1030</v>
      </c>
      <c r="G163" s="495"/>
      <c r="H163" s="495"/>
      <c r="I163" s="495"/>
      <c r="J163" s="495"/>
      <c r="K163" s="495"/>
      <c r="L163" s="616"/>
      <c r="M163" s="379"/>
      <c r="N163" s="390"/>
      <c r="O163" s="390"/>
    </row>
    <row r="164" spans="1:15" ht="15.75" x14ac:dyDescent="0.3">
      <c r="A164" s="503"/>
      <c r="B164" s="495"/>
      <c r="C164" s="495"/>
      <c r="D164" s="546" t="s">
        <v>299</v>
      </c>
      <c r="E164" s="615">
        <f>E163/E23</f>
        <v>0.53126616302000251</v>
      </c>
      <c r="F164" s="495" t="s">
        <v>656</v>
      </c>
      <c r="G164" s="495"/>
      <c r="H164" s="495"/>
      <c r="I164" s="544"/>
      <c r="J164" s="495"/>
      <c r="K164" s="495"/>
      <c r="L164" s="616"/>
      <c r="M164" s="379"/>
      <c r="N164" s="390"/>
      <c r="O164" s="390"/>
    </row>
    <row r="165" spans="1:15" x14ac:dyDescent="0.2">
      <c r="A165" s="503"/>
      <c r="B165" s="495"/>
      <c r="C165" s="495"/>
      <c r="D165" s="495"/>
      <c r="E165" s="495"/>
      <c r="F165" s="617"/>
      <c r="G165" s="617"/>
      <c r="H165" s="495"/>
      <c r="I165" s="544"/>
      <c r="J165" s="495"/>
      <c r="K165" s="495"/>
      <c r="L165" s="616"/>
      <c r="M165" s="379"/>
      <c r="N165" s="390"/>
      <c r="O165" s="390"/>
    </row>
    <row r="166" spans="1:15" x14ac:dyDescent="0.2">
      <c r="A166" s="503"/>
      <c r="B166" s="495"/>
      <c r="C166" s="495"/>
      <c r="D166" s="495"/>
      <c r="E166" s="495"/>
      <c r="F166" s="617"/>
      <c r="G166" s="617"/>
      <c r="H166" s="495"/>
      <c r="I166" s="495"/>
      <c r="J166" s="495"/>
      <c r="K166" s="495"/>
      <c r="L166" s="616"/>
      <c r="M166" s="379"/>
      <c r="N166" s="390"/>
      <c r="O166" s="390"/>
    </row>
    <row r="167" spans="1:15" ht="14.25" x14ac:dyDescent="0.25">
      <c r="A167" s="618"/>
      <c r="B167" s="619"/>
      <c r="C167" s="619"/>
      <c r="D167" s="619"/>
      <c r="E167" s="620" t="s">
        <v>1059</v>
      </c>
      <c r="F167" s="621"/>
      <c r="G167" s="621"/>
      <c r="H167" s="622"/>
      <c r="I167" s="622"/>
      <c r="J167" s="620" t="s">
        <v>885</v>
      </c>
      <c r="K167" s="622"/>
      <c r="L167" s="623">
        <f>L43+L52+L62+L82+L103+L115+L132-L146-L152-L158</f>
        <v>91.205338749091567</v>
      </c>
      <c r="M167" s="379"/>
      <c r="N167" s="390"/>
      <c r="O167" s="390"/>
    </row>
    <row r="168" spans="1:15" ht="14.25" x14ac:dyDescent="0.25">
      <c r="A168" s="624"/>
      <c r="B168" s="625"/>
      <c r="C168" s="626"/>
      <c r="D168" s="619"/>
      <c r="E168" s="620" t="s">
        <v>1060</v>
      </c>
      <c r="F168" s="622"/>
      <c r="G168" s="622"/>
      <c r="H168" s="622"/>
      <c r="I168" s="622"/>
      <c r="J168" s="620" t="s">
        <v>885</v>
      </c>
      <c r="K168" s="622"/>
      <c r="L168" s="627">
        <f>L91+L103+L115+(L127*J6)+L130-L146-L152-L158</f>
        <v>54.901414674932411</v>
      </c>
      <c r="M168" s="379"/>
      <c r="N168" s="390"/>
      <c r="O168" s="390"/>
    </row>
    <row r="169" spans="1:15" x14ac:dyDescent="0.2">
      <c r="A169" s="618"/>
      <c r="B169" s="619"/>
      <c r="C169" s="619"/>
      <c r="D169" s="619"/>
      <c r="E169" s="622"/>
      <c r="F169" s="622"/>
      <c r="G169" s="622"/>
      <c r="H169" s="622"/>
      <c r="I169" s="622"/>
      <c r="J169" s="622"/>
      <c r="K169" s="622"/>
      <c r="L169" s="628"/>
      <c r="M169" s="379"/>
      <c r="N169" s="390"/>
      <c r="O169" s="390"/>
    </row>
    <row r="170" spans="1:15" x14ac:dyDescent="0.2">
      <c r="A170" s="629"/>
      <c r="B170" s="630"/>
      <c r="C170" s="630"/>
      <c r="D170" s="630"/>
      <c r="E170" s="631" t="s">
        <v>1061</v>
      </c>
      <c r="F170" s="632"/>
      <c r="G170" s="632"/>
      <c r="H170" s="632"/>
      <c r="I170" s="632"/>
      <c r="J170" s="632"/>
      <c r="K170" s="632"/>
      <c r="L170" s="633">
        <f>(83.8-L168)/83.8</f>
        <v>0.34485185352109293</v>
      </c>
      <c r="M170" s="379"/>
      <c r="N170" s="390"/>
      <c r="O170" s="390"/>
    </row>
    <row r="171" spans="1:15" x14ac:dyDescent="0.2">
      <c r="M171" s="361"/>
    </row>
    <row r="172" spans="1:15" x14ac:dyDescent="0.2">
      <c r="E172" s="634"/>
      <c r="F172" s="634"/>
      <c r="G172" s="634"/>
      <c r="H172" s="635"/>
      <c r="I172" s="634"/>
      <c r="J172" s="634"/>
      <c r="K172" s="634"/>
      <c r="L172" s="636"/>
      <c r="M172" s="361"/>
    </row>
    <row r="173" spans="1:15" x14ac:dyDescent="0.2">
      <c r="F173" s="634"/>
      <c r="G173" s="634"/>
      <c r="H173" s="634"/>
      <c r="I173" s="637"/>
      <c r="J173" s="634"/>
      <c r="K173" s="634"/>
      <c r="L173" s="638"/>
      <c r="M173" s="639"/>
      <c r="N173" s="361"/>
    </row>
    <row r="174" spans="1:15" x14ac:dyDescent="0.2">
      <c r="F174" s="634"/>
      <c r="G174" s="634"/>
      <c r="H174" s="634"/>
      <c r="I174" s="637"/>
      <c r="J174" s="634"/>
      <c r="K174" s="634"/>
      <c r="L174" s="638"/>
      <c r="M174" s="639"/>
      <c r="N174" s="361"/>
    </row>
    <row r="175" spans="1:15" ht="15.75" x14ac:dyDescent="0.25">
      <c r="F175" s="640"/>
      <c r="G175" s="640"/>
      <c r="H175" s="634"/>
      <c r="I175" s="634"/>
      <c r="J175" s="634"/>
      <c r="K175" s="634"/>
      <c r="L175" s="634"/>
      <c r="M175" s="634"/>
      <c r="N175" s="361"/>
    </row>
    <row r="176" spans="1:15" x14ac:dyDescent="0.2">
      <c r="F176" s="634"/>
      <c r="G176" s="634"/>
      <c r="H176" s="637"/>
      <c r="I176" s="634"/>
      <c r="J176" s="634"/>
      <c r="K176" s="634"/>
      <c r="L176" s="634"/>
      <c r="M176" s="634"/>
      <c r="N176" s="634"/>
    </row>
    <row r="177" spans="6:14" x14ac:dyDescent="0.2">
      <c r="F177" s="637"/>
      <c r="G177" s="637"/>
      <c r="H177" s="634"/>
      <c r="I177" s="641"/>
      <c r="J177" s="634"/>
      <c r="K177" s="634"/>
      <c r="L177" s="634"/>
      <c r="M177" s="634"/>
      <c r="N177" s="634"/>
    </row>
    <row r="178" spans="6:14" x14ac:dyDescent="0.2">
      <c r="F178" s="637"/>
      <c r="G178" s="637"/>
      <c r="H178" s="634"/>
      <c r="I178" s="641"/>
      <c r="J178" s="634"/>
      <c r="K178" s="634"/>
      <c r="L178" s="634"/>
      <c r="M178" s="634"/>
      <c r="N178" s="634"/>
    </row>
    <row r="179" spans="6:14" x14ac:dyDescent="0.2">
      <c r="F179" s="634"/>
      <c r="G179" s="634"/>
      <c r="H179" s="639"/>
      <c r="I179" s="634"/>
      <c r="J179" s="634"/>
      <c r="K179" s="634"/>
      <c r="L179" s="634"/>
      <c r="M179" s="634"/>
      <c r="N179" s="634"/>
    </row>
    <row r="180" spans="6:14" x14ac:dyDescent="0.2">
      <c r="F180" s="634"/>
      <c r="G180" s="634"/>
      <c r="H180" s="634"/>
      <c r="I180" s="634"/>
      <c r="J180" s="634"/>
      <c r="K180" s="634"/>
      <c r="L180" s="634"/>
      <c r="M180" s="634"/>
      <c r="N180" s="634"/>
    </row>
    <row r="181" spans="6:14" x14ac:dyDescent="0.2">
      <c r="F181" s="634"/>
      <c r="G181" s="634"/>
      <c r="H181" s="634"/>
      <c r="I181" s="634"/>
      <c r="J181" s="634"/>
      <c r="K181" s="634"/>
      <c r="L181" s="634"/>
      <c r="M181" s="634"/>
      <c r="N181" s="634"/>
    </row>
    <row r="182" spans="6:14" x14ac:dyDescent="0.2">
      <c r="F182" s="634"/>
      <c r="G182" s="634"/>
      <c r="H182" s="634"/>
      <c r="I182" s="634"/>
      <c r="J182" s="634"/>
      <c r="K182" s="634"/>
      <c r="L182" s="634"/>
      <c r="M182" s="634"/>
      <c r="N182" s="634"/>
    </row>
    <row r="183" spans="6:14" x14ac:dyDescent="0.2">
      <c r="F183" s="634"/>
      <c r="G183" s="634"/>
      <c r="H183" s="634"/>
      <c r="I183" s="634"/>
      <c r="J183" s="634"/>
      <c r="K183" s="634"/>
      <c r="L183" s="634"/>
      <c r="M183" s="634"/>
      <c r="N183" s="634"/>
    </row>
    <row r="184" spans="6:14" x14ac:dyDescent="0.2">
      <c r="F184" s="634"/>
      <c r="G184" s="634"/>
      <c r="H184" s="634"/>
      <c r="I184" s="634"/>
      <c r="J184" s="634"/>
      <c r="K184" s="634"/>
      <c r="L184" s="634"/>
      <c r="M184" s="634"/>
      <c r="N184" s="634"/>
    </row>
    <row r="185" spans="6:14" x14ac:dyDescent="0.2">
      <c r="F185" s="634"/>
      <c r="G185" s="634"/>
      <c r="H185" s="634"/>
      <c r="I185" s="634"/>
      <c r="J185" s="634"/>
      <c r="K185" s="634"/>
      <c r="L185" s="634"/>
      <c r="M185" s="634"/>
      <c r="N185" s="634"/>
    </row>
    <row r="186" spans="6:14" x14ac:dyDescent="0.2">
      <c r="F186" s="634"/>
      <c r="G186" s="634"/>
      <c r="H186" s="634"/>
      <c r="I186" s="634"/>
      <c r="J186" s="634"/>
      <c r="K186" s="634"/>
      <c r="L186" s="634"/>
      <c r="M186" s="634"/>
      <c r="N186" s="634"/>
    </row>
    <row r="187" spans="6:14" x14ac:dyDescent="0.2">
      <c r="F187" s="634"/>
      <c r="G187" s="634"/>
      <c r="H187" s="634"/>
      <c r="I187" s="634"/>
      <c r="J187" s="634"/>
      <c r="K187" s="634"/>
      <c r="L187" s="634"/>
      <c r="M187" s="634"/>
      <c r="N187" s="634"/>
    </row>
    <row r="188" spans="6:14" x14ac:dyDescent="0.2">
      <c r="F188" s="634"/>
      <c r="G188" s="634"/>
      <c r="H188" s="634"/>
      <c r="I188" s="634"/>
      <c r="J188" s="634"/>
      <c r="K188" s="634"/>
      <c r="L188" s="634"/>
      <c r="M188" s="634"/>
      <c r="N188" s="634"/>
    </row>
    <row r="189" spans="6:14" x14ac:dyDescent="0.2">
      <c r="F189" s="634"/>
      <c r="G189" s="634"/>
      <c r="H189" s="634"/>
      <c r="I189" s="634"/>
      <c r="J189" s="634"/>
      <c r="K189" s="634"/>
      <c r="L189" s="634"/>
      <c r="M189" s="634"/>
      <c r="N189" s="634"/>
    </row>
    <row r="190" spans="6:14" x14ac:dyDescent="0.2">
      <c r="F190" s="634"/>
      <c r="G190" s="634"/>
      <c r="H190" s="634"/>
      <c r="I190" s="634"/>
      <c r="J190" s="634"/>
      <c r="K190" s="634"/>
      <c r="L190" s="634"/>
      <c r="M190" s="634"/>
      <c r="N190" s="634"/>
    </row>
    <row r="191" spans="6:14" x14ac:dyDescent="0.2">
      <c r="F191" s="634"/>
      <c r="G191" s="634"/>
      <c r="H191" s="634"/>
      <c r="I191" s="634"/>
      <c r="J191" s="634"/>
      <c r="K191" s="634"/>
      <c r="L191" s="634"/>
      <c r="M191" s="634"/>
      <c r="N191" s="634"/>
    </row>
  </sheetData>
  <sheetProtection insertColumns="0" insertRows="0" deleteColumns="0" deleteRows="0"/>
  <customSheetViews>
    <customSheetView guid="{AD88818B-9F97-4B1E-9426-0DECE603685E}" scale="80" showGridLines="0" fitToPage="1" showRuler="0">
      <pane ySplit="19" topLeftCell="A20" activePane="bottomLeft" state="frozen"/>
      <selection pane="bottomLeft" activeCell="E3" sqref="E3"/>
      <pageMargins left="0.75" right="0.75" top="1" bottom="1" header="0.5" footer="0.5"/>
      <pageSetup paperSize="8" fitToHeight="0" orientation="landscape"/>
      <headerFooter alignWithMargins="0">
        <oddFooter>&amp;L&amp;8&amp;F&amp;C&amp;8&amp;A&amp;R&amp;8page&amp;P</oddFooter>
      </headerFooter>
    </customSheetView>
    <customSheetView guid="{7EB5D807-CE20-46E2-AEE6-2C193E010EA4}" scale="80" showGridLines="0" fitToPage="1" showRuler="0">
      <pane ySplit="19" topLeftCell="A20" activePane="bottomLeft" state="frozen"/>
      <selection pane="bottomLeft" activeCell="E3" sqref="E3"/>
      <pageMargins left="0.75" right="0.75" top="1" bottom="1" header="0.5" footer="0.5"/>
      <pageSetup paperSize="8" fitToHeight="0" orientation="landscape"/>
      <headerFooter alignWithMargins="0">
        <oddFooter>&amp;L&amp;8&amp;F&amp;C&amp;8&amp;A&amp;R&amp;8page&amp;P</oddFooter>
      </headerFooter>
    </customSheetView>
  </customSheetViews>
  <mergeCells count="6">
    <mergeCell ref="F137:L138"/>
    <mergeCell ref="F139:L140"/>
    <mergeCell ref="H11:H12"/>
    <mergeCell ref="O11:O12"/>
    <mergeCell ref="F120:L121"/>
    <mergeCell ref="F122:L123"/>
  </mergeCells>
  <phoneticPr fontId="0" type="noConversion"/>
  <conditionalFormatting sqref="O9:O19">
    <cfRule type="cellIs" dxfId="113" priority="1" stopIfTrue="1" operator="notBetween">
      <formula>-0.05</formula>
      <formula>0.05</formula>
    </cfRule>
  </conditionalFormatting>
  <conditionalFormatting sqref="E15">
    <cfRule type="expression" dxfId="112" priority="3" stopIfTrue="1">
      <formula>($E15="Combined result of previous calculation")</formula>
    </cfRule>
  </conditionalFormatting>
  <conditionalFormatting sqref="A15:D15 F15:G15">
    <cfRule type="expression" dxfId="111" priority="4" stopIfTrue="1">
      <formula>($E15="Combined result of previous calculation")</formula>
    </cfRule>
  </conditionalFormatting>
  <conditionalFormatting sqref="A7:G7 A11:G12">
    <cfRule type="expression" dxfId="110" priority="5" stopIfTrue="1">
      <formula>($E7&lt;&gt;"")</formula>
    </cfRule>
  </conditionalFormatting>
  <conditionalFormatting sqref="A16:D16 F16:G16">
    <cfRule type="expression" dxfId="109" priority="6" stopIfTrue="1">
      <formula>($E16="Esca included in combined result of previous calculation")</formula>
    </cfRule>
  </conditionalFormatting>
  <conditionalFormatting sqref="E16">
    <cfRule type="expression" dxfId="108" priority="7" stopIfTrue="1">
      <formula>($E16="Esca included in combined result of previous calculation")</formula>
    </cfRule>
  </conditionalFormatting>
  <dataValidations count="8">
    <dataValidation type="list" allowBlank="1" showInputMessage="1" showErrorMessage="1" sqref="F10 F8 F6" xr:uid="{00000000-0002-0000-0C00-000000000000}">
      <formula1>"A,D"</formula1>
    </dataValidation>
    <dataValidation type="list" showDropDown="1" showInputMessage="1" showErrorMessage="1" errorTitle="Wrong input" error="Only values &quot;0&quot; and &quot;29&quot; are allowed_x000a_" sqref="C129" xr:uid="{00000000-0002-0000-0C00-000001000000}">
      <formula1>"0,29"</formula1>
    </dataValidation>
    <dataValidation allowBlank="1" showInputMessage="1" showErrorMessage="1" promptTitle="Input value for manure" prompt="Use of manure will not lead to direct GHG emissions as the emission coeffient is 0 g CO2,eq/MJ._x000a_Use of manure will indirectly lead to GHG emissions. When using actual inputs, field N2O emissions must be calculated which increase due to use of manure." sqref="C32" xr:uid="{00000000-0002-0000-0C00-000002000000}"/>
    <dataValidation type="list" allowBlank="1" showInputMessage="1" showErrorMessage="1" sqref="E15" xr:uid="{00000000-0002-0000-0C00-000003000000}">
      <formula1>"- , Combined result of previous calculation"</formula1>
    </dataValidation>
    <dataValidation type="list" allowBlank="1" showInputMessage="1" showErrorMessage="1" sqref="E7 E11:E12" xr:uid="{00000000-0002-0000-0C00-000004000000}">
      <formula1>"- ,Individual result of previous calculation, Combined result of previous calculation"</formula1>
    </dataValidation>
    <dataValidation type="list" allowBlank="1" showInputMessage="1" showErrorMessage="1" sqref="E16" xr:uid="{00000000-0002-0000-0C00-000005000000}">
      <formula1>"- , Esca included in combined result of previous calculation"</formula1>
    </dataValidation>
    <dataValidation allowBlank="1" showInputMessage="1" showErrorMessage="1" promptTitle="Please note !" prompt="When changing the value in this cell, you must indicate in column E under &quot;overview results&quot; that you have used the result of a previous calculation. Please refer to paragraph 4.2 of the user manual for further instructions and examples." sqref="N41 N50 N59" xr:uid="{00000000-0002-0000-0C00-000006000000}"/>
    <dataValidation allowBlank="1" showInputMessage="1" showErrorMessage="1" promptTitle="Electricity mix" sqref="B50 B114 B102 B78 B71" xr:uid="{00000000-0002-0000-0C00-000007000000}"/>
  </dataValidations>
  <hyperlinks>
    <hyperlink ref="C140" location="Esca!A1" display="Esca!A1" xr:uid="{00000000-0004-0000-0C00-000000000000}"/>
    <hyperlink ref="C123" location="LUC!A1" display="LUC!A1" xr:uid="{00000000-0004-0000-0C00-000001000000}"/>
    <hyperlink ref="C42" location="'N2O emissions IPCC '!A1" display="N2O emissions IPCC" xr:uid="{00000000-0004-0000-0C00-000002000000}"/>
  </hyperlinks>
  <pageMargins left="0.75" right="0.75" top="1" bottom="1" header="0.5" footer="0.5"/>
  <pageSetup paperSize="8" fitToHeight="0" orientation="landscape"/>
  <headerFooter alignWithMargins="0">
    <oddFooter>&amp;L&amp;8&amp;F&amp;C&amp;8&amp;A&amp;R&amp;8page&amp;P</oddFooter>
  </headerFooter>
  <cellWatches>
    <cellWatch r="C47"/>
  </cellWatches>
  <drawing r:id="rId1"/>
  <legacyDrawing r:id="rId2"/>
  <controls>
    <mc:AlternateContent xmlns:mc="http://schemas.openxmlformats.org/markup-compatibility/2006">
      <mc:Choice Requires="x14">
        <control shapeId="1092" r:id="rId3" name="CheckBox2">
          <controlPr autoLine="0" autoPict="0" linkedCell="About!N86" r:id="rId4">
            <anchor moveWithCells="1">
              <from>
                <xdr:col>9</xdr:col>
                <xdr:colOff>38100</xdr:colOff>
                <xdr:row>14</xdr:row>
                <xdr:rowOff>47625</xdr:rowOff>
              </from>
              <to>
                <xdr:col>13</xdr:col>
                <xdr:colOff>885825</xdr:colOff>
                <xdr:row>16</xdr:row>
                <xdr:rowOff>85725</xdr:rowOff>
              </to>
            </anchor>
          </controlPr>
        </control>
      </mc:Choice>
      <mc:Fallback>
        <control shapeId="1092" r:id="rId3" name="CheckBox2"/>
      </mc:Fallback>
    </mc:AlternateContent>
    <mc:AlternateContent xmlns:mc="http://schemas.openxmlformats.org/markup-compatibility/2006">
      <mc:Choice Requires="x14">
        <control shapeId="1096" r:id="rId5" name="CheckBox1">
          <controlPr autoLine="0" autoPict="0" linkedCell="About!N88" r:id="rId6">
            <anchor moveWithCells="1">
              <from>
                <xdr:col>9</xdr:col>
                <xdr:colOff>38100</xdr:colOff>
                <xdr:row>12</xdr:row>
                <xdr:rowOff>0</xdr:rowOff>
              </from>
              <to>
                <xdr:col>13</xdr:col>
                <xdr:colOff>866775</xdr:colOff>
                <xdr:row>14</xdr:row>
                <xdr:rowOff>171450</xdr:rowOff>
              </to>
            </anchor>
          </controlPr>
        </control>
      </mc:Choice>
      <mc:Fallback>
        <control shapeId="1096" r:id="rId5" name="CheckBox1"/>
      </mc:Fallback>
    </mc:AlternateContent>
    <mc:AlternateContent xmlns:mc="http://schemas.openxmlformats.org/markup-compatibility/2006">
      <mc:Choice Requires="x14">
        <control shapeId="1112" r:id="rId7" name="ComboBox1">
          <controlPr locked="0" defaultSize="0" autoLine="0" linkedCell="D122" listFillRange="D120:D121" r:id="rId8">
            <anchor moveWithCells="1">
              <from>
                <xdr:col>2</xdr:col>
                <xdr:colOff>9525</xdr:colOff>
                <xdr:row>119</xdr:row>
                <xdr:rowOff>190500</xdr:rowOff>
              </from>
              <to>
                <xdr:col>3</xdr:col>
                <xdr:colOff>19050</xdr:colOff>
                <xdr:row>121</xdr:row>
                <xdr:rowOff>0</xdr:rowOff>
              </to>
            </anchor>
          </controlPr>
        </control>
      </mc:Choice>
      <mc:Fallback>
        <control shapeId="1112" r:id="rId7" name="ComboBox1"/>
      </mc:Fallback>
    </mc:AlternateContent>
    <mc:AlternateContent xmlns:mc="http://schemas.openxmlformats.org/markup-compatibility/2006">
      <mc:Choice Requires="x14">
        <control shapeId="1316" r:id="rId9" name="ComboBox2">
          <controlPr locked="0" defaultSize="0" autoLine="0" linkedCell="D139" listFillRange="D137:D138" r:id="rId10">
            <anchor moveWithCells="1">
              <from>
                <xdr:col>2</xdr:col>
                <xdr:colOff>28575</xdr:colOff>
                <xdr:row>137</xdr:row>
                <xdr:rowOff>0</xdr:rowOff>
              </from>
              <to>
                <xdr:col>3</xdr:col>
                <xdr:colOff>38100</xdr:colOff>
                <xdr:row>138</xdr:row>
                <xdr:rowOff>9525</xdr:rowOff>
              </to>
            </anchor>
          </controlPr>
        </control>
      </mc:Choice>
      <mc:Fallback>
        <control shapeId="1316" r:id="rId9" name="ComboBox2"/>
      </mc:Fallback>
    </mc:AlternateContent>
    <mc:AlternateContent xmlns:mc="http://schemas.openxmlformats.org/markup-compatibility/2006">
      <mc:Choice Requires="x14">
        <control shapeId="1671" r:id="rId11" name="cmdTrackChanges">
          <controlPr defaultSize="0" autoLine="0" r:id="rId12">
            <anchor moveWithCells="1">
              <from>
                <xdr:col>1</xdr:col>
                <xdr:colOff>1314450</xdr:colOff>
                <xdr:row>18</xdr:row>
                <xdr:rowOff>95250</xdr:rowOff>
              </from>
              <to>
                <xdr:col>3</xdr:col>
                <xdr:colOff>485775</xdr:colOff>
                <xdr:row>19</xdr:row>
                <xdr:rowOff>219075</xdr:rowOff>
              </to>
            </anchor>
          </controlPr>
        </control>
      </mc:Choice>
      <mc:Fallback>
        <control shapeId="1671" r:id="rId11" name="cmdTrackChanges"/>
      </mc:Fallback>
    </mc:AlternateContent>
    <mc:AlternateContent xmlns:mc="http://schemas.openxmlformats.org/markup-compatibility/2006">
      <mc:Choice Requires="x14">
        <control shapeId="1738" r:id="rId13" name="Label 714">
          <controlPr defaultSize="0" autoFill="0" autoLine="0" autoPict="0" macro="[0]!GoToAbout">
            <anchor moveWithCells="1" sizeWithCells="1">
              <from>
                <xdr:col>10</xdr:col>
                <xdr:colOff>438150</xdr:colOff>
                <xdr:row>0</xdr:row>
                <xdr:rowOff>800100</xdr:rowOff>
              </from>
              <to>
                <xdr:col>12</xdr:col>
                <xdr:colOff>85725</xdr:colOff>
                <xdr:row>1</xdr:row>
                <xdr:rowOff>0</xdr:rowOff>
              </to>
            </anchor>
          </controlPr>
        </control>
      </mc:Choice>
    </mc:AlternateContent>
    <mc:AlternateContent xmlns:mc="http://schemas.openxmlformats.org/markup-compatibility/2006">
      <mc:Choice Requires="x14">
        <control shapeId="1739" r:id="rId14" name="Label 715">
          <controlPr defaultSize="0" autoFill="0" autoLine="0" autoPict="0" macro="[0]!GoToDirectory">
            <anchor moveWithCells="1" sizeWithCells="1">
              <from>
                <xdr:col>12</xdr:col>
                <xdr:colOff>161925</xdr:colOff>
                <xdr:row>0</xdr:row>
                <xdr:rowOff>800100</xdr:rowOff>
              </from>
              <to>
                <xdr:col>13</xdr:col>
                <xdr:colOff>990600</xdr:colOff>
                <xdr:row>1</xdr:row>
                <xdr:rowOff>0</xdr:rowOff>
              </to>
            </anchor>
          </controlPr>
        </control>
      </mc:Choice>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E5">
    <pageSetUpPr fitToPage="1"/>
  </sheetPr>
  <dimension ref="A1:O199"/>
  <sheetViews>
    <sheetView showGridLines="0" zoomScale="80" workbookViewId="0">
      <selection activeCell="A2" sqref="A2"/>
    </sheetView>
  </sheetViews>
  <sheetFormatPr baseColWidth="10" defaultColWidth="8.85546875" defaultRowHeight="12.75" x14ac:dyDescent="0.2"/>
  <cols>
    <col min="1" max="1" width="22.5703125" style="360" customWidth="1"/>
    <col min="2" max="2" width="25.85546875" style="360" customWidth="1"/>
    <col min="3" max="3" width="9.7109375" style="360" customWidth="1"/>
    <col min="4" max="4" width="20.140625" style="360" customWidth="1"/>
    <col min="5" max="5" width="14.85546875" style="360" customWidth="1"/>
    <col min="6" max="6" width="8.5703125" style="360" customWidth="1"/>
    <col min="7" max="7" width="2.85546875" style="360" customWidth="1"/>
    <col min="8" max="8" width="19.5703125" style="360" customWidth="1"/>
    <col min="9" max="12" width="9.140625" style="360" customWidth="1"/>
    <col min="13" max="13" width="2.5703125" style="360" customWidth="1"/>
    <col min="14" max="14" width="16.7109375" style="360" customWidth="1"/>
    <col min="15" max="15" width="13.7109375" style="360" customWidth="1"/>
    <col min="16" max="16384" width="8.85546875" style="361"/>
  </cols>
  <sheetData>
    <row r="1" spans="1:15" ht="102" customHeight="1" x14ac:dyDescent="0.2"/>
    <row r="2" spans="1:15" ht="27.75" customHeight="1" x14ac:dyDescent="0.25">
      <c r="A2" s="362" t="s">
        <v>948</v>
      </c>
      <c r="B2" s="363"/>
      <c r="C2" s="364"/>
      <c r="D2" s="364"/>
      <c r="E2" s="364"/>
      <c r="F2" s="365"/>
      <c r="G2" s="365"/>
      <c r="H2" s="366"/>
      <c r="I2" s="367"/>
      <c r="J2" s="368"/>
      <c r="K2" s="369"/>
      <c r="L2" s="370"/>
      <c r="M2" s="367"/>
      <c r="N2" s="367"/>
      <c r="O2" s="371" t="str">
        <f>About!D2</f>
        <v>Version 4d for Testing</v>
      </c>
    </row>
    <row r="3" spans="1:15" ht="27.75" customHeight="1" x14ac:dyDescent="0.25">
      <c r="A3" s="372" t="s">
        <v>1050</v>
      </c>
      <c r="B3" s="373"/>
      <c r="C3" s="374"/>
      <c r="D3" s="374"/>
      <c r="E3" s="373"/>
      <c r="F3" s="373"/>
      <c r="G3" s="373"/>
      <c r="H3" s="375"/>
      <c r="I3" s="376"/>
      <c r="J3" s="377"/>
      <c r="K3" s="378"/>
      <c r="L3" s="377"/>
      <c r="M3" s="377"/>
      <c r="N3" s="379"/>
      <c r="O3" s="378"/>
    </row>
    <row r="4" spans="1:15" ht="16.5" customHeight="1" x14ac:dyDescent="0.25">
      <c r="A4" s="380" t="s">
        <v>861</v>
      </c>
      <c r="B4" s="381" t="s">
        <v>854</v>
      </c>
      <c r="C4" s="381" t="s">
        <v>1057</v>
      </c>
      <c r="D4" s="381" t="s">
        <v>852</v>
      </c>
      <c r="E4" s="382" t="s">
        <v>1047</v>
      </c>
      <c r="F4" s="383" t="s">
        <v>1125</v>
      </c>
      <c r="G4" s="384"/>
      <c r="H4" s="385" t="s">
        <v>869</v>
      </c>
      <c r="I4" s="386"/>
      <c r="J4" s="387" t="s">
        <v>1063</v>
      </c>
      <c r="K4" s="388"/>
      <c r="L4" s="389"/>
      <c r="M4" s="390"/>
      <c r="N4" s="387" t="s">
        <v>391</v>
      </c>
      <c r="O4" s="391"/>
    </row>
    <row r="5" spans="1:15" ht="16.5" customHeight="1" x14ac:dyDescent="0.25">
      <c r="A5" s="392" t="s">
        <v>863</v>
      </c>
      <c r="B5" s="393" t="s">
        <v>853</v>
      </c>
      <c r="C5" s="393" t="s">
        <v>1062</v>
      </c>
      <c r="D5" s="393" t="s">
        <v>853</v>
      </c>
      <c r="E5" s="394"/>
      <c r="F5" s="395" t="s">
        <v>1126</v>
      </c>
      <c r="G5" s="396"/>
      <c r="H5" s="397" t="s">
        <v>866</v>
      </c>
      <c r="I5" s="390"/>
      <c r="J5" s="398" t="str">
        <f>A65</f>
        <v>Ethanol plant</v>
      </c>
      <c r="K5" s="399"/>
      <c r="L5" s="400"/>
      <c r="M5" s="390"/>
      <c r="N5" s="398" t="s">
        <v>392</v>
      </c>
      <c r="O5" s="400"/>
    </row>
    <row r="6" spans="1:15" ht="16.5" customHeight="1" x14ac:dyDescent="0.35">
      <c r="A6" s="401" t="s">
        <v>170</v>
      </c>
      <c r="B6" s="402"/>
      <c r="C6" s="403"/>
      <c r="D6" s="404"/>
      <c r="E6" s="405">
        <f>IF(F6="A",D7,H6)</f>
        <v>23.428245342469936</v>
      </c>
      <c r="F6" s="406" t="s">
        <v>1127</v>
      </c>
      <c r="G6" s="407"/>
      <c r="H6" s="408">
        <v>23</v>
      </c>
      <c r="I6" s="390"/>
      <c r="J6" s="409">
        <f>F96/F98</f>
        <v>0.59511653718091007</v>
      </c>
      <c r="K6" s="410" t="s">
        <v>1032</v>
      </c>
      <c r="L6" s="411"/>
      <c r="M6" s="390"/>
      <c r="N6" s="412">
        <v>83.8</v>
      </c>
      <c r="O6" s="413" t="s">
        <v>394</v>
      </c>
    </row>
    <row r="7" spans="1:15" ht="12" customHeight="1" x14ac:dyDescent="0.2">
      <c r="A7" s="398" t="str">
        <f>A21</f>
        <v>Cultivation of wheat</v>
      </c>
      <c r="B7" s="414">
        <f>L43</f>
        <v>39.367491707507298</v>
      </c>
      <c r="C7" s="415">
        <f>J6</f>
        <v>0.59511653718091007</v>
      </c>
      <c r="D7" s="416">
        <f>C7*B7</f>
        <v>23.428245342469936</v>
      </c>
      <c r="E7" s="1215"/>
      <c r="F7" s="418"/>
      <c r="G7" s="418"/>
      <c r="H7" s="419">
        <f>23.43</f>
        <v>23.43</v>
      </c>
      <c r="I7" s="390"/>
      <c r="J7" s="420">
        <f>1-J6</f>
        <v>0.40488346281908993</v>
      </c>
      <c r="K7" s="421" t="s">
        <v>1033</v>
      </c>
      <c r="L7" s="422"/>
      <c r="M7" s="390"/>
      <c r="N7" s="398" t="s">
        <v>393</v>
      </c>
      <c r="O7" s="400"/>
    </row>
    <row r="8" spans="1:15" ht="16.5" customHeight="1" x14ac:dyDescent="0.35">
      <c r="A8" s="401" t="s">
        <v>544</v>
      </c>
      <c r="B8" s="423"/>
      <c r="C8" s="423"/>
      <c r="D8" s="424"/>
      <c r="E8" s="425">
        <f>IF(F8="A",D9,H8)</f>
        <v>18.998998706201</v>
      </c>
      <c r="F8" s="406" t="s">
        <v>1127</v>
      </c>
      <c r="G8" s="407"/>
      <c r="H8" s="408">
        <v>19</v>
      </c>
      <c r="I8" s="390"/>
      <c r="J8" s="390"/>
      <c r="K8" s="390"/>
      <c r="L8" s="390"/>
      <c r="M8" s="390"/>
      <c r="N8" s="426">
        <f>(N6-E18)/N6</f>
        <v>0.47093750189574318</v>
      </c>
      <c r="O8" s="427"/>
    </row>
    <row r="9" spans="1:15" ht="12" customHeight="1" x14ac:dyDescent="0.2">
      <c r="A9" s="398" t="str">
        <f>A65</f>
        <v>Ethanol plant</v>
      </c>
      <c r="B9" s="414">
        <f>L90</f>
        <v>31.924837438058752</v>
      </c>
      <c r="C9" s="415">
        <f>J6</f>
        <v>0.59511653718091007</v>
      </c>
      <c r="D9" s="416">
        <f>C9*B9</f>
        <v>18.998998706201</v>
      </c>
      <c r="E9" s="417"/>
      <c r="F9" s="418"/>
      <c r="G9" s="418"/>
      <c r="H9" s="419">
        <f>1.4*13.58</f>
        <v>19.012</v>
      </c>
      <c r="I9" s="390"/>
      <c r="J9" s="390"/>
      <c r="K9" s="390"/>
      <c r="L9" s="390"/>
      <c r="M9" s="390"/>
      <c r="N9" s="390"/>
      <c r="O9" s="428"/>
    </row>
    <row r="10" spans="1:15" ht="16.5" customHeight="1" x14ac:dyDescent="0.35">
      <c r="A10" s="401" t="s">
        <v>545</v>
      </c>
      <c r="B10" s="423"/>
      <c r="C10" s="423"/>
      <c r="D10" s="424"/>
      <c r="E10" s="425">
        <f>IF(F10="A",D11+D12+D13+D14, H10)</f>
        <v>1.908193292465783</v>
      </c>
      <c r="F10" s="406" t="s">
        <v>1127</v>
      </c>
      <c r="G10" s="407"/>
      <c r="H10" s="408">
        <v>2</v>
      </c>
      <c r="I10" s="390"/>
      <c r="J10" s="390"/>
      <c r="K10" s="390"/>
      <c r="L10" s="390"/>
      <c r="M10" s="390"/>
      <c r="N10" s="390"/>
      <c r="O10" s="430"/>
    </row>
    <row r="11" spans="1:15" ht="13.5" thickBot="1" x14ac:dyDescent="0.25">
      <c r="A11" s="398" t="str">
        <f>A46</f>
        <v xml:space="preserve">Handling &amp; storage </v>
      </c>
      <c r="B11" s="414">
        <f>L52</f>
        <v>9.7721115771996853E-2</v>
      </c>
      <c r="C11" s="415">
        <f>J6</f>
        <v>0.59511653718091007</v>
      </c>
      <c r="D11" s="416">
        <f t="shared" ref="D11:D17" si="0">C11*B11</f>
        <v>5.8155452027685579E-2</v>
      </c>
      <c r="E11" s="1215"/>
      <c r="F11" s="407"/>
      <c r="G11" s="407"/>
      <c r="H11" s="1426">
        <f>0.38</f>
        <v>0.38</v>
      </c>
      <c r="I11" s="390"/>
      <c r="J11" s="390"/>
      <c r="K11" s="390"/>
      <c r="L11" s="390"/>
      <c r="M11" s="390"/>
      <c r="N11" s="390"/>
      <c r="O11" s="1428"/>
    </row>
    <row r="12" spans="1:15" ht="12" customHeight="1" x14ac:dyDescent="0.2">
      <c r="A12" s="398" t="str">
        <f>A55</f>
        <v>Transport of wheat</v>
      </c>
      <c r="B12" s="414">
        <f>L62</f>
        <v>0.52060153661066044</v>
      </c>
      <c r="C12" s="415">
        <f>J6</f>
        <v>0.59511653718091007</v>
      </c>
      <c r="D12" s="416">
        <f t="shared" si="0"/>
        <v>0.309818583718797</v>
      </c>
      <c r="E12" s="1215"/>
      <c r="F12" s="418"/>
      <c r="G12" s="418"/>
      <c r="H12" s="1427"/>
      <c r="I12" s="390"/>
      <c r="J12" s="432" t="s">
        <v>140</v>
      </c>
      <c r="K12" s="433"/>
      <c r="L12" s="433"/>
      <c r="M12" s="433"/>
      <c r="N12" s="434"/>
      <c r="O12" s="1428"/>
    </row>
    <row r="13" spans="1:15" ht="12" customHeight="1" x14ac:dyDescent="0.2">
      <c r="A13" s="398" t="str">
        <f>A102</f>
        <v>Transport of ethanol to depot</v>
      </c>
      <c r="B13" s="414">
        <f>L111</f>
        <v>0.60397867724853904</v>
      </c>
      <c r="C13" s="415">
        <v>1</v>
      </c>
      <c r="D13" s="416">
        <f t="shared" si="0"/>
        <v>0.60397867724853904</v>
      </c>
      <c r="E13" s="436"/>
      <c r="F13" s="437"/>
      <c r="G13" s="437"/>
      <c r="H13" s="419">
        <f>1.1</f>
        <v>1.1000000000000001</v>
      </c>
      <c r="I13" s="390"/>
      <c r="J13" s="438"/>
      <c r="K13" s="439"/>
      <c r="L13" s="439"/>
      <c r="M13" s="439"/>
      <c r="N13" s="440"/>
      <c r="O13" s="441"/>
    </row>
    <row r="14" spans="1:15" ht="12" customHeight="1" x14ac:dyDescent="0.2">
      <c r="A14" s="398" t="str">
        <f>A114</f>
        <v>Transport to filling station</v>
      </c>
      <c r="B14" s="414">
        <f>L123</f>
        <v>0.93624057947076134</v>
      </c>
      <c r="C14" s="415">
        <v>1</v>
      </c>
      <c r="D14" s="416">
        <f t="shared" si="0"/>
        <v>0.93624057947076134</v>
      </c>
      <c r="E14" s="436"/>
      <c r="F14" s="437"/>
      <c r="G14" s="437"/>
      <c r="H14" s="419">
        <f>0.44</f>
        <v>0.44</v>
      </c>
      <c r="I14" s="390"/>
      <c r="J14" s="438"/>
      <c r="K14" s="439"/>
      <c r="L14" s="439"/>
      <c r="M14" s="442"/>
      <c r="N14" s="443"/>
      <c r="O14" s="441"/>
    </row>
    <row r="15" spans="1:15" ht="17.25" customHeight="1" x14ac:dyDescent="0.35">
      <c r="A15" s="444" t="s">
        <v>551</v>
      </c>
      <c r="B15" s="445">
        <f>L135</f>
        <v>0</v>
      </c>
      <c r="C15" s="446">
        <f>J6</f>
        <v>0.59511653718091007</v>
      </c>
      <c r="D15" s="445">
        <f t="shared" si="0"/>
        <v>0</v>
      </c>
      <c r="E15" s="425">
        <f>D15</f>
        <v>0</v>
      </c>
      <c r="F15" s="451"/>
      <c r="G15" s="451"/>
      <c r="H15" s="447">
        <v>0</v>
      </c>
      <c r="I15" s="390"/>
      <c r="J15" s="438"/>
      <c r="K15" s="439"/>
      <c r="L15" s="439"/>
      <c r="M15" s="448"/>
      <c r="N15" s="449"/>
      <c r="O15" s="450"/>
    </row>
    <row r="16" spans="1:15" ht="16.5" customHeight="1" x14ac:dyDescent="0.35">
      <c r="A16" s="444" t="s">
        <v>724</v>
      </c>
      <c r="B16" s="445">
        <f>L154-L138</f>
        <v>0</v>
      </c>
      <c r="C16" s="446">
        <v>1</v>
      </c>
      <c r="D16" s="445">
        <f t="shared" si="0"/>
        <v>0</v>
      </c>
      <c r="E16" s="425">
        <f>D16</f>
        <v>0</v>
      </c>
      <c r="F16" s="451"/>
      <c r="G16" s="451"/>
      <c r="H16" s="447">
        <v>0</v>
      </c>
      <c r="I16" s="379"/>
      <c r="J16" s="438"/>
      <c r="K16" s="439"/>
      <c r="L16" s="439"/>
      <c r="M16" s="448"/>
      <c r="N16" s="449"/>
      <c r="O16" s="450"/>
    </row>
    <row r="17" spans="1:15" ht="16.5" customHeight="1" thickBot="1" x14ac:dyDescent="0.4">
      <c r="A17" s="444" t="s">
        <v>725</v>
      </c>
      <c r="B17" s="445">
        <f>L160+L166</f>
        <v>0</v>
      </c>
      <c r="C17" s="446">
        <v>1</v>
      </c>
      <c r="D17" s="445">
        <f t="shared" si="0"/>
        <v>0</v>
      </c>
      <c r="E17" s="425">
        <f>D17</f>
        <v>0</v>
      </c>
      <c r="F17" s="451"/>
      <c r="G17" s="451"/>
      <c r="H17" s="447">
        <v>0</v>
      </c>
      <c r="I17" s="379"/>
      <c r="J17" s="459" t="s">
        <v>1</v>
      </c>
      <c r="K17" s="460"/>
      <c r="L17" s="460"/>
      <c r="M17" s="461"/>
      <c r="N17" s="462"/>
      <c r="O17" s="450"/>
    </row>
    <row r="18" spans="1:15" ht="16.5" customHeight="1" thickBot="1" x14ac:dyDescent="0.3">
      <c r="A18" s="452" t="s">
        <v>1049</v>
      </c>
      <c r="B18" s="453">
        <f>SUM(B7:B15)-SUM(B16:B17)</f>
        <v>73.450871054667999</v>
      </c>
      <c r="C18" s="454"/>
      <c r="D18" s="455"/>
      <c r="E18" s="456">
        <f>SUM(E6:E15)-SUM(E16:E17)</f>
        <v>44.335437341136718</v>
      </c>
      <c r="F18" s="457"/>
      <c r="G18" s="457"/>
      <c r="H18" s="458">
        <v>44</v>
      </c>
      <c r="I18" s="379"/>
      <c r="J18" s="650"/>
      <c r="K18" s="651"/>
      <c r="L18" s="651"/>
      <c r="M18" s="652"/>
      <c r="N18" s="652"/>
      <c r="O18" s="463"/>
    </row>
    <row r="19" spans="1:15" ht="16.5" customHeight="1" x14ac:dyDescent="0.25">
      <c r="A19" s="464"/>
      <c r="B19" s="465"/>
      <c r="E19" s="466" t="s">
        <v>859</v>
      </c>
      <c r="F19" s="467"/>
      <c r="G19" s="467"/>
      <c r="H19" s="468"/>
      <c r="I19" s="469"/>
      <c r="J19" s="470"/>
      <c r="K19" s="433"/>
      <c r="L19" s="471"/>
      <c r="M19" s="433"/>
      <c r="N19" s="433"/>
      <c r="O19" s="472"/>
    </row>
    <row r="20" spans="1:15" ht="22.5" customHeight="1" thickBot="1" x14ac:dyDescent="0.25">
      <c r="A20" s="473" t="s">
        <v>1051</v>
      </c>
      <c r="B20" s="379"/>
      <c r="E20" s="474" t="s">
        <v>860</v>
      </c>
      <c r="F20" s="442"/>
      <c r="G20" s="442"/>
      <c r="H20" s="442"/>
      <c r="I20" s="439"/>
      <c r="J20" s="475"/>
      <c r="K20" s="475"/>
      <c r="L20" s="476"/>
      <c r="M20" s="477"/>
      <c r="N20" s="477"/>
      <c r="O20" s="478"/>
    </row>
    <row r="21" spans="1:15" ht="15.75" x14ac:dyDescent="0.25">
      <c r="A21" s="479" t="s">
        <v>490</v>
      </c>
      <c r="B21" s="480"/>
      <c r="C21" s="480"/>
      <c r="D21" s="480"/>
      <c r="E21" s="479" t="s">
        <v>513</v>
      </c>
      <c r="F21" s="481"/>
      <c r="G21" s="481"/>
      <c r="H21" s="480"/>
      <c r="I21" s="482" t="s">
        <v>532</v>
      </c>
      <c r="J21" s="481"/>
      <c r="K21" s="481"/>
      <c r="L21" s="483"/>
      <c r="M21" s="715"/>
      <c r="N21" s="530" t="s">
        <v>162</v>
      </c>
      <c r="O21" s="773"/>
    </row>
    <row r="22" spans="1:15" ht="15.75" x14ac:dyDescent="0.25">
      <c r="A22" s="486"/>
      <c r="B22" s="487" t="s">
        <v>524</v>
      </c>
      <c r="C22" s="488"/>
      <c r="D22" s="488"/>
      <c r="E22" s="489" t="s">
        <v>524</v>
      </c>
      <c r="F22" s="490"/>
      <c r="G22" s="490"/>
      <c r="H22" s="491"/>
      <c r="I22" s="492" t="s">
        <v>138</v>
      </c>
      <c r="J22" s="490"/>
      <c r="K22" s="490"/>
      <c r="L22" s="493"/>
      <c r="M22" s="484"/>
      <c r="N22" s="538" t="s">
        <v>163</v>
      </c>
      <c r="O22" s="749" t="s">
        <v>139</v>
      </c>
    </row>
    <row r="23" spans="1:15" ht="16.5" x14ac:dyDescent="0.3">
      <c r="A23" s="494"/>
      <c r="B23" s="495" t="s">
        <v>1034</v>
      </c>
      <c r="C23" s="496">
        <v>5208.2168117301198</v>
      </c>
      <c r="D23" s="497" t="s">
        <v>527</v>
      </c>
      <c r="E23" s="656">
        <f>C23*(1-C24)*VLOOKUP($B23,'Standard values'!$C$9:$S$162,14, FALSE)</f>
        <v>76586.828216491413</v>
      </c>
      <c r="F23" s="499" t="s">
        <v>1052</v>
      </c>
      <c r="G23" s="499"/>
      <c r="H23" s="499"/>
      <c r="I23" s="500" t="s">
        <v>1053</v>
      </c>
      <c r="J23" s="500" t="s">
        <v>1054</v>
      </c>
      <c r="K23" s="500" t="s">
        <v>1055</v>
      </c>
      <c r="L23" s="501" t="s">
        <v>1056</v>
      </c>
      <c r="M23" s="379"/>
      <c r="N23" s="540" t="s">
        <v>1056</v>
      </c>
      <c r="O23" s="540" t="s">
        <v>550</v>
      </c>
    </row>
    <row r="24" spans="1:15" ht="15.75" x14ac:dyDescent="0.3">
      <c r="A24" s="503"/>
      <c r="B24" s="495" t="s">
        <v>521</v>
      </c>
      <c r="C24" s="504">
        <v>0.13500000000000001</v>
      </c>
      <c r="D24" s="497"/>
      <c r="E24" s="505">
        <v>1</v>
      </c>
      <c r="F24" s="506" t="s">
        <v>53</v>
      </c>
      <c r="G24" s="506"/>
      <c r="H24" s="495"/>
      <c r="I24" s="507"/>
      <c r="J24" s="508"/>
      <c r="K24" s="508"/>
      <c r="L24" s="509"/>
      <c r="M24" s="379"/>
      <c r="N24" s="541"/>
      <c r="O24" s="541"/>
    </row>
    <row r="25" spans="1:15" ht="15.75" x14ac:dyDescent="0.3">
      <c r="A25" s="503"/>
      <c r="B25" s="495" t="s">
        <v>124</v>
      </c>
      <c r="C25" s="723">
        <v>2148.3894348386743</v>
      </c>
      <c r="D25" s="497" t="s">
        <v>527</v>
      </c>
      <c r="E25" s="510">
        <f>+C23/E171</f>
        <v>0.12800378600858547</v>
      </c>
      <c r="F25" s="506" t="s">
        <v>161</v>
      </c>
      <c r="G25" s="506"/>
      <c r="H25" s="495"/>
      <c r="I25" s="508"/>
      <c r="J25" s="508"/>
      <c r="K25" s="508"/>
      <c r="L25" s="509"/>
      <c r="M25" s="379"/>
      <c r="N25" s="541"/>
      <c r="O25" s="541"/>
    </row>
    <row r="26" spans="1:15" x14ac:dyDescent="0.2">
      <c r="A26" s="503"/>
      <c r="B26" s="495"/>
      <c r="C26" s="660"/>
      <c r="D26" s="497"/>
      <c r="E26" s="503"/>
      <c r="F26" s="495"/>
      <c r="G26" s="495"/>
      <c r="H26" s="495"/>
      <c r="I26" s="546"/>
      <c r="J26" s="546"/>
      <c r="K26" s="546"/>
      <c r="L26" s="661"/>
      <c r="M26" s="379"/>
      <c r="N26" s="541"/>
      <c r="O26" s="541"/>
    </row>
    <row r="27" spans="1:15" x14ac:dyDescent="0.2">
      <c r="A27" s="503"/>
      <c r="B27" s="511" t="s">
        <v>525</v>
      </c>
      <c r="C27" s="660"/>
      <c r="D27" s="497"/>
      <c r="E27" s="503"/>
      <c r="F27" s="495"/>
      <c r="G27" s="495"/>
      <c r="H27" s="495"/>
      <c r="I27" s="546"/>
      <c r="J27" s="546"/>
      <c r="K27" s="546"/>
      <c r="L27" s="661"/>
      <c r="M27" s="379"/>
      <c r="N27" s="541"/>
      <c r="O27" s="541"/>
    </row>
    <row r="28" spans="1:15" ht="14.25" x14ac:dyDescent="0.2">
      <c r="A28" s="503"/>
      <c r="B28" s="495" t="s">
        <v>509</v>
      </c>
      <c r="C28" s="723">
        <v>3716.5</v>
      </c>
      <c r="D28" s="497" t="s">
        <v>528</v>
      </c>
      <c r="E28" s="513"/>
      <c r="F28" s="495"/>
      <c r="G28" s="495"/>
      <c r="H28" s="495"/>
      <c r="I28" s="508">
        <f>$C28*VLOOKUP($B28,'Standard values'!$C$9:$S$162,7, FALSE)/$E$171</f>
        <v>8.0050631067823872</v>
      </c>
      <c r="J28" s="508">
        <f>$C28*VLOOKUP($B28,'Standard values'!$C$9:$S$162,8, FALSE)/$E$171</f>
        <v>0</v>
      </c>
      <c r="K28" s="508">
        <f>$C28*VLOOKUP($B28,'Standard values'!$C$9:$S$162,9, FALSE)/$E$171</f>
        <v>0</v>
      </c>
      <c r="L28" s="509">
        <f>I28*'Standard values'!$D$10+J28*'Standard values'!$D$11+K28*'Standard values'!$D$12</f>
        <v>8.0050631067823872</v>
      </c>
      <c r="M28" s="379"/>
      <c r="N28" s="562">
        <f>+L28/$E$25</f>
        <v>62.537705769464282</v>
      </c>
      <c r="O28" s="750">
        <f>L28*$E$171/1000</f>
        <v>325.70993055555556</v>
      </c>
    </row>
    <row r="29" spans="1:15" x14ac:dyDescent="0.2">
      <c r="A29" s="503"/>
      <c r="B29" s="495"/>
      <c r="C29" s="660"/>
      <c r="D29" s="497"/>
      <c r="E29" s="513"/>
      <c r="F29" s="495"/>
      <c r="G29" s="495"/>
      <c r="H29" s="495"/>
      <c r="I29" s="508"/>
      <c r="J29" s="508"/>
      <c r="K29" s="508"/>
      <c r="L29" s="509"/>
      <c r="M29" s="379"/>
      <c r="N29" s="562"/>
      <c r="O29" s="750"/>
    </row>
    <row r="30" spans="1:15" x14ac:dyDescent="0.2">
      <c r="A30" s="503"/>
      <c r="B30" s="511" t="s">
        <v>1045</v>
      </c>
      <c r="C30" s="660"/>
      <c r="D30" s="497"/>
      <c r="E30" s="513"/>
      <c r="F30" s="495"/>
      <c r="G30" s="495"/>
      <c r="H30" s="495"/>
      <c r="I30" s="508"/>
      <c r="J30" s="508"/>
      <c r="K30" s="508"/>
      <c r="L30" s="509"/>
      <c r="M30" s="379"/>
      <c r="N30" s="562"/>
      <c r="O30" s="750"/>
    </row>
    <row r="31" spans="1:15" ht="14.25" x14ac:dyDescent="0.2">
      <c r="A31" s="503"/>
      <c r="B31" s="495" t="s">
        <v>231</v>
      </c>
      <c r="C31" s="556">
        <v>109.30441083988111</v>
      </c>
      <c r="D31" s="497" t="s">
        <v>529</v>
      </c>
      <c r="E31" s="513"/>
      <c r="F31" s="495"/>
      <c r="G31" s="495"/>
      <c r="H31" s="495"/>
      <c r="I31" s="508">
        <f>$C31*VLOOKUP($B31,'Standard values'!$C$9:$S$162,3, FALSE)/$E$171</f>
        <v>7.5944794094809875</v>
      </c>
      <c r="J31" s="508">
        <f>$C31*VLOOKUP($B31,'Standard values'!$C$9:$S$162,4, FALSE)/$E$171</f>
        <v>2.3314769599091817E-2</v>
      </c>
      <c r="K31" s="508">
        <f>$C31*VLOOKUP($B31,'Standard values'!$C$9:$S$162,5, FALSE)/$E$171</f>
        <v>2.5901777379421516E-2</v>
      </c>
      <c r="L31" s="509">
        <f>I31*'Standard values'!$D$10+J31*'Standard values'!$D$11+K31*'Standard values'!$D$12</f>
        <v>15.896078308525894</v>
      </c>
      <c r="M31" s="379"/>
      <c r="N31" s="562">
        <f>+L31/$E$25</f>
        <v>124.18443863418003</v>
      </c>
      <c r="O31" s="750">
        <f>L31*$E$171/1000</f>
        <v>646.77948104980374</v>
      </c>
    </row>
    <row r="32" spans="1:15" ht="14.25" x14ac:dyDescent="0.2">
      <c r="A32" s="503"/>
      <c r="B32" s="495" t="s">
        <v>504</v>
      </c>
      <c r="C32" s="556">
        <v>0</v>
      </c>
      <c r="D32" s="497" t="s">
        <v>529</v>
      </c>
      <c r="E32" s="513"/>
      <c r="F32" s="495"/>
      <c r="G32" s="495"/>
      <c r="H32" s="495"/>
      <c r="I32" s="508">
        <f>$C32*VLOOKUP($B32,'Standard values'!$C$9:$S$162,3, FALSE)/$E$171</f>
        <v>0</v>
      </c>
      <c r="J32" s="508">
        <f>$C32*VLOOKUP($B32,'Standard values'!$C$9:$S$162,4, FALSE)/$E$171</f>
        <v>0</v>
      </c>
      <c r="K32" s="508">
        <f>$C32*VLOOKUP($B32,'Standard values'!$C$9:$S$162,5, FALSE)/$E$171</f>
        <v>0</v>
      </c>
      <c r="L32" s="509">
        <f>I32*'Standard values'!$D$10+J32*'Standard values'!$D$11+K32*'Standard values'!$D$12</f>
        <v>0</v>
      </c>
      <c r="M32" s="379"/>
      <c r="N32" s="562">
        <f>+L32/$E$25</f>
        <v>0</v>
      </c>
      <c r="O32" s="750">
        <f>L32*$E$171/1000</f>
        <v>0</v>
      </c>
    </row>
    <row r="33" spans="1:15" ht="15.75" x14ac:dyDescent="0.3">
      <c r="A33" s="503"/>
      <c r="B33" s="495" t="s">
        <v>233</v>
      </c>
      <c r="C33" s="556">
        <v>16.357714030632511</v>
      </c>
      <c r="D33" s="497" t="s">
        <v>530</v>
      </c>
      <c r="E33" s="513"/>
      <c r="F33" s="495"/>
      <c r="G33" s="495"/>
      <c r="H33" s="495"/>
      <c r="I33" s="508">
        <f>$C33*VLOOKUP($B33,'Standard values'!$C$9:$S$162,3, FALSE)/$E$171</f>
        <v>0.21561203330840112</v>
      </c>
      <c r="J33" s="508">
        <f>$C33*VLOOKUP($B33,'Standard values'!$C$9:$S$162,4, FALSE)/$E$171</f>
        <v>6.3154588714152068E-4</v>
      </c>
      <c r="K33" s="508">
        <f>$C33*VLOOKUP($B33,'Standard values'!$C$9:$S$162,5, FALSE)/$E$171</f>
        <v>4.9449451981925676E-6</v>
      </c>
      <c r="L33" s="509">
        <f>I33*'Standard values'!$D$10+J33*'Standard values'!$D$11+K33*'Standard values'!$D$12</f>
        <v>0.23287427415600051</v>
      </c>
      <c r="M33" s="379"/>
      <c r="N33" s="562">
        <f>+L33/$E$25</f>
        <v>1.8192764559353045</v>
      </c>
      <c r="O33" s="750">
        <f>L33*$E$171/1000</f>
        <v>9.4751862229870447</v>
      </c>
    </row>
    <row r="34" spans="1:15" ht="15.75" x14ac:dyDescent="0.3">
      <c r="A34" s="503"/>
      <c r="B34" s="495" t="s">
        <v>232</v>
      </c>
      <c r="C34" s="556">
        <v>21.636015155139138</v>
      </c>
      <c r="D34" s="497" t="s">
        <v>531</v>
      </c>
      <c r="E34" s="513"/>
      <c r="F34" s="495"/>
      <c r="G34" s="495"/>
      <c r="H34" s="495"/>
      <c r="I34" s="508">
        <f>$C34*VLOOKUP($B34,'Standard values'!$C$9:$S$162,3, FALSE)/$E$171</f>
        <v>0.51308257670131951</v>
      </c>
      <c r="J34" s="508">
        <f>$C34*VLOOKUP($B34,'Standard values'!$C$9:$S$162,4, FALSE)/$E$171</f>
        <v>7.0776501649619532E-4</v>
      </c>
      <c r="K34" s="508">
        <f>$C34*VLOOKUP($B34,'Standard values'!$C$9:$S$162,5, FALSE)/$E$171</f>
        <v>2.7385348121377956E-5</v>
      </c>
      <c r="L34" s="509">
        <f>I34*'Standard values'!$D$10+J34*'Standard values'!$D$11+K34*'Standard values'!$D$12</f>
        <v>0.53893753585389503</v>
      </c>
      <c r="M34" s="379"/>
      <c r="N34" s="562">
        <f>+L34/$E$25</f>
        <v>4.2103249650580441</v>
      </c>
      <c r="O34" s="750">
        <f>L34*$E$171/1000</f>
        <v>21.928285265862336</v>
      </c>
    </row>
    <row r="35" spans="1:15" ht="14.25" x14ac:dyDescent="0.2">
      <c r="A35" s="503"/>
      <c r="B35" s="495" t="s">
        <v>502</v>
      </c>
      <c r="C35" s="556">
        <v>2.335</v>
      </c>
      <c r="D35" s="497" t="s">
        <v>527</v>
      </c>
      <c r="E35" s="513"/>
      <c r="F35" s="665"/>
      <c r="G35" s="665"/>
      <c r="H35" s="665"/>
      <c r="I35" s="508">
        <f>$C35*VLOOKUP($B35,'Standard values'!$C$9:$S$162,3, FALSE)/$E$171</f>
        <v>0.5673659957944569</v>
      </c>
      <c r="J35" s="508">
        <f>$C35*VLOOKUP($B35,'Standard values'!$C$9:$S$162,4, FALSE)/$E$171</f>
        <v>1.4649477146967333E-3</v>
      </c>
      <c r="K35" s="508">
        <f>$C35*VLOOKUP($B35,'Standard values'!$C$9:$S$162,5, FALSE)/$E$171</f>
        <v>9.64920843923159E-5</v>
      </c>
      <c r="L35" s="509">
        <f>I35*'Standard values'!$D$10+J35*'Standard values'!$D$11+K35*'Standard values'!$D$12</f>
        <v>0.63274432981078532</v>
      </c>
      <c r="M35" s="379"/>
      <c r="N35" s="562">
        <f>+L35/$E$25</f>
        <v>4.943168866648568</v>
      </c>
      <c r="O35" s="750">
        <f>L35*$E$171/1000</f>
        <v>25.745095194499996</v>
      </c>
    </row>
    <row r="36" spans="1:15" x14ac:dyDescent="0.2">
      <c r="A36" s="503"/>
      <c r="B36" s="495"/>
      <c r="C36" s="666"/>
      <c r="D36" s="497"/>
      <c r="E36" s="513"/>
      <c r="F36" s="665"/>
      <c r="G36" s="665"/>
      <c r="H36" s="665"/>
      <c r="I36" s="508"/>
      <c r="J36" s="508"/>
      <c r="K36" s="508"/>
      <c r="L36" s="509"/>
      <c r="M36" s="379"/>
      <c r="N36" s="562"/>
      <c r="O36" s="750"/>
    </row>
    <row r="37" spans="1:15" x14ac:dyDescent="0.2">
      <c r="A37" s="503"/>
      <c r="B37" s="511" t="s">
        <v>511</v>
      </c>
      <c r="C37" s="666"/>
      <c r="D37" s="497"/>
      <c r="E37" s="513"/>
      <c r="F37" s="495"/>
      <c r="G37" s="495"/>
      <c r="H37" s="665"/>
      <c r="I37" s="508"/>
      <c r="J37" s="508"/>
      <c r="K37" s="508"/>
      <c r="L37" s="509"/>
      <c r="M37" s="379"/>
      <c r="N37" s="562"/>
      <c r="O37" s="750"/>
    </row>
    <row r="38" spans="1:15" ht="14.25" x14ac:dyDescent="0.2">
      <c r="A38" s="503"/>
      <c r="B38" s="499" t="s">
        <v>1080</v>
      </c>
      <c r="C38" s="726">
        <v>120</v>
      </c>
      <c r="D38" s="497" t="s">
        <v>527</v>
      </c>
      <c r="E38" s="513"/>
      <c r="F38" s="495"/>
      <c r="G38" s="495"/>
      <c r="H38" s="495"/>
      <c r="I38" s="508">
        <f>$C38*VLOOKUP($B38,'Standard values'!$C$9:$S$162,3, FALSE)/$E$171</f>
        <v>0.44550452941118518</v>
      </c>
      <c r="J38" s="508">
        <f>$C38*VLOOKUP($B38,'Standard values'!$C$9:$S$162,4, FALSE)/$E$171</f>
        <v>8.172436068274115E-4</v>
      </c>
      <c r="K38" s="508">
        <f>$C38*VLOOKUP($B38,'Standard values'!$C$9:$S$162,5, FALSE)/$E$171</f>
        <v>1.1805940664489816E-3</v>
      </c>
      <c r="L38" s="509">
        <f>I38*'Standard values'!$D$10+J38*'Standard values'!$D$11+K38*'Standard values'!$D$12</f>
        <v>0.81775265138366704</v>
      </c>
      <c r="M38" s="379"/>
      <c r="N38" s="562">
        <f>+L38/$E$25</f>
        <v>6.3885036285475083</v>
      </c>
      <c r="O38" s="750">
        <f>L38*$E$171/1000</f>
        <v>33.272711999999999</v>
      </c>
    </row>
    <row r="39" spans="1:15" x14ac:dyDescent="0.2">
      <c r="A39" s="503"/>
      <c r="B39" s="511"/>
      <c r="C39" s="668"/>
      <c r="D39" s="497"/>
      <c r="E39" s="513"/>
      <c r="F39" s="495"/>
      <c r="G39" s="495"/>
      <c r="H39" s="495"/>
      <c r="I39" s="508"/>
      <c r="J39" s="508"/>
      <c r="K39" s="508"/>
      <c r="L39" s="509"/>
      <c r="M39" s="379"/>
      <c r="N39" s="562"/>
      <c r="O39" s="750"/>
    </row>
    <row r="40" spans="1:15" ht="15" x14ac:dyDescent="0.25">
      <c r="A40" s="503"/>
      <c r="B40" s="511" t="s">
        <v>1046</v>
      </c>
      <c r="C40" s="728">
        <v>1.8083001106671583</v>
      </c>
      <c r="D40" s="497" t="s">
        <v>527</v>
      </c>
      <c r="E40" s="513"/>
      <c r="F40" s="495"/>
      <c r="G40" s="495"/>
      <c r="H40" s="495"/>
      <c r="I40" s="508">
        <v>0</v>
      </c>
      <c r="J40" s="508">
        <v>0</v>
      </c>
      <c r="K40" s="508">
        <f>1000*$C40/$E$171</f>
        <v>4.4443092285216999E-2</v>
      </c>
      <c r="L40" s="509">
        <f>I40*'Standard values'!$D$10+J40*'Standard values'!$D$11+K40*'Standard values'!$D$12</f>
        <v>13.244041500994665</v>
      </c>
      <c r="M40" s="379"/>
      <c r="N40" s="562">
        <f>+L40/$E$25</f>
        <v>103.46601388888888</v>
      </c>
      <c r="O40" s="750">
        <f>L40*$E$171/1000</f>
        <v>538.87343297881318</v>
      </c>
    </row>
    <row r="41" spans="1:15" ht="15.75" x14ac:dyDescent="0.3">
      <c r="A41" s="503"/>
      <c r="B41" s="511"/>
      <c r="C41" s="670" t="s">
        <v>664</v>
      </c>
      <c r="D41" s="495"/>
      <c r="E41" s="513"/>
      <c r="F41" s="514"/>
      <c r="G41" s="514"/>
      <c r="H41" s="514" t="s">
        <v>1047</v>
      </c>
      <c r="I41" s="515">
        <f>SUM(I24:I40)</f>
        <v>17.341107651478737</v>
      </c>
      <c r="J41" s="515">
        <f>SUM(J24:J40)</f>
        <v>2.6936271824253677E-2</v>
      </c>
      <c r="K41" s="515">
        <f>SUM(K24:K40)</f>
        <v>7.1654286108799384E-2</v>
      </c>
      <c r="L41" s="516">
        <f>I41*'Standard values'!$D$10+J41*'Standard values'!$D$11+K41*'Standard values'!$D$12</f>
        <v>39.367491707507298</v>
      </c>
      <c r="M41" s="379"/>
      <c r="N41" s="1201">
        <f>+L41/E$25</f>
        <v>307.54943220872264</v>
      </c>
      <c r="O41" s="1202">
        <f>L41*$E$171/1000</f>
        <v>1601.7841232675221</v>
      </c>
    </row>
    <row r="42" spans="1:15" x14ac:dyDescent="0.2">
      <c r="A42" s="503"/>
      <c r="B42" s="511"/>
      <c r="C42" s="671" t="s">
        <v>665</v>
      </c>
      <c r="D42" s="495"/>
      <c r="E42" s="513"/>
      <c r="F42" s="514"/>
      <c r="G42" s="514"/>
      <c r="H42" s="514"/>
      <c r="I42" s="416"/>
      <c r="J42" s="416"/>
      <c r="K42" s="416"/>
      <c r="L42" s="436"/>
      <c r="M42" s="379"/>
      <c r="N42" s="1203"/>
      <c r="O42" s="1204"/>
    </row>
    <row r="43" spans="1:15" ht="14.25" x14ac:dyDescent="0.25">
      <c r="A43" s="519"/>
      <c r="B43" s="520"/>
      <c r="C43" s="520"/>
      <c r="D43" s="520"/>
      <c r="E43" s="519"/>
      <c r="F43" s="521"/>
      <c r="G43" s="521"/>
      <c r="H43" s="521" t="s">
        <v>534</v>
      </c>
      <c r="I43" s="522"/>
      <c r="J43" s="523" t="s">
        <v>1048</v>
      </c>
      <c r="K43" s="524"/>
      <c r="L43" s="525">
        <f>N41*E$25</f>
        <v>39.367491707507298</v>
      </c>
      <c r="M43" s="379"/>
      <c r="N43" s="390"/>
      <c r="O43" s="390"/>
    </row>
    <row r="44" spans="1:15" x14ac:dyDescent="0.2">
      <c r="A44" s="379"/>
      <c r="B44" s="379"/>
      <c r="C44" s="379"/>
      <c r="D44" s="379"/>
      <c r="E44" s="379"/>
      <c r="F44" s="526"/>
      <c r="G44" s="526"/>
      <c r="H44" s="526"/>
      <c r="I44" s="527"/>
      <c r="J44" s="528"/>
      <c r="K44" s="484"/>
      <c r="L44" s="430"/>
      <c r="M44" s="379"/>
      <c r="N44" s="390"/>
      <c r="O44" s="390"/>
    </row>
    <row r="45" spans="1:15" x14ac:dyDescent="0.2">
      <c r="A45" s="390"/>
      <c r="B45" s="390"/>
      <c r="C45" s="390"/>
      <c r="D45" s="390"/>
      <c r="E45" s="390"/>
      <c r="F45" s="390"/>
      <c r="G45" s="390"/>
      <c r="H45" s="390"/>
      <c r="I45" s="529"/>
      <c r="J45" s="529"/>
      <c r="K45" s="529"/>
      <c r="L45" s="529"/>
      <c r="M45" s="379"/>
      <c r="N45" s="390"/>
      <c r="O45" s="390"/>
    </row>
    <row r="46" spans="1:15" ht="15.75" x14ac:dyDescent="0.25">
      <c r="A46" s="530" t="s">
        <v>338</v>
      </c>
      <c r="B46" s="532" t="s">
        <v>339</v>
      </c>
      <c r="C46" s="531"/>
      <c r="D46" s="531"/>
      <c r="E46" s="530" t="s">
        <v>513</v>
      </c>
      <c r="F46" s="532"/>
      <c r="G46" s="532"/>
      <c r="H46" s="531"/>
      <c r="I46" s="532" t="s">
        <v>532</v>
      </c>
      <c r="J46" s="533"/>
      <c r="K46" s="533"/>
      <c r="L46" s="534"/>
      <c r="M46" s="379"/>
      <c r="N46" s="535" t="s">
        <v>162</v>
      </c>
      <c r="O46" s="390"/>
    </row>
    <row r="47" spans="1:15" ht="15.75" x14ac:dyDescent="0.3">
      <c r="A47" s="587"/>
      <c r="B47" s="511" t="s">
        <v>1034</v>
      </c>
      <c r="C47" s="536">
        <v>1</v>
      </c>
      <c r="D47" s="495" t="s">
        <v>492</v>
      </c>
      <c r="E47" s="588">
        <f>E23*C47</f>
        <v>76586.828216491413</v>
      </c>
      <c r="F47" s="495" t="s">
        <v>493</v>
      </c>
      <c r="G47" s="495"/>
      <c r="H47" s="495"/>
      <c r="I47" s="492" t="s">
        <v>138</v>
      </c>
      <c r="J47" s="514"/>
      <c r="K47" s="514"/>
      <c r="L47" s="537"/>
      <c r="M47" s="379"/>
      <c r="N47" s="554" t="s">
        <v>163</v>
      </c>
      <c r="O47" s="390"/>
    </row>
    <row r="48" spans="1:15" ht="15.75" x14ac:dyDescent="0.3">
      <c r="A48" s="587"/>
      <c r="B48" s="495"/>
      <c r="C48" s="512"/>
      <c r="D48" s="495"/>
      <c r="E48" s="505">
        <f>E24*C47</f>
        <v>1</v>
      </c>
      <c r="F48" s="506" t="s">
        <v>53</v>
      </c>
      <c r="G48" s="506"/>
      <c r="H48" s="495"/>
      <c r="I48" s="539" t="s">
        <v>1053</v>
      </c>
      <c r="J48" s="539" t="s">
        <v>1054</v>
      </c>
      <c r="K48" s="539" t="s">
        <v>1055</v>
      </c>
      <c r="L48" s="540" t="s">
        <v>1056</v>
      </c>
      <c r="M48" s="379"/>
      <c r="N48" s="540" t="s">
        <v>1056</v>
      </c>
      <c r="O48" s="390"/>
    </row>
    <row r="49" spans="1:15" x14ac:dyDescent="0.2">
      <c r="A49" s="503"/>
      <c r="B49" s="511" t="s">
        <v>525</v>
      </c>
      <c r="C49" s="495"/>
      <c r="D49" s="495"/>
      <c r="E49" s="503"/>
      <c r="F49" s="495"/>
      <c r="G49" s="495"/>
      <c r="H49" s="495"/>
      <c r="I49" s="495"/>
      <c r="J49" s="495"/>
      <c r="K49" s="495"/>
      <c r="L49" s="541"/>
      <c r="M49" s="379"/>
      <c r="N49" s="541"/>
      <c r="O49" s="390"/>
    </row>
    <row r="50" spans="1:15" ht="15.75" x14ac:dyDescent="0.3">
      <c r="A50" s="503"/>
      <c r="B50" s="1301" t="s">
        <v>49</v>
      </c>
      <c r="C50" s="542">
        <v>4.0000000000000002E-4</v>
      </c>
      <c r="D50" s="495" t="s">
        <v>1035</v>
      </c>
      <c r="E50" s="503"/>
      <c r="F50" s="495"/>
      <c r="G50" s="495"/>
      <c r="H50" s="495"/>
      <c r="I50" s="544">
        <f>$C50*$E$48*VLOOKUP($B50,'Standard values'!$C$9:$S$162,7, FALSE)/$E$172</f>
        <v>9.0948385881260807E-2</v>
      </c>
      <c r="J50" s="544">
        <f>$C50*$E$48*VLOOKUP($B50,'Standard values'!$C$9:$S$162,8, FALSE)/$E$172</f>
        <v>2.2179717349869472E-4</v>
      </c>
      <c r="K50" s="544">
        <f>$C50*$E$48*VLOOKUP($B50,'Standard values'!$C$9:$S$162,9, FALSE)/$E$172</f>
        <v>4.1201360847942346E-6</v>
      </c>
      <c r="L50" s="516">
        <f>I50*'Standard values'!$D$10+J50*'Standard values'!$D$11+K50*'Standard values'!$D$12</f>
        <v>9.7721115771996853E-2</v>
      </c>
      <c r="M50" s="379"/>
      <c r="N50" s="1201">
        <f>+L50/E$25</f>
        <v>0.76342363627777776</v>
      </c>
      <c r="O50" s="390"/>
    </row>
    <row r="51" spans="1:15" x14ac:dyDescent="0.2">
      <c r="A51" s="590"/>
      <c r="B51" s="495"/>
      <c r="C51" s="492"/>
      <c r="D51" s="495"/>
      <c r="E51" s="503"/>
      <c r="F51" s="495"/>
      <c r="G51" s="495"/>
      <c r="H51" s="495"/>
      <c r="I51" s="495"/>
      <c r="J51" s="495"/>
      <c r="K51" s="495"/>
      <c r="L51" s="541"/>
      <c r="M51" s="379"/>
      <c r="N51" s="1203"/>
      <c r="O51" s="390"/>
    </row>
    <row r="52" spans="1:15" ht="14.25" x14ac:dyDescent="0.25">
      <c r="A52" s="519"/>
      <c r="B52" s="520"/>
      <c r="C52" s="520"/>
      <c r="D52" s="520"/>
      <c r="E52" s="519"/>
      <c r="F52" s="521"/>
      <c r="G52" s="521"/>
      <c r="H52" s="521" t="s">
        <v>534</v>
      </c>
      <c r="I52" s="520"/>
      <c r="J52" s="523" t="s">
        <v>1048</v>
      </c>
      <c r="K52" s="549"/>
      <c r="L52" s="525">
        <f>N50*E$25</f>
        <v>9.7721115771996853E-2</v>
      </c>
      <c r="M52" s="379"/>
      <c r="N52" s="390"/>
      <c r="O52" s="390"/>
    </row>
    <row r="53" spans="1:15" x14ac:dyDescent="0.2">
      <c r="A53" s="390"/>
      <c r="B53" s="390"/>
      <c r="C53" s="390"/>
      <c r="D53" s="390"/>
      <c r="E53" s="390"/>
      <c r="F53" s="376"/>
      <c r="G53" s="376"/>
      <c r="H53" s="376"/>
      <c r="I53" s="390"/>
      <c r="J53" s="550"/>
      <c r="K53" s="551"/>
      <c r="L53" s="552"/>
      <c r="M53" s="379"/>
      <c r="N53" s="390"/>
      <c r="O53" s="390"/>
    </row>
    <row r="54" spans="1:15" x14ac:dyDescent="0.2">
      <c r="A54" s="390"/>
      <c r="B54" s="390"/>
      <c r="C54" s="390"/>
      <c r="D54" s="390"/>
      <c r="E54" s="390"/>
      <c r="F54" s="390"/>
      <c r="G54" s="390"/>
      <c r="H54" s="390"/>
      <c r="I54" s="529"/>
      <c r="J54" s="529"/>
      <c r="K54" s="529"/>
      <c r="L54" s="529"/>
      <c r="M54" s="379"/>
      <c r="N54" s="390"/>
      <c r="O54" s="390"/>
    </row>
    <row r="55" spans="1:15" ht="15.75" x14ac:dyDescent="0.25">
      <c r="A55" s="530" t="s">
        <v>491</v>
      </c>
      <c r="B55" s="531"/>
      <c r="C55" s="531"/>
      <c r="D55" s="531"/>
      <c r="E55" s="530" t="s">
        <v>513</v>
      </c>
      <c r="F55" s="532"/>
      <c r="G55" s="532"/>
      <c r="H55" s="531"/>
      <c r="I55" s="532" t="s">
        <v>532</v>
      </c>
      <c r="J55" s="533"/>
      <c r="K55" s="533"/>
      <c r="L55" s="534"/>
      <c r="M55" s="379"/>
      <c r="N55" s="535" t="s">
        <v>162</v>
      </c>
      <c r="O55" s="390"/>
    </row>
    <row r="56" spans="1:15" ht="15.75" x14ac:dyDescent="0.3">
      <c r="A56" s="503"/>
      <c r="B56" s="511" t="s">
        <v>1034</v>
      </c>
      <c r="C56" s="536">
        <v>0.99009900990099009</v>
      </c>
      <c r="D56" s="495" t="s">
        <v>492</v>
      </c>
      <c r="E56" s="553">
        <f>E47*C56</f>
        <v>75828.542788605351</v>
      </c>
      <c r="F56" s="495" t="s">
        <v>493</v>
      </c>
      <c r="G56" s="495"/>
      <c r="H56" s="495"/>
      <c r="I56" s="492" t="s">
        <v>138</v>
      </c>
      <c r="J56" s="514"/>
      <c r="K56" s="514"/>
      <c r="L56" s="537"/>
      <c r="M56" s="379"/>
      <c r="N56" s="554" t="s">
        <v>163</v>
      </c>
      <c r="O56" s="390"/>
    </row>
    <row r="57" spans="1:15" ht="15.75" x14ac:dyDescent="0.3">
      <c r="A57" s="503"/>
      <c r="B57" s="495"/>
      <c r="C57" s="495"/>
      <c r="D57" s="495"/>
      <c r="E57" s="505">
        <f>E48*C56</f>
        <v>0.99009900990099009</v>
      </c>
      <c r="F57" s="506" t="s">
        <v>53</v>
      </c>
      <c r="G57" s="506"/>
      <c r="H57" s="495"/>
      <c r="I57" s="539" t="s">
        <v>1053</v>
      </c>
      <c r="J57" s="539" t="s">
        <v>1054</v>
      </c>
      <c r="K57" s="539" t="s">
        <v>1055</v>
      </c>
      <c r="L57" s="540" t="s">
        <v>1056</v>
      </c>
      <c r="M57" s="379"/>
      <c r="N57" s="540" t="s">
        <v>1056</v>
      </c>
      <c r="O57" s="390"/>
    </row>
    <row r="58" spans="1:15" x14ac:dyDescent="0.2">
      <c r="A58" s="503"/>
      <c r="B58" s="511" t="s">
        <v>498</v>
      </c>
      <c r="C58" s="495"/>
      <c r="D58" s="495"/>
      <c r="E58" s="505"/>
      <c r="F58" s="506"/>
      <c r="G58" s="506"/>
      <c r="H58" s="495"/>
      <c r="I58" s="539"/>
      <c r="J58" s="539"/>
      <c r="K58" s="539"/>
      <c r="L58" s="540"/>
      <c r="M58" s="379"/>
      <c r="N58" s="541"/>
      <c r="O58" s="390"/>
    </row>
    <row r="59" spans="1:15" ht="15.75" x14ac:dyDescent="0.3">
      <c r="A59" s="503"/>
      <c r="B59" s="495" t="s">
        <v>1111</v>
      </c>
      <c r="C59" s="542">
        <v>50</v>
      </c>
      <c r="D59" s="495" t="s">
        <v>510</v>
      </c>
      <c r="E59" s="543">
        <f>(C59*E57)/(VLOOKUP($B56,'Standard values'!$C$9:$S$162,14, FALSE))/(1-$C$24)/1000</f>
        <v>3.3665386259809252E-3</v>
      </c>
      <c r="F59" s="495" t="s">
        <v>242</v>
      </c>
      <c r="G59" s="495"/>
      <c r="H59" s="495"/>
      <c r="I59" s="544">
        <f>$E59*VLOOKUP($B59,'Standard values'!$C$9:$S$162,15, FALSE)*VLOOKUP(C60,'Standard values'!$C$9:$S$162,7, FALSE)/$E$172</f>
        <v>0.51980943397446866</v>
      </c>
      <c r="J59" s="544">
        <f>$E59*((VLOOKUP($B59,'Standard values'!$C$9:$S$162,15, FALSE)*VLOOKUP(C60,'Standard values'!$C$9:$S$162,8, FALSE))+VLOOKUP($B59,'Standard values'!$C$9:$S$162,16, FALSE))/$E$172</f>
        <v>3.168410544766967E-5</v>
      </c>
      <c r="K59" s="544">
        <f>$E59*((VLOOKUP($B59,'Standard values'!$C$9:$S$162,15, FALSE)*VLOOKUP(C60,'Standard values'!$C$9:$S$162,9, FALSE))+VLOOKUP($B59,'Standard values'!$C$9:$S$162,17, FALSE))/$E$172</f>
        <v>0</v>
      </c>
      <c r="L59" s="516">
        <f>I59*'Standard values'!$D$10+J59*'Standard values'!$D$11+K59*'Standard values'!$D$12</f>
        <v>0.52060153661066044</v>
      </c>
      <c r="M59" s="379"/>
      <c r="N59" s="1201">
        <f>+L59/E$25</f>
        <v>4.0670792079207922</v>
      </c>
      <c r="O59" s="390"/>
    </row>
    <row r="60" spans="1:15" x14ac:dyDescent="0.2">
      <c r="A60" s="503"/>
      <c r="B60" s="546" t="s">
        <v>54</v>
      </c>
      <c r="C60" s="547" t="s">
        <v>509</v>
      </c>
      <c r="D60" s="495"/>
      <c r="E60" s="543"/>
      <c r="F60" s="495"/>
      <c r="G60" s="495"/>
      <c r="H60" s="495"/>
      <c r="I60" s="544"/>
      <c r="J60" s="544"/>
      <c r="K60" s="544"/>
      <c r="L60" s="516"/>
      <c r="M60" s="379"/>
      <c r="N60" s="1203"/>
      <c r="O60" s="390"/>
    </row>
    <row r="61" spans="1:15" x14ac:dyDescent="0.2">
      <c r="A61" s="503"/>
      <c r="B61" s="495"/>
      <c r="C61" s="495"/>
      <c r="D61" s="495"/>
      <c r="E61" s="503"/>
      <c r="F61" s="495"/>
      <c r="G61" s="495"/>
      <c r="H61" s="548"/>
      <c r="I61" s="544"/>
      <c r="J61" s="544"/>
      <c r="K61" s="544"/>
      <c r="L61" s="516"/>
      <c r="M61" s="379"/>
      <c r="N61" s="390"/>
      <c r="O61" s="390"/>
    </row>
    <row r="62" spans="1:15" ht="14.25" x14ac:dyDescent="0.25">
      <c r="A62" s="519"/>
      <c r="B62" s="520"/>
      <c r="C62" s="520"/>
      <c r="D62" s="520"/>
      <c r="E62" s="519"/>
      <c r="F62" s="521"/>
      <c r="G62" s="521"/>
      <c r="H62" s="521" t="s">
        <v>534</v>
      </c>
      <c r="I62" s="520"/>
      <c r="J62" s="523" t="s">
        <v>1048</v>
      </c>
      <c r="K62" s="549"/>
      <c r="L62" s="525">
        <f>N59*E$25</f>
        <v>0.52060153661066044</v>
      </c>
      <c r="M62" s="379"/>
      <c r="N62" s="390"/>
      <c r="O62" s="390"/>
    </row>
    <row r="63" spans="1:15" x14ac:dyDescent="0.2">
      <c r="A63" s="390"/>
      <c r="B63" s="390"/>
      <c r="C63" s="390"/>
      <c r="D63" s="390"/>
      <c r="E63" s="390"/>
      <c r="F63" s="376"/>
      <c r="G63" s="376"/>
      <c r="H63" s="376"/>
      <c r="I63" s="390"/>
      <c r="J63" s="550"/>
      <c r="K63" s="551"/>
      <c r="L63" s="552"/>
      <c r="M63" s="379"/>
      <c r="N63" s="379"/>
      <c r="O63" s="379"/>
    </row>
    <row r="64" spans="1:15" x14ac:dyDescent="0.2">
      <c r="A64" s="390"/>
      <c r="B64" s="390"/>
      <c r="C64" s="390"/>
      <c r="D64" s="390"/>
      <c r="E64" s="390"/>
      <c r="F64" s="390"/>
      <c r="G64" s="390"/>
      <c r="H64" s="390"/>
      <c r="I64" s="390"/>
      <c r="J64" s="390"/>
      <c r="K64" s="390"/>
      <c r="L64" s="375"/>
      <c r="M64" s="379"/>
      <c r="N64" s="379"/>
      <c r="O64" s="379"/>
    </row>
    <row r="65" spans="1:15" ht="15.75" x14ac:dyDescent="0.25">
      <c r="A65" s="530" t="s">
        <v>536</v>
      </c>
      <c r="B65" s="531"/>
      <c r="C65" s="531"/>
      <c r="D65" s="531"/>
      <c r="E65" s="530" t="s">
        <v>513</v>
      </c>
      <c r="F65" s="532"/>
      <c r="G65" s="532"/>
      <c r="H65" s="531"/>
      <c r="I65" s="532" t="s">
        <v>532</v>
      </c>
      <c r="J65" s="533"/>
      <c r="K65" s="533"/>
      <c r="L65" s="534"/>
      <c r="M65" s="379"/>
      <c r="N65" s="535" t="s">
        <v>162</v>
      </c>
      <c r="O65" s="379"/>
    </row>
    <row r="66" spans="1:15" x14ac:dyDescent="0.2">
      <c r="A66" s="503"/>
      <c r="B66" s="511" t="s">
        <v>524</v>
      </c>
      <c r="C66" s="495"/>
      <c r="D66" s="495"/>
      <c r="E66" s="553"/>
      <c r="F66" s="495"/>
      <c r="G66" s="495"/>
      <c r="H66" s="495"/>
      <c r="I66" s="492" t="s">
        <v>138</v>
      </c>
      <c r="J66" s="514"/>
      <c r="K66" s="514"/>
      <c r="L66" s="537"/>
      <c r="M66" s="379"/>
      <c r="N66" s="554" t="s">
        <v>1010</v>
      </c>
      <c r="O66" s="379"/>
    </row>
    <row r="67" spans="1:15" ht="15.75" x14ac:dyDescent="0.3">
      <c r="A67" s="503"/>
      <c r="B67" s="495" t="s">
        <v>499</v>
      </c>
      <c r="C67" s="536">
        <v>0.53657882465020257</v>
      </c>
      <c r="D67" s="495" t="s">
        <v>494</v>
      </c>
      <c r="E67" s="553">
        <f>E56*C67</f>
        <v>40687.990364447454</v>
      </c>
      <c r="F67" s="495" t="s">
        <v>1030</v>
      </c>
      <c r="G67" s="495"/>
      <c r="H67" s="495"/>
      <c r="I67" s="539" t="s">
        <v>1053</v>
      </c>
      <c r="J67" s="539" t="s">
        <v>1054</v>
      </c>
      <c r="K67" s="539" t="s">
        <v>1055</v>
      </c>
      <c r="L67" s="540" t="s">
        <v>1056</v>
      </c>
      <c r="M67" s="379"/>
      <c r="N67" s="540" t="s">
        <v>1056</v>
      </c>
      <c r="O67" s="379"/>
    </row>
    <row r="68" spans="1:15" ht="15.75" x14ac:dyDescent="0.3">
      <c r="A68" s="563"/>
      <c r="B68" s="506" t="s">
        <v>125</v>
      </c>
      <c r="C68" s="728">
        <v>1.1399999999999999</v>
      </c>
      <c r="D68" s="506" t="s">
        <v>489</v>
      </c>
      <c r="E68" s="505">
        <f>E57*C67</f>
        <v>0.53126616302000251</v>
      </c>
      <c r="F68" s="506" t="s">
        <v>53</v>
      </c>
      <c r="G68" s="506"/>
      <c r="H68" s="495"/>
      <c r="I68" s="495"/>
      <c r="J68" s="495"/>
      <c r="K68" s="495"/>
      <c r="L68" s="541"/>
      <c r="M68" s="379"/>
      <c r="N68" s="541"/>
      <c r="O68" s="379"/>
    </row>
    <row r="69" spans="1:15" ht="15.75" x14ac:dyDescent="0.3">
      <c r="A69" s="563"/>
      <c r="B69" s="506"/>
      <c r="C69" s="564"/>
      <c r="D69" s="506"/>
      <c r="E69" s="762">
        <f>E67/$E$171/VLOOKUP($B67,'Standard values'!$C$9:$S$162,14, FALSE)</f>
        <v>3.7299515106303617E-2</v>
      </c>
      <c r="F69" s="495" t="s">
        <v>1009</v>
      </c>
      <c r="G69" s="495"/>
      <c r="H69" s="495"/>
      <c r="I69" s="495"/>
      <c r="J69" s="495"/>
      <c r="K69" s="495"/>
      <c r="L69" s="541"/>
      <c r="M69" s="379"/>
      <c r="N69" s="562"/>
      <c r="O69" s="379"/>
    </row>
    <row r="70" spans="1:15" x14ac:dyDescent="0.2">
      <c r="A70" s="503"/>
      <c r="B70" s="511" t="s">
        <v>525</v>
      </c>
      <c r="C70" s="495"/>
      <c r="D70" s="495"/>
      <c r="E70" s="513"/>
      <c r="F70" s="495"/>
      <c r="G70" s="495"/>
      <c r="H70" s="495"/>
      <c r="I70" s="495"/>
      <c r="J70" s="495"/>
      <c r="K70" s="495"/>
      <c r="L70" s="541"/>
      <c r="M70" s="379"/>
      <c r="N70" s="562"/>
      <c r="O70" s="379"/>
    </row>
    <row r="71" spans="1:15" ht="15.75" x14ac:dyDescent="0.3">
      <c r="A71" s="503"/>
      <c r="B71" s="495" t="s">
        <v>382</v>
      </c>
      <c r="C71" s="536">
        <f>1.4*0.0540842969041402</f>
        <v>7.5718015665796265E-2</v>
      </c>
      <c r="D71" s="495" t="s">
        <v>495</v>
      </c>
      <c r="E71" s="503" t="s">
        <v>750</v>
      </c>
      <c r="F71" s="495"/>
      <c r="G71" s="495"/>
      <c r="H71" s="495"/>
      <c r="I71" s="544"/>
      <c r="J71" s="544"/>
      <c r="K71" s="544"/>
      <c r="L71" s="419"/>
      <c r="M71" s="379"/>
      <c r="N71" s="562"/>
      <c r="O71" s="379"/>
    </row>
    <row r="72" spans="1:15" ht="15.75" x14ac:dyDescent="0.3">
      <c r="A72" s="503"/>
      <c r="B72" s="495" t="s">
        <v>71</v>
      </c>
      <c r="C72" s="536">
        <f>1.4*0.36367027228646</f>
        <v>0.50913838120104393</v>
      </c>
      <c r="D72" s="495" t="s">
        <v>495</v>
      </c>
      <c r="E72" s="503"/>
      <c r="F72" s="495"/>
      <c r="G72" s="495"/>
      <c r="H72" s="495"/>
      <c r="I72" s="544"/>
      <c r="J72" s="544"/>
      <c r="K72" s="544"/>
      <c r="L72" s="419"/>
      <c r="M72" s="379"/>
      <c r="N72" s="562"/>
      <c r="O72" s="379"/>
    </row>
    <row r="73" spans="1:15" x14ac:dyDescent="0.2">
      <c r="A73" s="503"/>
      <c r="B73" s="565" t="s">
        <v>731</v>
      </c>
      <c r="C73" s="566"/>
      <c r="D73" s="566"/>
      <c r="E73" s="567"/>
      <c r="F73" s="568"/>
      <c r="G73" s="568"/>
      <c r="H73" s="568"/>
      <c r="I73" s="569"/>
      <c r="J73" s="568"/>
      <c r="K73" s="568"/>
      <c r="L73" s="570"/>
      <c r="M73" s="379"/>
      <c r="N73" s="562"/>
      <c r="O73" s="379"/>
    </row>
    <row r="74" spans="1:15" x14ac:dyDescent="0.2">
      <c r="A74" s="503"/>
      <c r="B74" s="571" t="s">
        <v>377</v>
      </c>
      <c r="C74" s="566"/>
      <c r="D74" s="566"/>
      <c r="E74" s="567" t="s">
        <v>799</v>
      </c>
      <c r="F74" s="568"/>
      <c r="G74" s="568"/>
      <c r="H74" s="568"/>
      <c r="I74" s="569"/>
      <c r="J74" s="568"/>
      <c r="K74" s="568"/>
      <c r="L74" s="570"/>
      <c r="M74" s="379"/>
      <c r="N74" s="562"/>
      <c r="O74" s="379"/>
    </row>
    <row r="75" spans="1:15" ht="15.75" x14ac:dyDescent="0.3">
      <c r="A75" s="503"/>
      <c r="B75" s="572" t="s">
        <v>380</v>
      </c>
      <c r="C75" s="573">
        <f>C72</f>
        <v>0.50913838120104393</v>
      </c>
      <c r="D75" s="568" t="s">
        <v>495</v>
      </c>
      <c r="E75" s="567" t="s">
        <v>768</v>
      </c>
      <c r="F75" s="568"/>
      <c r="G75" s="568"/>
      <c r="H75" s="568"/>
      <c r="I75" s="574"/>
      <c r="J75" s="574"/>
      <c r="K75" s="574"/>
      <c r="L75" s="575"/>
      <c r="M75" s="379"/>
      <c r="N75" s="562"/>
      <c r="O75" s="379"/>
    </row>
    <row r="76" spans="1:15" x14ac:dyDescent="0.2">
      <c r="A76" s="503"/>
      <c r="B76" s="571" t="s">
        <v>378</v>
      </c>
      <c r="C76" s="573"/>
      <c r="D76" s="566"/>
      <c r="E76" s="576"/>
      <c r="F76" s="568"/>
      <c r="G76" s="568"/>
      <c r="H76" s="568"/>
      <c r="I76" s="574"/>
      <c r="J76" s="574"/>
      <c r="K76" s="574"/>
      <c r="L76" s="575"/>
      <c r="M76" s="379"/>
      <c r="N76" s="562"/>
      <c r="O76" s="379"/>
    </row>
    <row r="77" spans="1:15" ht="14.25" x14ac:dyDescent="0.25">
      <c r="A77" s="503"/>
      <c r="B77" s="577" t="s">
        <v>733</v>
      </c>
      <c r="C77" s="536">
        <v>1.8664000000000001</v>
      </c>
      <c r="D77" s="568" t="s">
        <v>419</v>
      </c>
      <c r="E77" s="578"/>
      <c r="F77" s="568"/>
      <c r="G77" s="568"/>
      <c r="H77" s="568"/>
      <c r="I77" s="574"/>
      <c r="J77" s="574"/>
      <c r="K77" s="574"/>
      <c r="L77" s="575"/>
      <c r="M77" s="379"/>
      <c r="N77" s="562"/>
      <c r="O77" s="379"/>
    </row>
    <row r="78" spans="1:15" ht="15.75" x14ac:dyDescent="0.3">
      <c r="A78" s="503"/>
      <c r="B78" s="572" t="s">
        <v>379</v>
      </c>
      <c r="C78" s="573">
        <f>C77*C72</f>
        <v>0.95025587467362838</v>
      </c>
      <c r="D78" s="568" t="s">
        <v>495</v>
      </c>
      <c r="E78" s="578"/>
      <c r="F78" s="568"/>
      <c r="G78" s="568"/>
      <c r="H78" s="568"/>
      <c r="I78" s="574"/>
      <c r="J78" s="574"/>
      <c r="K78" s="574"/>
      <c r="L78" s="575"/>
      <c r="M78" s="379"/>
      <c r="N78" s="562"/>
      <c r="O78" s="379"/>
    </row>
    <row r="79" spans="1:15" x14ac:dyDescent="0.2">
      <c r="A79" s="503"/>
      <c r="B79" s="571" t="s">
        <v>935</v>
      </c>
      <c r="C79" s="573"/>
      <c r="D79" s="566"/>
      <c r="E79" s="567"/>
      <c r="F79" s="568"/>
      <c r="G79" s="568"/>
      <c r="H79" s="568"/>
      <c r="I79" s="569" t="s">
        <v>532</v>
      </c>
      <c r="J79" s="574"/>
      <c r="K79" s="574"/>
      <c r="L79" s="575"/>
      <c r="M79" s="379"/>
      <c r="N79" s="562"/>
      <c r="O79" s="379"/>
    </row>
    <row r="80" spans="1:15" ht="15.75" x14ac:dyDescent="0.3">
      <c r="A80" s="503"/>
      <c r="B80" s="572" t="s">
        <v>732</v>
      </c>
      <c r="C80" s="573"/>
      <c r="D80" s="566"/>
      <c r="E80" s="567"/>
      <c r="F80" s="568"/>
      <c r="G80" s="568"/>
      <c r="H80" s="568"/>
      <c r="I80" s="574">
        <f>$C72*$E$68*VLOOKUP($B80,'Standard values'!$C$9:$S$159,7, FALSE)/$E$172</f>
        <v>0</v>
      </c>
      <c r="J80" s="574">
        <f>$C72*$E$68*VLOOKUP($B80,'Standard values'!$C$9:$S$159,8, FALSE)/$E$172</f>
        <v>0</v>
      </c>
      <c r="K80" s="574">
        <f>$C72*$E$68*VLOOKUP($B80,'Standard values'!$C$9:$S$159,9, FALSE)/$E$172</f>
        <v>0</v>
      </c>
      <c r="L80" s="575">
        <f>I80*'Standard values'!$D$10+J80*'Standard values'!$D$11+K80*'Standard values'!$D$12</f>
        <v>0</v>
      </c>
      <c r="M80" s="379"/>
      <c r="N80" s="562">
        <f>+L80/$E$69</f>
        <v>0</v>
      </c>
      <c r="O80" s="379"/>
    </row>
    <row r="81" spans="1:15" ht="29.25" customHeight="1" x14ac:dyDescent="0.3">
      <c r="A81" s="503"/>
      <c r="B81" s="579" t="s">
        <v>158</v>
      </c>
      <c r="C81" s="573">
        <f>C77*C72</f>
        <v>0.95025587467362838</v>
      </c>
      <c r="D81" s="568" t="s">
        <v>495</v>
      </c>
      <c r="E81" s="567"/>
      <c r="F81" s="568"/>
      <c r="G81" s="568"/>
      <c r="H81" s="568"/>
      <c r="I81" s="574">
        <f>$C81*$E$68*VLOOKUP($B81,'Standard values'!$C$9:$S$162,7, FALSE)/$E$172</f>
        <v>59.831910892950333</v>
      </c>
      <c r="J81" s="574">
        <f>$C81*$E$68*VLOOKUP($B81,'Standard values'!$C$9:$S$162,8, FALSE)/$E$172</f>
        <v>0.18828264316797197</v>
      </c>
      <c r="K81" s="574">
        <f>$C81*$E$68*VLOOKUP($B81,'Standard values'!$C$9:$S$162,9, FALSE)/$E$172</f>
        <v>2.111679721496952E-4</v>
      </c>
      <c r="L81" s="575">
        <f>I81*'Standard values'!$D$10+J81*'Standard values'!$D$11+K81*'Standard values'!$D$12</f>
        <v>64.601905027850236</v>
      </c>
      <c r="M81" s="379"/>
      <c r="N81" s="562">
        <f>+L81/$E$69</f>
        <v>1731.9770737966649</v>
      </c>
      <c r="O81" s="379"/>
    </row>
    <row r="82" spans="1:15" ht="13.5" customHeight="1" x14ac:dyDescent="0.2">
      <c r="A82" s="503"/>
      <c r="B82" s="580" t="s">
        <v>801</v>
      </c>
      <c r="C82" s="573"/>
      <c r="D82" s="568"/>
      <c r="E82" s="567"/>
      <c r="F82" s="568"/>
      <c r="G82" s="568"/>
      <c r="H82" s="568"/>
      <c r="I82" s="574"/>
      <c r="J82" s="574"/>
      <c r="K82" s="574"/>
      <c r="L82" s="575"/>
      <c r="M82" s="379"/>
      <c r="N82" s="562"/>
      <c r="O82" s="379"/>
    </row>
    <row r="83" spans="1:15" ht="14.25" x14ac:dyDescent="0.25">
      <c r="A83" s="503"/>
      <c r="B83" s="577" t="s">
        <v>348</v>
      </c>
      <c r="C83" s="536">
        <v>0.66149999999999998</v>
      </c>
      <c r="D83" s="568" t="s">
        <v>419</v>
      </c>
      <c r="E83" s="567"/>
      <c r="F83" s="568"/>
      <c r="G83" s="568"/>
      <c r="H83" s="568"/>
      <c r="I83" s="574"/>
      <c r="J83" s="581"/>
      <c r="K83" s="581"/>
      <c r="L83" s="575"/>
      <c r="M83" s="379"/>
      <c r="N83" s="562"/>
      <c r="O83" s="379"/>
    </row>
    <row r="84" spans="1:15" ht="15.75" x14ac:dyDescent="0.3">
      <c r="A84" s="503"/>
      <c r="B84" s="577" t="s">
        <v>454</v>
      </c>
      <c r="C84" s="573">
        <f>C83*C72</f>
        <v>0.33679503916449055</v>
      </c>
      <c r="D84" s="568" t="s">
        <v>495</v>
      </c>
      <c r="E84" s="567" t="s">
        <v>381</v>
      </c>
      <c r="F84" s="568"/>
      <c r="G84" s="568"/>
      <c r="H84" s="568"/>
      <c r="I84" s="574"/>
      <c r="J84" s="581"/>
      <c r="K84" s="581"/>
      <c r="L84" s="575"/>
      <c r="M84" s="379"/>
      <c r="N84" s="562"/>
      <c r="O84" s="379"/>
    </row>
    <row r="85" spans="1:15" ht="27" x14ac:dyDescent="0.3">
      <c r="A85" s="503"/>
      <c r="B85" s="579" t="s">
        <v>347</v>
      </c>
      <c r="C85" s="573">
        <f>C71-C84</f>
        <v>-0.26107702349869427</v>
      </c>
      <c r="D85" s="568" t="s">
        <v>495</v>
      </c>
      <c r="E85" s="567"/>
      <c r="F85" s="568"/>
      <c r="G85" s="568"/>
      <c r="H85" s="568"/>
      <c r="I85" s="574"/>
      <c r="J85" s="581"/>
      <c r="K85" s="581"/>
      <c r="L85" s="575"/>
      <c r="M85" s="379"/>
      <c r="N85" s="562"/>
      <c r="O85" s="379"/>
    </row>
    <row r="86" spans="1:15" ht="15.75" x14ac:dyDescent="0.3">
      <c r="A86" s="503"/>
      <c r="B86" s="577" t="str">
        <f>IF(C85&gt;0, "Specify national electricity mix", "Electricity credit (NG CCGT)")</f>
        <v>Electricity credit (NG CCGT)</v>
      </c>
      <c r="C86" s="573">
        <f>ABS(C71-C84)</f>
        <v>0.26107702349869427</v>
      </c>
      <c r="D86" s="568" t="s">
        <v>495</v>
      </c>
      <c r="E86" s="567" t="str">
        <f>IF(C85&gt;0, "Electricity use in ethanol plant larger than generation", "Surplus electricity. Credit is calculated following")</f>
        <v>Surplus electricity. Credit is calculated following</v>
      </c>
      <c r="F86" s="568"/>
      <c r="G86" s="568"/>
      <c r="H86" s="568"/>
      <c r="I86" s="574">
        <f>$C86*$E$68*VLOOKUP($B86,'Standard values'!$C$9:$S$162,7, FALSE)/$E$172</f>
        <v>-29.888097650130522</v>
      </c>
      <c r="J86" s="574">
        <f>$C86*$E$68*VLOOKUP($B86,'Standard values'!$C$9:$S$162,8, FALSE)/$E$172</f>
        <v>-9.6046544946857632E-2</v>
      </c>
      <c r="K86" s="574">
        <f>$C86*$E$68*VLOOKUP($B86,'Standard values'!$C$9:$S$162,9, FALSE)/$E$172</f>
        <v>-1.301363476474931E-3</v>
      </c>
      <c r="L86" s="575">
        <f>I86*'Standard values'!$D$10+J86*'Standard values'!$D$11+K86*'Standard values'!$D$12</f>
        <v>-32.677067589791491</v>
      </c>
      <c r="M86" s="379"/>
      <c r="N86" s="562">
        <f>+L86/$E$69</f>
        <v>-876.07218208230995</v>
      </c>
      <c r="O86" s="379"/>
    </row>
    <row r="87" spans="1:15" x14ac:dyDescent="0.2">
      <c r="A87" s="503"/>
      <c r="B87" s="582"/>
      <c r="C87" s="573"/>
      <c r="D87" s="568"/>
      <c r="E87" s="567" t="str">
        <f>IF(C85&gt;0, "   in NG CHP. Therefore calculated as national electricity mix", "   RED Annex V.C.16")</f>
        <v xml:space="preserve">   RED Annex V.C.16</v>
      </c>
      <c r="F87" s="568"/>
      <c r="G87" s="568"/>
      <c r="H87" s="568"/>
      <c r="I87" s="574"/>
      <c r="J87" s="574"/>
      <c r="K87" s="574"/>
      <c r="L87" s="575"/>
      <c r="M87" s="379"/>
      <c r="N87" s="562"/>
      <c r="O87" s="379"/>
    </row>
    <row r="88" spans="1:15" x14ac:dyDescent="0.2">
      <c r="A88" s="503"/>
      <c r="B88" s="511"/>
      <c r="C88" s="495"/>
      <c r="D88" s="495"/>
      <c r="E88" s="503"/>
      <c r="F88" s="495"/>
      <c r="G88" s="495"/>
      <c r="H88" s="514" t="s">
        <v>1047</v>
      </c>
      <c r="I88" s="583">
        <f>SUM(I71:I86)</f>
        <v>29.943813242819811</v>
      </c>
      <c r="J88" s="583">
        <f>SUM(J71:J86)</f>
        <v>9.2236098221114338E-2</v>
      </c>
      <c r="K88" s="583">
        <f>SUM(K71:K86)</f>
        <v>-1.0901955043252358E-3</v>
      </c>
      <c r="L88" s="516">
        <f>I88*'Standard values'!$D$10+J88*'Standard values'!$D$11+K88*'Standard values'!$D$12</f>
        <v>31.924837438058752</v>
      </c>
      <c r="M88" s="379"/>
      <c r="N88" s="545">
        <f>+L88/$E$69</f>
        <v>855.90489171435513</v>
      </c>
      <c r="O88" s="379"/>
    </row>
    <row r="89" spans="1:15" x14ac:dyDescent="0.2">
      <c r="A89" s="503"/>
      <c r="B89" s="511"/>
      <c r="C89" s="495"/>
      <c r="D89" s="495"/>
      <c r="E89" s="503"/>
      <c r="F89" s="495"/>
      <c r="G89" s="495"/>
      <c r="H89" s="514"/>
      <c r="I89" s="583"/>
      <c r="J89" s="583"/>
      <c r="K89" s="583"/>
      <c r="L89" s="516"/>
      <c r="M89" s="379"/>
      <c r="N89" s="390"/>
      <c r="O89" s="379"/>
    </row>
    <row r="90" spans="1:15" ht="14.25" x14ac:dyDescent="0.25">
      <c r="A90" s="519"/>
      <c r="B90" s="520"/>
      <c r="C90" s="520"/>
      <c r="D90" s="520"/>
      <c r="E90" s="519"/>
      <c r="F90" s="521"/>
      <c r="G90" s="521"/>
      <c r="H90" s="521" t="s">
        <v>534</v>
      </c>
      <c r="I90" s="520"/>
      <c r="J90" s="523" t="s">
        <v>1048</v>
      </c>
      <c r="K90" s="549"/>
      <c r="L90" s="525">
        <f>L88</f>
        <v>31.924837438058752</v>
      </c>
      <c r="M90" s="379"/>
      <c r="N90" s="390"/>
      <c r="O90" s="379"/>
    </row>
    <row r="91" spans="1:15" x14ac:dyDescent="0.2">
      <c r="A91" s="390"/>
      <c r="B91" s="390"/>
      <c r="C91" s="390"/>
      <c r="D91" s="390"/>
      <c r="E91" s="390"/>
      <c r="F91" s="376"/>
      <c r="G91" s="376"/>
      <c r="H91" s="376"/>
      <c r="I91" s="390"/>
      <c r="J91" s="550"/>
      <c r="K91" s="551"/>
      <c r="L91" s="585"/>
      <c r="M91" s="379"/>
      <c r="N91" s="390"/>
      <c r="O91" s="390"/>
    </row>
    <row r="92" spans="1:15" x14ac:dyDescent="0.2">
      <c r="A92" s="390"/>
      <c r="B92" s="390"/>
      <c r="C92" s="390"/>
      <c r="D92" s="390"/>
      <c r="E92" s="390"/>
      <c r="F92" s="376"/>
      <c r="G92" s="376"/>
      <c r="H92" s="376"/>
      <c r="I92" s="390"/>
      <c r="J92" s="550"/>
      <c r="K92" s="551"/>
      <c r="L92" s="585"/>
      <c r="M92" s="379"/>
      <c r="N92" s="390"/>
      <c r="O92" s="390"/>
    </row>
    <row r="93" spans="1:15" ht="15.75" x14ac:dyDescent="0.25">
      <c r="A93" s="530" t="s">
        <v>1057</v>
      </c>
      <c r="B93" s="531"/>
      <c r="C93" s="531"/>
      <c r="D93" s="531"/>
      <c r="E93" s="608" t="s">
        <v>526</v>
      </c>
      <c r="F93" s="606"/>
      <c r="G93" s="606"/>
      <c r="H93" s="606"/>
      <c r="I93" s="607"/>
      <c r="J93" s="608" t="s">
        <v>1048</v>
      </c>
      <c r="K93" s="607"/>
      <c r="L93" s="609">
        <f>L43+L52+L62+L90</f>
        <v>71.910651797948702</v>
      </c>
      <c r="M93" s="379"/>
      <c r="N93" s="535" t="s">
        <v>162</v>
      </c>
      <c r="O93" s="390"/>
    </row>
    <row r="94" spans="1:15" ht="15.75" x14ac:dyDescent="0.25">
      <c r="A94" s="610" t="s">
        <v>937</v>
      </c>
      <c r="B94" s="611"/>
      <c r="C94" s="611"/>
      <c r="D94" s="611"/>
      <c r="E94" s="613"/>
      <c r="F94" s="613"/>
      <c r="G94" s="613"/>
      <c r="H94" s="613"/>
      <c r="I94" s="613"/>
      <c r="J94" s="613"/>
      <c r="K94" s="613"/>
      <c r="L94" s="614"/>
      <c r="M94" s="379"/>
      <c r="N94" s="554" t="s">
        <v>1010</v>
      </c>
      <c r="O94" s="390"/>
    </row>
    <row r="95" spans="1:15" ht="15.75" x14ac:dyDescent="0.3">
      <c r="A95" s="567"/>
      <c r="B95" s="568"/>
      <c r="C95" s="568"/>
      <c r="D95" s="683"/>
      <c r="E95" s="683"/>
      <c r="F95" s="683"/>
      <c r="G95" s="683"/>
      <c r="H95" s="683" t="s">
        <v>667</v>
      </c>
      <c r="I95" s="684">
        <f>L93</f>
        <v>71.910651797948702</v>
      </c>
      <c r="J95" s="568" t="s">
        <v>137</v>
      </c>
      <c r="K95" s="568"/>
      <c r="L95" s="685"/>
      <c r="M95" s="379"/>
      <c r="N95" s="540" t="s">
        <v>1056</v>
      </c>
      <c r="O95" s="390"/>
    </row>
    <row r="96" spans="1:15" ht="15.75" x14ac:dyDescent="0.3">
      <c r="A96" s="567"/>
      <c r="B96" s="568" t="s">
        <v>51</v>
      </c>
      <c r="C96" s="568" t="s">
        <v>499</v>
      </c>
      <c r="D96" s="568"/>
      <c r="E96" s="683" t="s">
        <v>118</v>
      </c>
      <c r="F96" s="747">
        <f>1*1000*VLOOKUP($C96,'Standard values'!$C$9:$S$162,14, FALSE)</f>
        <v>26810</v>
      </c>
      <c r="G96" s="747"/>
      <c r="H96" s="568" t="s">
        <v>501</v>
      </c>
      <c r="I96" s="574">
        <f>$I$95*F96/F$98</f>
        <v>42.795218084417421</v>
      </c>
      <c r="J96" s="568" t="s">
        <v>137</v>
      </c>
      <c r="K96" s="568"/>
      <c r="L96" s="685"/>
      <c r="M96" s="379"/>
      <c r="N96" s="541"/>
      <c r="O96" s="390"/>
    </row>
    <row r="97" spans="1:15" ht="15.75" x14ac:dyDescent="0.3">
      <c r="A97" s="567"/>
      <c r="B97" s="568" t="s">
        <v>123</v>
      </c>
      <c r="C97" s="568" t="s">
        <v>121</v>
      </c>
      <c r="D97" s="568"/>
      <c r="E97" s="683" t="s">
        <v>119</v>
      </c>
      <c r="F97" s="747">
        <f>C68*1000*VLOOKUP($C97,'Standard values'!$C$9:$S$162,14, FALSE)</f>
        <v>18240</v>
      </c>
      <c r="G97" s="747"/>
      <c r="H97" s="568" t="s">
        <v>501</v>
      </c>
      <c r="I97" s="574">
        <f>$I$95*F97/F$98</f>
        <v>29.115433713531285</v>
      </c>
      <c r="J97" s="568" t="s">
        <v>137</v>
      </c>
      <c r="K97" s="568"/>
      <c r="L97" s="685"/>
      <c r="M97" s="379"/>
      <c r="N97" s="562"/>
      <c r="O97" s="390"/>
    </row>
    <row r="98" spans="1:15" x14ac:dyDescent="0.2">
      <c r="A98" s="567"/>
      <c r="B98" s="568"/>
      <c r="C98" s="568"/>
      <c r="D98" s="568"/>
      <c r="E98" s="568" t="s">
        <v>533</v>
      </c>
      <c r="F98" s="747">
        <f>SUM(F96:F97)</f>
        <v>45050</v>
      </c>
      <c r="G98" s="747"/>
      <c r="H98" s="568" t="s">
        <v>501</v>
      </c>
      <c r="I98" s="568"/>
      <c r="J98" s="568"/>
      <c r="K98" s="568"/>
      <c r="L98" s="685"/>
      <c r="M98" s="379"/>
      <c r="N98" s="562"/>
      <c r="O98" s="390"/>
    </row>
    <row r="99" spans="1:15" ht="14.25" x14ac:dyDescent="0.25">
      <c r="A99" s="519"/>
      <c r="B99" s="520"/>
      <c r="C99" s="520"/>
      <c r="D99" s="520"/>
      <c r="E99" s="523" t="s">
        <v>1058</v>
      </c>
      <c r="F99" s="521"/>
      <c r="G99" s="521"/>
      <c r="H99" s="687"/>
      <c r="I99" s="520"/>
      <c r="J99" s="523" t="s">
        <v>1048</v>
      </c>
      <c r="K99" s="687"/>
      <c r="L99" s="525">
        <f>I96</f>
        <v>42.795218084417421</v>
      </c>
      <c r="M99" s="379"/>
      <c r="N99" s="545">
        <f>+L99/$E$69</f>
        <v>1147.3397968432312</v>
      </c>
      <c r="O99" s="379"/>
    </row>
    <row r="100" spans="1:15" x14ac:dyDescent="0.2">
      <c r="A100" s="390"/>
      <c r="B100" s="390"/>
      <c r="C100" s="390"/>
      <c r="D100" s="379"/>
      <c r="E100" s="379"/>
      <c r="F100" s="551"/>
      <c r="G100" s="551"/>
      <c r="H100" s="437"/>
      <c r="I100" s="378"/>
      <c r="J100" s="379"/>
      <c r="K100" s="379"/>
      <c r="L100" s="586"/>
      <c r="M100" s="379"/>
      <c r="N100" s="379"/>
      <c r="O100" s="379"/>
    </row>
    <row r="101" spans="1:15" x14ac:dyDescent="0.2">
      <c r="A101" s="375"/>
      <c r="B101" s="585"/>
      <c r="C101" s="386"/>
      <c r="D101" s="390"/>
      <c r="E101" s="379"/>
      <c r="F101" s="379"/>
      <c r="G101" s="379"/>
      <c r="H101" s="379"/>
      <c r="I101" s="379"/>
      <c r="J101" s="591"/>
      <c r="K101" s="379"/>
      <c r="L101" s="379"/>
      <c r="M101" s="379"/>
      <c r="N101" s="379"/>
      <c r="O101" s="379"/>
    </row>
    <row r="102" spans="1:15" ht="15.75" x14ac:dyDescent="0.25">
      <c r="A102" s="530" t="s">
        <v>809</v>
      </c>
      <c r="B102" s="532"/>
      <c r="C102" s="531"/>
      <c r="D102" s="531"/>
      <c r="E102" s="530" t="s">
        <v>513</v>
      </c>
      <c r="F102" s="532"/>
      <c r="G102" s="532"/>
      <c r="H102" s="531"/>
      <c r="I102" s="532" t="s">
        <v>532</v>
      </c>
      <c r="J102" s="533"/>
      <c r="K102" s="533"/>
      <c r="L102" s="534"/>
      <c r="M102" s="379"/>
      <c r="N102" s="535" t="s">
        <v>162</v>
      </c>
      <c r="O102" s="379"/>
    </row>
    <row r="103" spans="1:15" ht="15.75" x14ac:dyDescent="0.3">
      <c r="A103" s="503"/>
      <c r="B103" s="511" t="s">
        <v>499</v>
      </c>
      <c r="C103" s="593">
        <v>1</v>
      </c>
      <c r="D103" s="495" t="s">
        <v>497</v>
      </c>
      <c r="E103" s="513">
        <f>E67*C103</f>
        <v>40687.990364447454</v>
      </c>
      <c r="F103" s="495" t="s">
        <v>1030</v>
      </c>
      <c r="G103" s="495"/>
      <c r="H103" s="594"/>
      <c r="I103" s="492" t="s">
        <v>138</v>
      </c>
      <c r="J103" s="514"/>
      <c r="K103" s="514"/>
      <c r="L103" s="537"/>
      <c r="M103" s="379"/>
      <c r="N103" s="554" t="s">
        <v>1010</v>
      </c>
      <c r="O103" s="379"/>
    </row>
    <row r="104" spans="1:15" ht="15.75" x14ac:dyDescent="0.3">
      <c r="A104" s="503"/>
      <c r="B104" s="495"/>
      <c r="C104" s="495"/>
      <c r="D104" s="495"/>
      <c r="E104" s="505">
        <f>E68*C103</f>
        <v>0.53126616302000251</v>
      </c>
      <c r="F104" s="506" t="s">
        <v>53</v>
      </c>
      <c r="G104" s="506"/>
      <c r="H104" s="594"/>
      <c r="I104" s="539" t="s">
        <v>1053</v>
      </c>
      <c r="J104" s="539" t="s">
        <v>1054</v>
      </c>
      <c r="K104" s="539" t="s">
        <v>1055</v>
      </c>
      <c r="L104" s="540" t="s">
        <v>1056</v>
      </c>
      <c r="M104" s="379"/>
      <c r="N104" s="501" t="s">
        <v>1056</v>
      </c>
      <c r="O104" s="379"/>
    </row>
    <row r="105" spans="1:15" x14ac:dyDescent="0.2">
      <c r="A105" s="503"/>
      <c r="B105" s="511" t="s">
        <v>498</v>
      </c>
      <c r="C105" s="495"/>
      <c r="D105" s="495"/>
      <c r="E105" s="513"/>
      <c r="F105" s="495"/>
      <c r="G105" s="495"/>
      <c r="H105" s="495"/>
      <c r="I105" s="495"/>
      <c r="J105" s="495"/>
      <c r="K105" s="495"/>
      <c r="L105" s="541"/>
      <c r="M105" s="379"/>
      <c r="N105" s="541"/>
      <c r="O105" s="379"/>
    </row>
    <row r="106" spans="1:15" ht="15.75" x14ac:dyDescent="0.3">
      <c r="A106" s="503"/>
      <c r="B106" s="495" t="s">
        <v>159</v>
      </c>
      <c r="C106" s="595">
        <v>150</v>
      </c>
      <c r="D106" s="495" t="s">
        <v>510</v>
      </c>
      <c r="E106" s="543">
        <f>(C106*E104/VLOOKUP($B103,'Standard values'!$C$9:$S$162,14, FALSE))/1000</f>
        <v>2.9723955409548817E-3</v>
      </c>
      <c r="F106" s="495" t="s">
        <v>242</v>
      </c>
      <c r="G106" s="495"/>
      <c r="H106" s="495"/>
      <c r="I106" s="544">
        <f>$E106*VLOOKUP($B106,'Standard values'!$C$9:$S$162,15, FALSE)*VLOOKUP(C107,'Standard values'!$C$9:$S$162,7, FALSE)/$E$172</f>
        <v>0.49425587467362919</v>
      </c>
      <c r="J106" s="544">
        <f>$E106*((VLOOKUP($B106,'Standard values'!$C$9:$S$162,15, FALSE)*VLOOKUP(C107,'Standard values'!$C$9:$S$162,8, FALSE))+VLOOKUP($B106,'Standard values'!$C$9:$S$162,16, FALSE))/$E$172</f>
        <v>2.7974636329727714E-5</v>
      </c>
      <c r="K106" s="544">
        <f>$E106*((VLOOKUP($B106,'Standard values'!$C$9:$S$162,15, FALSE)*VLOOKUP(C107,'Standard values'!$C$9:$S$162,9, FALSE))+VLOOKUP($B106,'Standard values'!$C$9:$S$162,17, FALSE))/$E$172</f>
        <v>0</v>
      </c>
      <c r="L106" s="516">
        <f>I106*'Standard values'!$D$10+J106*'Standard values'!$D$11+K106*'Standard values'!$D$12</f>
        <v>0.4949552405818724</v>
      </c>
      <c r="M106" s="379"/>
      <c r="N106" s="562">
        <f>+L106/E$69</f>
        <v>13.26975</v>
      </c>
      <c r="O106" s="379"/>
    </row>
    <row r="107" spans="1:15" x14ac:dyDescent="0.2">
      <c r="A107" s="503"/>
      <c r="B107" s="546" t="s">
        <v>54</v>
      </c>
      <c r="C107" s="673" t="s">
        <v>509</v>
      </c>
      <c r="D107" s="495"/>
      <c r="E107" s="503"/>
      <c r="F107" s="495"/>
      <c r="G107" s="495"/>
      <c r="H107" s="495"/>
      <c r="I107" s="544"/>
      <c r="J107" s="544"/>
      <c r="K107" s="544"/>
      <c r="L107" s="516"/>
      <c r="M107" s="379"/>
      <c r="N107" s="562"/>
      <c r="O107" s="379"/>
    </row>
    <row r="108" spans="1:15" x14ac:dyDescent="0.2">
      <c r="A108" s="503"/>
      <c r="B108" s="495"/>
      <c r="C108" s="668"/>
      <c r="D108" s="495"/>
      <c r="E108" s="543"/>
      <c r="F108" s="495"/>
      <c r="G108" s="495"/>
      <c r="H108" s="495"/>
      <c r="I108" s="544"/>
      <c r="J108" s="544"/>
      <c r="K108" s="544"/>
      <c r="L108" s="516"/>
      <c r="M108" s="379"/>
      <c r="N108" s="562"/>
      <c r="O108" s="379"/>
    </row>
    <row r="109" spans="1:15" x14ac:dyDescent="0.2">
      <c r="A109" s="503"/>
      <c r="B109" s="511" t="s">
        <v>444</v>
      </c>
      <c r="C109" s="495"/>
      <c r="D109" s="495"/>
      <c r="E109" s="503"/>
      <c r="F109" s="495"/>
      <c r="G109" s="495"/>
      <c r="H109" s="495"/>
      <c r="I109" s="544"/>
      <c r="J109" s="544"/>
      <c r="K109" s="544"/>
      <c r="L109" s="584"/>
      <c r="M109" s="379"/>
      <c r="N109" s="562"/>
      <c r="O109" s="379"/>
    </row>
    <row r="110" spans="1:15" ht="15.75" x14ac:dyDescent="0.3">
      <c r="A110" s="590"/>
      <c r="B110" s="1301" t="s">
        <v>49</v>
      </c>
      <c r="C110" s="542">
        <v>8.4000000000000003E-4</v>
      </c>
      <c r="D110" s="495" t="s">
        <v>495</v>
      </c>
      <c r="E110" s="503"/>
      <c r="F110" s="495"/>
      <c r="G110" s="495"/>
      <c r="H110" s="495"/>
      <c r="I110" s="544">
        <f>$C110*$E$104*VLOOKUP($B110,'Standard values'!$C$9:$S$162,7, FALSE)/$E$172</f>
        <v>0.10146738000000001</v>
      </c>
      <c r="J110" s="544">
        <f>$C110*$E$104*VLOOKUP($B110,'Standard values'!$C$9:$S$162,8, FALSE)/$E$172</f>
        <v>2.4744999999999997E-4</v>
      </c>
      <c r="K110" s="544">
        <f>$C110*$E$104*VLOOKUP($B110,'Standard values'!$C$9:$S$162,9, FALSE)/$E$172</f>
        <v>4.5966666666666661E-6</v>
      </c>
      <c r="L110" s="516">
        <f>I110*'Standard values'!$D$10+J110*'Standard values'!$D$11+K110*'Standard values'!$D$12</f>
        <v>0.10902343666666668</v>
      </c>
      <c r="M110" s="379"/>
      <c r="N110" s="562">
        <f>+L110/E$69</f>
        <v>2.9229183370333338</v>
      </c>
      <c r="O110" s="379"/>
    </row>
    <row r="111" spans="1:15" ht="14.25" x14ac:dyDescent="0.25">
      <c r="A111" s="519"/>
      <c r="B111" s="520"/>
      <c r="C111" s="520"/>
      <c r="D111" s="520"/>
      <c r="E111" s="519"/>
      <c r="F111" s="521"/>
      <c r="G111" s="521"/>
      <c r="H111" s="521" t="s">
        <v>534</v>
      </c>
      <c r="I111" s="520"/>
      <c r="J111" s="523" t="s">
        <v>1048</v>
      </c>
      <c r="K111" s="549"/>
      <c r="L111" s="525">
        <f>L110+L106</f>
        <v>0.60397867724853904</v>
      </c>
      <c r="M111" s="379"/>
      <c r="N111" s="545">
        <f>+L111/E$69</f>
        <v>16.192668337033332</v>
      </c>
      <c r="O111" s="379"/>
    </row>
    <row r="112" spans="1:15" x14ac:dyDescent="0.2">
      <c r="A112" s="390"/>
      <c r="B112" s="390"/>
      <c r="C112" s="390"/>
      <c r="D112" s="390"/>
      <c r="E112" s="390"/>
      <c r="F112" s="376"/>
      <c r="G112" s="376"/>
      <c r="H112" s="376"/>
      <c r="I112" s="390"/>
      <c r="J112" s="550"/>
      <c r="K112" s="551"/>
      <c r="L112" s="552"/>
      <c r="M112" s="379"/>
      <c r="N112" s="390"/>
      <c r="O112" s="379"/>
    </row>
    <row r="113" spans="1:15" x14ac:dyDescent="0.2">
      <c r="A113" s="390"/>
      <c r="B113" s="390"/>
      <c r="C113" s="390"/>
      <c r="D113" s="390"/>
      <c r="E113" s="390"/>
      <c r="F113" s="376"/>
      <c r="G113" s="376"/>
      <c r="H113" s="376"/>
      <c r="I113" s="390"/>
      <c r="J113" s="550"/>
      <c r="K113" s="551"/>
      <c r="L113" s="552"/>
      <c r="M113" s="379"/>
      <c r="N113" s="379"/>
      <c r="O113" s="379"/>
    </row>
    <row r="114" spans="1:15" ht="15.75" x14ac:dyDescent="0.25">
      <c r="A114" s="530" t="s">
        <v>810</v>
      </c>
      <c r="B114" s="531"/>
      <c r="C114" s="531"/>
      <c r="D114" s="531"/>
      <c r="E114" s="530" t="s">
        <v>513</v>
      </c>
      <c r="F114" s="531"/>
      <c r="G114" s="531"/>
      <c r="H114" s="531"/>
      <c r="I114" s="531"/>
      <c r="J114" s="531"/>
      <c r="K114" s="531"/>
      <c r="L114" s="596"/>
      <c r="M114" s="379"/>
      <c r="N114" s="535" t="s">
        <v>162</v>
      </c>
      <c r="O114" s="379"/>
    </row>
    <row r="115" spans="1:15" ht="15.75" x14ac:dyDescent="0.3">
      <c r="A115" s="503"/>
      <c r="B115" s="511" t="s">
        <v>499</v>
      </c>
      <c r="C115" s="593">
        <v>1</v>
      </c>
      <c r="D115" s="495" t="s">
        <v>497</v>
      </c>
      <c r="E115" s="513">
        <f>E103*C115</f>
        <v>40687.990364447454</v>
      </c>
      <c r="F115" s="495" t="s">
        <v>1030</v>
      </c>
      <c r="G115" s="495"/>
      <c r="H115" s="495"/>
      <c r="I115" s="492" t="s">
        <v>138</v>
      </c>
      <c r="J115" s="514"/>
      <c r="K115" s="514"/>
      <c r="L115" s="537"/>
      <c r="M115" s="379"/>
      <c r="N115" s="554" t="s">
        <v>1010</v>
      </c>
      <c r="O115" s="379"/>
    </row>
    <row r="116" spans="1:15" ht="15.75" x14ac:dyDescent="0.3">
      <c r="A116" s="503"/>
      <c r="B116" s="495"/>
      <c r="C116" s="495"/>
      <c r="D116" s="495"/>
      <c r="E116" s="505">
        <f>E104*C115</f>
        <v>0.53126616302000251</v>
      </c>
      <c r="F116" s="506" t="s">
        <v>53</v>
      </c>
      <c r="G116" s="506"/>
      <c r="H116" s="495"/>
      <c r="I116" s="539" t="s">
        <v>1053</v>
      </c>
      <c r="J116" s="539" t="s">
        <v>1054</v>
      </c>
      <c r="K116" s="539" t="s">
        <v>1055</v>
      </c>
      <c r="L116" s="540" t="s">
        <v>1056</v>
      </c>
      <c r="M116" s="379"/>
      <c r="N116" s="540" t="s">
        <v>1056</v>
      </c>
      <c r="O116" s="379"/>
    </row>
    <row r="117" spans="1:15" x14ac:dyDescent="0.2">
      <c r="A117" s="503"/>
      <c r="B117" s="511" t="s">
        <v>498</v>
      </c>
      <c r="C117" s="495"/>
      <c r="D117" s="495"/>
      <c r="E117" s="513"/>
      <c r="F117" s="495"/>
      <c r="G117" s="495"/>
      <c r="H117" s="495"/>
      <c r="I117" s="495"/>
      <c r="J117" s="495"/>
      <c r="K117" s="495"/>
      <c r="L117" s="541"/>
      <c r="M117" s="379"/>
      <c r="N117" s="541"/>
      <c r="O117" s="379"/>
    </row>
    <row r="118" spans="1:15" ht="15.75" x14ac:dyDescent="0.3">
      <c r="A118" s="503"/>
      <c r="B118" s="495" t="s">
        <v>159</v>
      </c>
      <c r="C118" s="595">
        <v>150</v>
      </c>
      <c r="D118" s="495" t="s">
        <v>510</v>
      </c>
      <c r="E118" s="543">
        <f>(C118*E116/VLOOKUP($B115,'Standard values'!$C$9:$S$162,14, FALSE))/1000</f>
        <v>2.9723955409548817E-3</v>
      </c>
      <c r="F118" s="495" t="s">
        <v>242</v>
      </c>
      <c r="G118" s="495"/>
      <c r="H118" s="495"/>
      <c r="I118" s="544">
        <f>$E118*VLOOKUP($B118,'Standard values'!$C$9:$S$162,15, FALSE)*VLOOKUP(C119,'Standard values'!$C$9:$S$162,7, FALSE)/$E$172</f>
        <v>0.49425587467362919</v>
      </c>
      <c r="J118" s="544">
        <f>$E118*((VLOOKUP($B118,'Standard values'!$C$9:$S$162,15, FALSE)*VLOOKUP(C119,'Standard values'!$C$9:$S$162,8, FALSE))+VLOOKUP($B118,'Standard values'!$C$9:$S$162,16, FALSE))/$E$172</f>
        <v>2.7974636329727714E-5</v>
      </c>
      <c r="K118" s="544">
        <f>$E118*((VLOOKUP($B118,'Standard values'!$C$9:$S$162,15, FALSE)*VLOOKUP(C119,'Standard values'!$C$9:$S$162,9, FALSE))+VLOOKUP($B118,'Standard values'!$C$9:$S$162,17, FALSE))/$E$172</f>
        <v>0</v>
      </c>
      <c r="L118" s="516">
        <f>I118*'Standard values'!$D$10+J118*'Standard values'!$D$11+K118*'Standard values'!$D$12</f>
        <v>0.4949552405818724</v>
      </c>
      <c r="M118" s="379"/>
      <c r="N118" s="562">
        <f>+L118/E$69</f>
        <v>13.26975</v>
      </c>
      <c r="O118" s="379"/>
    </row>
    <row r="119" spans="1:15" x14ac:dyDescent="0.2">
      <c r="A119" s="503"/>
      <c r="B119" s="546" t="s">
        <v>54</v>
      </c>
      <c r="C119" s="673" t="s">
        <v>509</v>
      </c>
      <c r="D119" s="495"/>
      <c r="E119" s="503"/>
      <c r="F119" s="495"/>
      <c r="G119" s="495"/>
      <c r="H119" s="495"/>
      <c r="I119" s="544"/>
      <c r="J119" s="544"/>
      <c r="K119" s="544"/>
      <c r="L119" s="516"/>
      <c r="M119" s="379"/>
      <c r="N119" s="562"/>
      <c r="O119" s="379"/>
    </row>
    <row r="120" spans="1:15" x14ac:dyDescent="0.2">
      <c r="A120" s="503"/>
      <c r="B120" s="495"/>
      <c r="C120" s="495"/>
      <c r="D120" s="495"/>
      <c r="E120" s="505"/>
      <c r="F120" s="506"/>
      <c r="G120" s="506"/>
      <c r="H120" s="495"/>
      <c r="I120" s="539"/>
      <c r="J120" s="539"/>
      <c r="K120" s="539"/>
      <c r="L120" s="690"/>
      <c r="M120" s="379"/>
      <c r="N120" s="540"/>
      <c r="O120" s="379"/>
    </row>
    <row r="121" spans="1:15" x14ac:dyDescent="0.2">
      <c r="A121" s="503"/>
      <c r="B121" s="511" t="s">
        <v>441</v>
      </c>
      <c r="C121" s="495"/>
      <c r="D121" s="495"/>
      <c r="E121" s="503"/>
      <c r="F121" s="495"/>
      <c r="G121" s="495"/>
      <c r="H121" s="495"/>
      <c r="I121" s="544"/>
      <c r="J121" s="544"/>
      <c r="K121" s="544"/>
      <c r="L121" s="584"/>
      <c r="M121" s="379"/>
      <c r="N121" s="541"/>
      <c r="O121" s="379"/>
    </row>
    <row r="122" spans="1:15" ht="15.75" x14ac:dyDescent="0.3">
      <c r="A122" s="503"/>
      <c r="B122" s="1301" t="s">
        <v>49</v>
      </c>
      <c r="C122" s="542">
        <v>3.3999999999999998E-3</v>
      </c>
      <c r="D122" s="495" t="s">
        <v>495</v>
      </c>
      <c r="E122" s="503"/>
      <c r="F122" s="495"/>
      <c r="G122" s="495"/>
      <c r="H122" s="495"/>
      <c r="I122" s="544">
        <f>$C122*$E$116*VLOOKUP($B122,'Standard values'!$C$9:$S$162,7, FALSE)/$E$172</f>
        <v>0.41070129999999999</v>
      </c>
      <c r="J122" s="544">
        <f>$C122*$E$116*VLOOKUP($B122,'Standard values'!$C$9:$S$162,8, FALSE)/$E$172</f>
        <v>1.0015833333333333E-3</v>
      </c>
      <c r="K122" s="544">
        <f>$C122*$E$116*VLOOKUP($B122,'Standard values'!$C$9:$S$162,9, FALSE)/$E$172</f>
        <v>1.8605555555555555E-5</v>
      </c>
      <c r="L122" s="516">
        <f>I122*'Standard values'!$D$10+J122*'Standard values'!$D$11+K122*'Standard values'!$D$12</f>
        <v>0.44128533888888888</v>
      </c>
      <c r="M122" s="379"/>
      <c r="N122" s="562">
        <f>+L122/$E$69</f>
        <v>11.830859935611111</v>
      </c>
      <c r="O122" s="379"/>
    </row>
    <row r="123" spans="1:15" ht="14.25" x14ac:dyDescent="0.25">
      <c r="A123" s="519"/>
      <c r="B123" s="520"/>
      <c r="C123" s="520"/>
      <c r="D123" s="520"/>
      <c r="E123" s="519"/>
      <c r="F123" s="521"/>
      <c r="G123" s="521"/>
      <c r="H123" s="521" t="s">
        <v>534</v>
      </c>
      <c r="I123" s="520"/>
      <c r="J123" s="523" t="s">
        <v>1048</v>
      </c>
      <c r="K123" s="549"/>
      <c r="L123" s="525">
        <f>L118+L122</f>
        <v>0.93624057947076134</v>
      </c>
      <c r="M123" s="379"/>
      <c r="N123" s="545">
        <f>+L123/$E$69</f>
        <v>25.100609935611111</v>
      </c>
      <c r="O123" s="379"/>
    </row>
    <row r="124" spans="1:15" x14ac:dyDescent="0.2">
      <c r="A124" s="390"/>
      <c r="B124" s="390"/>
      <c r="C124" s="390"/>
      <c r="D124" s="390"/>
      <c r="E124" s="390"/>
      <c r="F124" s="376"/>
      <c r="G124" s="376"/>
      <c r="H124" s="376"/>
      <c r="I124" s="390"/>
      <c r="J124" s="550"/>
      <c r="K124" s="551"/>
      <c r="L124" s="597"/>
      <c r="M124" s="379"/>
      <c r="N124" s="390"/>
      <c r="O124" s="379"/>
    </row>
    <row r="125" spans="1:15" x14ac:dyDescent="0.2">
      <c r="A125" s="390"/>
      <c r="B125" s="390"/>
      <c r="C125" s="390"/>
      <c r="D125" s="390"/>
      <c r="E125" s="390"/>
      <c r="F125" s="376"/>
      <c r="G125" s="376"/>
      <c r="H125" s="376"/>
      <c r="I125" s="390"/>
      <c r="J125" s="550"/>
      <c r="K125" s="551"/>
      <c r="L125" s="597"/>
      <c r="M125" s="379"/>
      <c r="N125" s="379"/>
      <c r="O125" s="379"/>
    </row>
    <row r="126" spans="1:15" ht="15.75" x14ac:dyDescent="0.25">
      <c r="A126" s="530" t="s">
        <v>546</v>
      </c>
      <c r="B126" s="598"/>
      <c r="C126" s="599"/>
      <c r="D126" s="531"/>
      <c r="E126" s="600"/>
      <c r="F126" s="531"/>
      <c r="G126" s="531"/>
      <c r="H126" s="531"/>
      <c r="I126" s="531"/>
      <c r="J126" s="531"/>
      <c r="K126" s="531"/>
      <c r="L126" s="601"/>
      <c r="M126" s="379"/>
      <c r="N126" s="379"/>
      <c r="O126" s="379"/>
    </row>
    <row r="127" spans="1:15" ht="15.75" x14ac:dyDescent="0.25">
      <c r="A127" s="602"/>
      <c r="B127" s="603" t="s">
        <v>549</v>
      </c>
      <c r="C127" s="511" t="s">
        <v>908</v>
      </c>
      <c r="D127" s="495"/>
      <c r="E127" s="503"/>
      <c r="F127" s="495"/>
      <c r="G127" s="495"/>
      <c r="H127" s="495"/>
      <c r="I127" s="495"/>
      <c r="J127" s="495"/>
      <c r="K127" s="495"/>
      <c r="L127" s="537"/>
      <c r="M127" s="379"/>
      <c r="N127" s="390"/>
      <c r="O127" s="390"/>
    </row>
    <row r="128" spans="1:15" ht="15.75" x14ac:dyDescent="0.25">
      <c r="A128" s="602"/>
      <c r="B128" s="511"/>
      <c r="C128" s="668"/>
      <c r="D128" s="691" t="s">
        <v>431</v>
      </c>
      <c r="E128" s="692" t="str">
        <f>IF(D130="Yes","From :  ", " ")</f>
        <v xml:space="preserve"> </v>
      </c>
      <c r="F128" s="1422" t="str">
        <f>IF(D130="Yes",LUC!H$35 &amp; " ; " &amp; LUC!H$36 &amp; " ; " &amp; LUC!H$39 &amp; " ; " &amp; LUC!H$40 &amp; " ; " &amp; LUC!H$45 &amp; " ; " &amp; LUC!H$46 &amp; " ; " &amp; LUC!H$47, " ")</f>
        <v xml:space="preserve"> </v>
      </c>
      <c r="G128" s="1422"/>
      <c r="H128" s="1422"/>
      <c r="I128" s="1422"/>
      <c r="J128" s="1422"/>
      <c r="K128" s="1422"/>
      <c r="L128" s="1423"/>
      <c r="M128" s="379"/>
      <c r="N128" s="390"/>
      <c r="O128" s="390"/>
    </row>
    <row r="129" spans="1:15" ht="15.75" x14ac:dyDescent="0.25">
      <c r="A129" s="602"/>
      <c r="B129" s="539" t="s">
        <v>450</v>
      </c>
      <c r="C129" s="693" t="s">
        <v>431</v>
      </c>
      <c r="D129" s="691" t="s">
        <v>432</v>
      </c>
      <c r="E129" s="513"/>
      <c r="F129" s="1422"/>
      <c r="G129" s="1422"/>
      <c r="H129" s="1422"/>
      <c r="I129" s="1422"/>
      <c r="J129" s="1422"/>
      <c r="K129" s="1422"/>
      <c r="L129" s="1423"/>
      <c r="M129" s="379"/>
      <c r="N129" s="390"/>
      <c r="O129" s="390"/>
    </row>
    <row r="130" spans="1:15" ht="15.75" x14ac:dyDescent="0.25">
      <c r="A130" s="602"/>
      <c r="B130" s="511"/>
      <c r="C130" s="670" t="str">
        <f>IF(D130="Yes","Go to", " ")</f>
        <v xml:space="preserve"> </v>
      </c>
      <c r="D130" s="691" t="s">
        <v>432</v>
      </c>
      <c r="E130" s="692" t="str">
        <f>IF(D130="Yes","To    :   ", " ")</f>
        <v xml:space="preserve"> </v>
      </c>
      <c r="F130" s="1424" t="str">
        <f>IF(D130="Yes", LUC!D$35 &amp; " ; " &amp; LUC!D$36 &amp; " ; " &amp; LUC!D$39 &amp; " ; " &amp; LUC!D$40 &amp; " ; " &amp; LUC!D$45 &amp; " ; " &amp; LUC!D$46 &amp; " ; " &amp; LUC!D$47, " ")</f>
        <v xml:space="preserve"> </v>
      </c>
      <c r="G130" s="1424"/>
      <c r="H130" s="1424"/>
      <c r="I130" s="1424"/>
      <c r="J130" s="1424"/>
      <c r="K130" s="1424"/>
      <c r="L130" s="1425"/>
      <c r="M130" s="379"/>
      <c r="N130" s="390"/>
      <c r="O130" s="390"/>
    </row>
    <row r="131" spans="1:15" ht="15.75" x14ac:dyDescent="0.25">
      <c r="A131" s="602"/>
      <c r="B131" s="416"/>
      <c r="C131" s="671" t="str">
        <f>IF(D130="Yes","sheet 'LUC' ", " ")</f>
        <v xml:space="preserve"> </v>
      </c>
      <c r="D131" s="495"/>
      <c r="E131" s="696"/>
      <c r="F131" s="1424"/>
      <c r="G131" s="1424"/>
      <c r="H131" s="1424"/>
      <c r="I131" s="1424"/>
      <c r="J131" s="1424"/>
      <c r="K131" s="1424"/>
      <c r="L131" s="1425"/>
      <c r="M131" s="379"/>
      <c r="N131" s="390"/>
      <c r="O131" s="390"/>
    </row>
    <row r="132" spans="1:15" ht="15.75" x14ac:dyDescent="0.25">
      <c r="A132" s="602"/>
      <c r="B132" s="416"/>
      <c r="C132" s="670" t="str">
        <f>IF(D130="Yes","to calculate the land use change", " ")</f>
        <v xml:space="preserve"> </v>
      </c>
      <c r="D132" s="495"/>
      <c r="E132" s="696"/>
      <c r="F132" s="694"/>
      <c r="G132" s="694"/>
      <c r="H132" s="694"/>
      <c r="I132" s="492" t="s">
        <v>138</v>
      </c>
      <c r="J132" s="514"/>
      <c r="K132" s="694"/>
      <c r="L132" s="695"/>
      <c r="M132" s="379"/>
      <c r="N132" s="390"/>
      <c r="O132" s="390"/>
    </row>
    <row r="133" spans="1:15" ht="16.5" x14ac:dyDescent="0.3">
      <c r="A133" s="602"/>
      <c r="B133" s="416"/>
      <c r="C133" s="670"/>
      <c r="D133" s="495"/>
      <c r="E133" s="696"/>
      <c r="F133" s="694"/>
      <c r="G133" s="694"/>
      <c r="H133" s="694"/>
      <c r="I133" s="539" t="s">
        <v>1053</v>
      </c>
      <c r="J133" s="539" t="s">
        <v>1054</v>
      </c>
      <c r="K133" s="539" t="s">
        <v>1055</v>
      </c>
      <c r="L133" s="540" t="s">
        <v>1056</v>
      </c>
      <c r="M133" s="379"/>
      <c r="N133" s="390"/>
      <c r="O133" s="390"/>
    </row>
    <row r="134" spans="1:15" ht="16.5" x14ac:dyDescent="0.3">
      <c r="A134" s="602"/>
      <c r="B134" s="507" t="s">
        <v>451</v>
      </c>
      <c r="C134" s="697">
        <f>IF(D130="Yes",LUC!$J$86,0)</f>
        <v>0</v>
      </c>
      <c r="D134" s="497" t="s">
        <v>449</v>
      </c>
      <c r="E134" s="503"/>
      <c r="F134" s="495"/>
      <c r="G134" s="495"/>
      <c r="H134" s="495"/>
      <c r="I134" s="544">
        <f>$C134*1000000/$E$171</f>
        <v>0</v>
      </c>
      <c r="J134" s="544">
        <v>0</v>
      </c>
      <c r="K134" s="544">
        <v>0</v>
      </c>
      <c r="L134" s="419">
        <f>I134*'Standard values'!$D$10+J134*'Standard values'!$D$11+K134*'Standard values'!$D$12</f>
        <v>0</v>
      </c>
      <c r="M134" s="379"/>
      <c r="N134" s="390"/>
      <c r="O134" s="390"/>
    </row>
    <row r="135" spans="1:15" ht="15.75" x14ac:dyDescent="0.25">
      <c r="A135" s="602"/>
      <c r="B135" s="507"/>
      <c r="C135" s="698"/>
      <c r="D135" s="497"/>
      <c r="E135" s="503"/>
      <c r="F135" s="495"/>
      <c r="G135" s="495"/>
      <c r="H135" s="495"/>
      <c r="I135" s="544"/>
      <c r="J135" s="544"/>
      <c r="K135" s="544"/>
      <c r="L135" s="516">
        <f>SUM(L134:L134)</f>
        <v>0</v>
      </c>
      <c r="M135" s="379"/>
      <c r="N135" s="390"/>
      <c r="O135" s="390"/>
    </row>
    <row r="136" spans="1:15" ht="15.75" x14ac:dyDescent="0.25">
      <c r="A136" s="602"/>
      <c r="B136" s="416"/>
      <c r="C136" s="492"/>
      <c r="D136" s="495"/>
      <c r="E136" s="503"/>
      <c r="F136" s="495"/>
      <c r="G136" s="495"/>
      <c r="H136" s="495"/>
      <c r="I136" s="544"/>
      <c r="J136" s="544"/>
      <c r="K136" s="544"/>
      <c r="L136" s="516"/>
      <c r="M136" s="379"/>
      <c r="N136" s="390"/>
      <c r="O136" s="390"/>
    </row>
    <row r="137" spans="1:15" ht="15.75" x14ac:dyDescent="0.3">
      <c r="A137" s="503"/>
      <c r="B137" s="539" t="s">
        <v>452</v>
      </c>
      <c r="C137" s="595">
        <v>0</v>
      </c>
      <c r="D137" s="605" t="s">
        <v>1036</v>
      </c>
      <c r="E137" s="699"/>
      <c r="F137" s="495"/>
      <c r="G137" s="495"/>
      <c r="H137" s="495"/>
      <c r="I137" s="544">
        <f>-C137</f>
        <v>0</v>
      </c>
      <c r="J137" s="544">
        <v>0</v>
      </c>
      <c r="K137" s="544">
        <v>0</v>
      </c>
      <c r="L137" s="419">
        <f>I137*'Standard values'!$D$10+J137*'Standard values'!$D$11+K137*'Standard values'!$D$12</f>
        <v>0</v>
      </c>
      <c r="M137" s="379"/>
      <c r="N137" s="390"/>
      <c r="O137" s="390"/>
    </row>
    <row r="138" spans="1:15" x14ac:dyDescent="0.2">
      <c r="A138" s="503"/>
      <c r="B138" s="539" t="str">
        <f>IF(C137=-29,"Year of conversion:","")</f>
        <v/>
      </c>
      <c r="C138" s="539" t="str">
        <f>IF(D137=-29,"Year of conversion:","")</f>
        <v/>
      </c>
      <c r="D138" s="605" t="str">
        <f>IF(C137=-29,"Fill in the year of conversion","")</f>
        <v/>
      </c>
      <c r="E138" s="503"/>
      <c r="F138" s="495"/>
      <c r="G138" s="495"/>
      <c r="H138" s="495"/>
      <c r="I138" s="495"/>
      <c r="J138" s="495"/>
      <c r="K138" s="544"/>
      <c r="L138" s="516">
        <f>SUM(L137:L137)</f>
        <v>0</v>
      </c>
      <c r="M138" s="379"/>
      <c r="N138" s="390"/>
      <c r="O138" s="390"/>
    </row>
    <row r="139" spans="1:15" x14ac:dyDescent="0.2">
      <c r="A139" s="503"/>
      <c r="B139" s="539"/>
      <c r="C139" s="539"/>
      <c r="D139" s="605"/>
      <c r="E139" s="503"/>
      <c r="F139" s="495"/>
      <c r="G139" s="495"/>
      <c r="H139" s="495"/>
      <c r="I139" s="495"/>
      <c r="J139" s="495"/>
      <c r="K139" s="544"/>
      <c r="L139" s="700"/>
      <c r="M139" s="379"/>
      <c r="N139" s="390"/>
      <c r="O139" s="390"/>
    </row>
    <row r="140" spans="1:15" ht="14.25" x14ac:dyDescent="0.25">
      <c r="A140" s="519"/>
      <c r="B140" s="520"/>
      <c r="C140" s="520"/>
      <c r="D140" s="520"/>
      <c r="E140" s="519"/>
      <c r="F140" s="521"/>
      <c r="G140" s="521"/>
      <c r="H140" s="521" t="s">
        <v>534</v>
      </c>
      <c r="I140" s="520"/>
      <c r="J140" s="523" t="s">
        <v>1048</v>
      </c>
      <c r="K140" s="549"/>
      <c r="L140" s="525">
        <f>L135+L138</f>
        <v>0</v>
      </c>
      <c r="M140" s="379"/>
      <c r="N140" s="390"/>
      <c r="O140" s="390"/>
    </row>
    <row r="141" spans="1:15" x14ac:dyDescent="0.2">
      <c r="A141" s="390"/>
      <c r="B141" s="390"/>
      <c r="C141" s="390"/>
      <c r="D141" s="390"/>
      <c r="E141" s="390"/>
      <c r="F141" s="376"/>
      <c r="G141" s="376"/>
      <c r="H141" s="376"/>
      <c r="I141" s="390"/>
      <c r="J141" s="550"/>
      <c r="K141" s="551"/>
      <c r="L141" s="604"/>
      <c r="M141" s="379"/>
      <c r="N141" s="390"/>
      <c r="O141" s="390"/>
    </row>
    <row r="142" spans="1:15" x14ac:dyDescent="0.2">
      <c r="A142" s="390"/>
      <c r="B142" s="390"/>
      <c r="C142" s="390"/>
      <c r="D142" s="390"/>
      <c r="E142" s="390"/>
      <c r="F142" s="376"/>
      <c r="G142" s="376"/>
      <c r="H142" s="376"/>
      <c r="I142" s="390"/>
      <c r="J142" s="550"/>
      <c r="K142" s="551"/>
      <c r="L142" s="604"/>
      <c r="M142" s="379"/>
      <c r="N142" s="390"/>
      <c r="O142" s="390"/>
    </row>
    <row r="143" spans="1:15" ht="15.75" x14ac:dyDescent="0.25">
      <c r="A143" s="530" t="s">
        <v>547</v>
      </c>
      <c r="B143" s="598"/>
      <c r="C143" s="599"/>
      <c r="D143" s="531"/>
      <c r="E143" s="600"/>
      <c r="F143" s="531"/>
      <c r="G143" s="531"/>
      <c r="H143" s="531"/>
      <c r="I143" s="531"/>
      <c r="J143" s="531"/>
      <c r="K143" s="531"/>
      <c r="L143" s="601"/>
      <c r="M143" s="379"/>
      <c r="N143" s="390"/>
      <c r="O143" s="390"/>
    </row>
    <row r="144" spans="1:15" ht="15.75" x14ac:dyDescent="0.25">
      <c r="A144" s="602"/>
      <c r="B144" s="416" t="s">
        <v>548</v>
      </c>
      <c r="C144" s="492" t="s">
        <v>429</v>
      </c>
      <c r="D144" s="616"/>
      <c r="E144" s="503"/>
      <c r="F144" s="495"/>
      <c r="G144" s="495"/>
      <c r="H144" s="495"/>
      <c r="I144" s="492" t="s">
        <v>138</v>
      </c>
      <c r="J144" s="514"/>
      <c r="K144" s="514"/>
      <c r="L144" s="537"/>
      <c r="M144" s="379"/>
      <c r="N144" s="390"/>
      <c r="O144" s="390"/>
    </row>
    <row r="145" spans="1:15" ht="15.75" customHeight="1" x14ac:dyDescent="0.25">
      <c r="A145" s="602"/>
      <c r="B145" s="511"/>
      <c r="C145" s="668"/>
      <c r="D145" s="691" t="s">
        <v>431</v>
      </c>
      <c r="E145" s="692" t="str">
        <f>IF(D147="Yes","From :  ", " ")</f>
        <v xml:space="preserve"> </v>
      </c>
      <c r="F145" s="1422" t="str">
        <f>IF(D147="Yes",Esca!H$42 &amp; ", " &amp; Esca!H$43 &amp; " input ","")</f>
        <v/>
      </c>
      <c r="G145" s="1422"/>
      <c r="H145" s="1422"/>
      <c r="I145" s="1422"/>
      <c r="J145" s="1422"/>
      <c r="K145" s="1422"/>
      <c r="L145" s="1423"/>
      <c r="M145" s="379"/>
      <c r="N145" s="390"/>
      <c r="O145" s="390"/>
    </row>
    <row r="146" spans="1:15" ht="15.75" x14ac:dyDescent="0.25">
      <c r="A146" s="602"/>
      <c r="B146" s="539" t="s">
        <v>430</v>
      </c>
      <c r="C146" s="668"/>
      <c r="D146" s="691" t="s">
        <v>432</v>
      </c>
      <c r="E146" s="513"/>
      <c r="F146" s="1422"/>
      <c r="G146" s="1422"/>
      <c r="H146" s="1422"/>
      <c r="I146" s="1422"/>
      <c r="J146" s="1422"/>
      <c r="K146" s="1422"/>
      <c r="L146" s="1423"/>
      <c r="M146" s="379"/>
      <c r="N146" s="390"/>
      <c r="O146" s="390"/>
    </row>
    <row r="147" spans="1:15" ht="15.75" customHeight="1" x14ac:dyDescent="0.25">
      <c r="A147" s="602"/>
      <c r="B147" s="511"/>
      <c r="C147" s="670" t="str">
        <f>IF(D147="Yes","Go to", " ")</f>
        <v xml:space="preserve"> </v>
      </c>
      <c r="D147" s="691" t="s">
        <v>432</v>
      </c>
      <c r="E147" s="692" t="str">
        <f>IF(D147="Yes","To    :   ", " ")</f>
        <v xml:space="preserve"> </v>
      </c>
      <c r="F147" s="1422" t="str">
        <f>IF(D147="Yes",Esca!D$42 &amp; ", " &amp; Esca!D$43 &amp; " input ","")</f>
        <v/>
      </c>
      <c r="G147" s="1422"/>
      <c r="H147" s="1422"/>
      <c r="I147" s="1422"/>
      <c r="J147" s="1422"/>
      <c r="K147" s="1422"/>
      <c r="L147" s="1423"/>
      <c r="M147" s="379"/>
      <c r="N147" s="390"/>
      <c r="O147" s="390"/>
    </row>
    <row r="148" spans="1:15" ht="15.75" x14ac:dyDescent="0.25">
      <c r="A148" s="602"/>
      <c r="B148" s="416"/>
      <c r="C148" s="671" t="str">
        <f>IF(D147="Yes","sheet 'Esca' ", " ")</f>
        <v xml:space="preserve"> </v>
      </c>
      <c r="D148" s="495"/>
      <c r="E148" s="696"/>
      <c r="F148" s="1422"/>
      <c r="G148" s="1422"/>
      <c r="H148" s="1422"/>
      <c r="I148" s="1422"/>
      <c r="J148" s="1422"/>
      <c r="K148" s="1422"/>
      <c r="L148" s="1423"/>
      <c r="M148" s="379"/>
      <c r="N148" s="390"/>
      <c r="O148" s="390"/>
    </row>
    <row r="149" spans="1:15" ht="15.75" x14ac:dyDescent="0.25">
      <c r="A149" s="602"/>
      <c r="B149" s="416"/>
      <c r="C149" s="670" t="str">
        <f>IF(D147="Yes","to calculate the soil carbon accumulation", " ")</f>
        <v xml:space="preserve"> </v>
      </c>
      <c r="D149" s="495"/>
      <c r="E149" s="696"/>
      <c r="F149" s="694"/>
      <c r="G149" s="694"/>
      <c r="H149" s="694"/>
      <c r="I149" s="492" t="s">
        <v>138</v>
      </c>
      <c r="J149" s="514"/>
      <c r="K149" s="694"/>
      <c r="L149" s="695"/>
      <c r="M149" s="379"/>
      <c r="N149" s="390"/>
      <c r="O149" s="390"/>
    </row>
    <row r="150" spans="1:15" ht="16.5" x14ac:dyDescent="0.3">
      <c r="A150" s="602"/>
      <c r="B150" s="416"/>
      <c r="C150" s="670"/>
      <c r="D150" s="495"/>
      <c r="E150" s="696"/>
      <c r="F150" s="694"/>
      <c r="G150" s="694"/>
      <c r="H150" s="694"/>
      <c r="I150" s="539" t="s">
        <v>1053</v>
      </c>
      <c r="J150" s="539" t="s">
        <v>1054</v>
      </c>
      <c r="K150" s="539" t="s">
        <v>1055</v>
      </c>
      <c r="L150" s="540" t="s">
        <v>1056</v>
      </c>
      <c r="M150" s="379"/>
      <c r="N150" s="390"/>
      <c r="O150" s="390"/>
    </row>
    <row r="151" spans="1:15" ht="16.5" x14ac:dyDescent="0.3">
      <c r="A151" s="602"/>
      <c r="B151" s="507" t="s">
        <v>807</v>
      </c>
      <c r="C151" s="697">
        <f>IF(D147="yes",Esca!$J$81,0)</f>
        <v>0</v>
      </c>
      <c r="D151" s="497" t="s">
        <v>449</v>
      </c>
      <c r="E151" s="503"/>
      <c r="F151" s="495"/>
      <c r="G151" s="495"/>
      <c r="H151" s="495"/>
      <c r="I151" s="544">
        <f>$C151*1000000/$E$171</f>
        <v>0</v>
      </c>
      <c r="J151" s="544">
        <v>0</v>
      </c>
      <c r="K151" s="544">
        <v>0</v>
      </c>
      <c r="L151" s="419">
        <f>I151*'Standard values'!$D$10+J151*'Standard values'!$D$11+K151*'Standard values'!$D$12</f>
        <v>0</v>
      </c>
      <c r="M151" s="379"/>
      <c r="N151" s="390"/>
      <c r="O151" s="390"/>
    </row>
    <row r="152" spans="1:15" x14ac:dyDescent="0.2">
      <c r="A152" s="503"/>
      <c r="B152" s="539"/>
      <c r="C152" s="539"/>
      <c r="D152" s="605"/>
      <c r="E152" s="503"/>
      <c r="F152" s="495"/>
      <c r="G152" s="495"/>
      <c r="H152" s="495"/>
      <c r="I152" s="495"/>
      <c r="J152" s="495"/>
      <c r="K152" s="544"/>
      <c r="L152" s="516">
        <f>SUM(L151:L151)</f>
        <v>0</v>
      </c>
      <c r="M152" s="379"/>
      <c r="N152" s="390"/>
      <c r="O152" s="390"/>
    </row>
    <row r="153" spans="1:15" x14ac:dyDescent="0.2">
      <c r="A153" s="503"/>
      <c r="B153" s="539"/>
      <c r="C153" s="539"/>
      <c r="D153" s="605"/>
      <c r="E153" s="503"/>
      <c r="F153" s="495"/>
      <c r="G153" s="495"/>
      <c r="H153" s="495"/>
      <c r="I153" s="495"/>
      <c r="J153" s="495"/>
      <c r="K153" s="544"/>
      <c r="L153" s="700"/>
      <c r="M153" s="379"/>
      <c r="N153" s="390"/>
      <c r="O153" s="390"/>
    </row>
    <row r="154" spans="1:15" ht="14.25" x14ac:dyDescent="0.25">
      <c r="A154" s="519"/>
      <c r="B154" s="520"/>
      <c r="C154" s="520"/>
      <c r="D154" s="520"/>
      <c r="E154" s="519"/>
      <c r="F154" s="521"/>
      <c r="G154" s="521"/>
      <c r="H154" s="521" t="s">
        <v>534</v>
      </c>
      <c r="I154" s="520"/>
      <c r="J154" s="523" t="s">
        <v>1048</v>
      </c>
      <c r="K154" s="549"/>
      <c r="L154" s="525">
        <f>L152</f>
        <v>0</v>
      </c>
      <c r="M154" s="379"/>
      <c r="N154" s="390"/>
      <c r="O154" s="390"/>
    </row>
    <row r="155" spans="1:15" x14ac:dyDescent="0.2">
      <c r="A155" s="390"/>
      <c r="B155" s="390"/>
      <c r="C155" s="390"/>
      <c r="D155" s="390"/>
      <c r="E155" s="390"/>
      <c r="F155" s="376"/>
      <c r="G155" s="376"/>
      <c r="H155" s="376"/>
      <c r="I155" s="390"/>
      <c r="J155" s="550"/>
      <c r="K155" s="551"/>
      <c r="L155" s="604"/>
      <c r="M155" s="379"/>
      <c r="N155" s="390"/>
      <c r="O155" s="390"/>
    </row>
    <row r="156" spans="1:15" x14ac:dyDescent="0.2">
      <c r="A156" s="390"/>
      <c r="B156" s="390"/>
      <c r="C156" s="390"/>
      <c r="D156" s="390"/>
      <c r="E156" s="390"/>
      <c r="F156" s="376"/>
      <c r="G156" s="376"/>
      <c r="H156" s="376"/>
      <c r="I156" s="390"/>
      <c r="J156" s="550"/>
      <c r="K156" s="551"/>
      <c r="L156" s="604"/>
      <c r="M156" s="379"/>
      <c r="N156" s="390"/>
      <c r="O156" s="390"/>
    </row>
    <row r="157" spans="1:15" ht="18.75" x14ac:dyDescent="0.35">
      <c r="A157" s="530" t="s">
        <v>168</v>
      </c>
      <c r="B157" s="598"/>
      <c r="C157" s="599"/>
      <c r="D157" s="531"/>
      <c r="E157" s="600"/>
      <c r="F157" s="531"/>
      <c r="G157" s="531"/>
      <c r="H157" s="531"/>
      <c r="I157" s="531"/>
      <c r="J157" s="531"/>
      <c r="K157" s="531"/>
      <c r="L157" s="601"/>
      <c r="M157" s="379"/>
      <c r="N157" s="390"/>
      <c r="O157" s="390"/>
    </row>
    <row r="158" spans="1:15" ht="15.75" x14ac:dyDescent="0.25">
      <c r="A158" s="602"/>
      <c r="B158" s="416" t="s">
        <v>166</v>
      </c>
      <c r="C158" s="492"/>
      <c r="D158" s="495"/>
      <c r="E158" s="503"/>
      <c r="F158" s="495"/>
      <c r="G158" s="495"/>
      <c r="H158" s="495"/>
      <c r="I158" s="492" t="s">
        <v>138</v>
      </c>
      <c r="J158" s="514"/>
      <c r="K158" s="514"/>
      <c r="L158" s="537"/>
      <c r="M158" s="379"/>
      <c r="N158" s="390"/>
      <c r="O158" s="390"/>
    </row>
    <row r="159" spans="1:15" ht="15.75" x14ac:dyDescent="0.3">
      <c r="A159" s="503"/>
      <c r="B159" s="539"/>
      <c r="C159" s="595">
        <v>0</v>
      </c>
      <c r="D159" s="605" t="s">
        <v>1036</v>
      </c>
      <c r="E159" s="503"/>
      <c r="F159" s="495"/>
      <c r="G159" s="495"/>
      <c r="H159" s="495"/>
      <c r="I159" s="495"/>
      <c r="J159" s="495"/>
      <c r="K159" s="544"/>
      <c r="L159" s="516">
        <f>C159</f>
        <v>0</v>
      </c>
      <c r="M159" s="379"/>
      <c r="N159" s="390"/>
      <c r="O159" s="390"/>
    </row>
    <row r="160" spans="1:15" ht="14.25" x14ac:dyDescent="0.25">
      <c r="A160" s="519"/>
      <c r="B160" s="520"/>
      <c r="C160" s="520"/>
      <c r="D160" s="520"/>
      <c r="E160" s="519"/>
      <c r="F160" s="521"/>
      <c r="G160" s="521"/>
      <c r="H160" s="521" t="s">
        <v>534</v>
      </c>
      <c r="I160" s="520"/>
      <c r="J160" s="523" t="s">
        <v>1048</v>
      </c>
      <c r="K160" s="549"/>
      <c r="L160" s="525">
        <f>C159</f>
        <v>0</v>
      </c>
      <c r="M160" s="379"/>
      <c r="N160" s="390"/>
      <c r="O160" s="390"/>
    </row>
    <row r="161" spans="1:15" x14ac:dyDescent="0.2">
      <c r="A161" s="390"/>
      <c r="B161" s="390"/>
      <c r="C161" s="390"/>
      <c r="D161" s="390"/>
      <c r="E161" s="390"/>
      <c r="F161" s="376"/>
      <c r="G161" s="376"/>
      <c r="H161" s="376"/>
      <c r="I161" s="390"/>
      <c r="J161" s="550"/>
      <c r="K161" s="551"/>
      <c r="L161" s="604"/>
      <c r="M161" s="379"/>
      <c r="N161" s="390"/>
      <c r="O161" s="390"/>
    </row>
    <row r="162" spans="1:15" x14ac:dyDescent="0.2">
      <c r="A162" s="390"/>
      <c r="B162" s="390"/>
      <c r="C162" s="390"/>
      <c r="D162" s="390"/>
      <c r="E162" s="390"/>
      <c r="F162" s="376"/>
      <c r="G162" s="376"/>
      <c r="H162" s="376"/>
      <c r="I162" s="390"/>
      <c r="J162" s="550"/>
      <c r="K162" s="551"/>
      <c r="L162" s="604"/>
      <c r="M162" s="379"/>
      <c r="N162" s="390"/>
      <c r="O162" s="390"/>
    </row>
    <row r="163" spans="1:15" ht="18.75" x14ac:dyDescent="0.35">
      <c r="A163" s="530" t="s">
        <v>169</v>
      </c>
      <c r="B163" s="598"/>
      <c r="C163" s="599"/>
      <c r="D163" s="531"/>
      <c r="E163" s="600"/>
      <c r="F163" s="531"/>
      <c r="G163" s="531"/>
      <c r="H163" s="531"/>
      <c r="I163" s="531"/>
      <c r="J163" s="531"/>
      <c r="K163" s="531"/>
      <c r="L163" s="601"/>
      <c r="M163" s="379"/>
      <c r="N163" s="390"/>
      <c r="O163" s="390"/>
    </row>
    <row r="164" spans="1:15" ht="15.75" x14ac:dyDescent="0.25">
      <c r="A164" s="602"/>
      <c r="B164" s="416" t="s">
        <v>167</v>
      </c>
      <c r="C164" s="492"/>
      <c r="D164" s="495"/>
      <c r="E164" s="503"/>
      <c r="F164" s="495"/>
      <c r="G164" s="495"/>
      <c r="H164" s="495"/>
      <c r="I164" s="492" t="s">
        <v>138</v>
      </c>
      <c r="J164" s="514"/>
      <c r="K164" s="514"/>
      <c r="L164" s="537"/>
      <c r="M164" s="379"/>
      <c r="N164" s="390"/>
      <c r="O164" s="390"/>
    </row>
    <row r="165" spans="1:15" ht="15.75" x14ac:dyDescent="0.3">
      <c r="A165" s="503"/>
      <c r="B165" s="539"/>
      <c r="C165" s="595">
        <v>0</v>
      </c>
      <c r="D165" s="605" t="s">
        <v>1036</v>
      </c>
      <c r="E165" s="503"/>
      <c r="F165" s="495"/>
      <c r="G165" s="495"/>
      <c r="H165" s="495"/>
      <c r="I165" s="495"/>
      <c r="J165" s="495"/>
      <c r="K165" s="544"/>
      <c r="L165" s="516">
        <f>C165</f>
        <v>0</v>
      </c>
      <c r="M165" s="379"/>
      <c r="N165" s="390"/>
      <c r="O165" s="390"/>
    </row>
    <row r="166" spans="1:15" ht="14.25" x14ac:dyDescent="0.25">
      <c r="A166" s="519"/>
      <c r="B166" s="520"/>
      <c r="C166" s="520"/>
      <c r="D166" s="520"/>
      <c r="E166" s="519"/>
      <c r="F166" s="521"/>
      <c r="G166" s="521"/>
      <c r="H166" s="521" t="s">
        <v>534</v>
      </c>
      <c r="I166" s="520"/>
      <c r="J166" s="523" t="s">
        <v>1048</v>
      </c>
      <c r="K166" s="549"/>
      <c r="L166" s="525">
        <f>C165</f>
        <v>0</v>
      </c>
      <c r="M166" s="379"/>
      <c r="N166" s="390"/>
      <c r="O166" s="390"/>
    </row>
    <row r="167" spans="1:15" x14ac:dyDescent="0.2">
      <c r="A167" s="390"/>
      <c r="B167" s="390"/>
      <c r="C167" s="390"/>
      <c r="D167" s="390"/>
      <c r="E167" s="390"/>
      <c r="F167" s="376"/>
      <c r="G167" s="376"/>
      <c r="H167" s="376"/>
      <c r="I167" s="390"/>
      <c r="J167" s="550"/>
      <c r="K167" s="551"/>
      <c r="L167" s="604"/>
      <c r="M167" s="379"/>
      <c r="N167" s="390"/>
      <c r="O167" s="390"/>
    </row>
    <row r="168" spans="1:15" x14ac:dyDescent="0.2">
      <c r="A168" s="390"/>
      <c r="B168" s="390"/>
      <c r="C168" s="390"/>
      <c r="D168" s="390"/>
      <c r="E168" s="390"/>
      <c r="F168" s="376"/>
      <c r="G168" s="376"/>
      <c r="H168" s="376"/>
      <c r="I168" s="390"/>
      <c r="J168" s="550"/>
      <c r="K168" s="551"/>
      <c r="L168" s="604"/>
      <c r="M168" s="379"/>
      <c r="N168" s="390"/>
      <c r="O168" s="390"/>
    </row>
    <row r="169" spans="1:15" ht="15.75" x14ac:dyDescent="0.25">
      <c r="A169" s="530" t="s">
        <v>457</v>
      </c>
      <c r="B169" s="531"/>
      <c r="C169" s="531"/>
      <c r="D169" s="531"/>
      <c r="E169" s="532"/>
      <c r="F169" s="606"/>
      <c r="G169" s="606"/>
      <c r="H169" s="606"/>
      <c r="I169" s="607"/>
      <c r="J169" s="608"/>
      <c r="K169" s="607"/>
      <c r="L169" s="609"/>
      <c r="M169" s="379"/>
      <c r="N169" s="390"/>
      <c r="O169" s="390"/>
    </row>
    <row r="170" spans="1:15" ht="15.75" x14ac:dyDescent="0.25">
      <c r="A170" s="610"/>
      <c r="B170" s="611"/>
      <c r="C170" s="611"/>
      <c r="D170" s="611"/>
      <c r="E170" s="612"/>
      <c r="F170" s="613"/>
      <c r="G170" s="613"/>
      <c r="H170" s="613"/>
      <c r="I170" s="613"/>
      <c r="J170" s="613"/>
      <c r="K170" s="613"/>
      <c r="L170" s="614"/>
      <c r="M170" s="379"/>
      <c r="N170" s="390"/>
      <c r="O170" s="390"/>
    </row>
    <row r="171" spans="1:15" ht="15.75" x14ac:dyDescent="0.3">
      <c r="A171" s="503"/>
      <c r="B171" s="495"/>
      <c r="C171" s="495"/>
      <c r="D171" s="546" t="s">
        <v>300</v>
      </c>
      <c r="E171" s="702">
        <f>E23*C47*C56*C67*C103*C115</f>
        <v>40687.990364447454</v>
      </c>
      <c r="F171" s="495" t="s">
        <v>1030</v>
      </c>
      <c r="G171" s="495"/>
      <c r="H171" s="495"/>
      <c r="I171" s="495"/>
      <c r="J171" s="495"/>
      <c r="K171" s="495"/>
      <c r="L171" s="616"/>
      <c r="M171" s="379"/>
      <c r="N171" s="390"/>
      <c r="O171" s="390"/>
    </row>
    <row r="172" spans="1:15" ht="15.75" x14ac:dyDescent="0.3">
      <c r="A172" s="503"/>
      <c r="B172" s="495"/>
      <c r="C172" s="495"/>
      <c r="D172" s="546" t="s">
        <v>299</v>
      </c>
      <c r="E172" s="615">
        <f>E171/E23</f>
        <v>0.53126616302000251</v>
      </c>
      <c r="F172" s="495" t="s">
        <v>656</v>
      </c>
      <c r="G172" s="495"/>
      <c r="H172" s="495"/>
      <c r="I172" s="544"/>
      <c r="J172" s="495"/>
      <c r="K172" s="495"/>
      <c r="L172" s="616"/>
      <c r="M172" s="379"/>
      <c r="N172" s="390"/>
      <c r="O172" s="390"/>
    </row>
    <row r="173" spans="1:15" x14ac:dyDescent="0.2">
      <c r="A173" s="503"/>
      <c r="B173" s="495"/>
      <c r="C173" s="495"/>
      <c r="D173" s="495"/>
      <c r="E173" s="495"/>
      <c r="F173" s="617"/>
      <c r="G173" s="617"/>
      <c r="H173" s="495"/>
      <c r="I173" s="544"/>
      <c r="J173" s="495"/>
      <c r="K173" s="495"/>
      <c r="L173" s="616"/>
      <c r="M173" s="379"/>
      <c r="N173" s="390"/>
      <c r="O173" s="390"/>
    </row>
    <row r="174" spans="1:15" x14ac:dyDescent="0.2">
      <c r="A174" s="503"/>
      <c r="B174" s="495"/>
      <c r="C174" s="495"/>
      <c r="D174" s="495"/>
      <c r="E174" s="495"/>
      <c r="F174" s="617"/>
      <c r="G174" s="617"/>
      <c r="H174" s="495"/>
      <c r="I174" s="495"/>
      <c r="J174" s="495"/>
      <c r="K174" s="495"/>
      <c r="L174" s="616"/>
      <c r="M174" s="379"/>
      <c r="N174" s="390"/>
      <c r="O174" s="390"/>
    </row>
    <row r="175" spans="1:15" ht="14.25" x14ac:dyDescent="0.25">
      <c r="A175" s="618"/>
      <c r="B175" s="619"/>
      <c r="C175" s="619"/>
      <c r="D175" s="619"/>
      <c r="E175" s="620" t="s">
        <v>1059</v>
      </c>
      <c r="F175" s="621"/>
      <c r="G175" s="621"/>
      <c r="H175" s="622"/>
      <c r="I175" s="622"/>
      <c r="J175" s="620" t="s">
        <v>885</v>
      </c>
      <c r="K175" s="622"/>
      <c r="L175" s="623">
        <f>L43+L52+L62+L90+L111+L123+L140-L154-L160-L166</f>
        <v>73.450871054667999</v>
      </c>
      <c r="M175" s="379"/>
      <c r="N175" s="390"/>
      <c r="O175" s="390"/>
    </row>
    <row r="176" spans="1:15" ht="14.25" x14ac:dyDescent="0.25">
      <c r="A176" s="624"/>
      <c r="B176" s="625"/>
      <c r="C176" s="626"/>
      <c r="D176" s="619"/>
      <c r="E176" s="620" t="s">
        <v>1060</v>
      </c>
      <c r="F176" s="622"/>
      <c r="G176" s="622"/>
      <c r="H176" s="622"/>
      <c r="I176" s="622"/>
      <c r="J176" s="620" t="s">
        <v>885</v>
      </c>
      <c r="K176" s="622"/>
      <c r="L176" s="627">
        <f>L99+L111+L123+(L135*J6)+L138-L154-L160-L166</f>
        <v>44.335437341136725</v>
      </c>
      <c r="M176" s="379"/>
      <c r="N176" s="390"/>
      <c r="O176" s="390"/>
    </row>
    <row r="177" spans="1:15" x14ac:dyDescent="0.2">
      <c r="A177" s="618"/>
      <c r="B177" s="619"/>
      <c r="C177" s="619"/>
      <c r="D177" s="619"/>
      <c r="E177" s="622"/>
      <c r="F177" s="622"/>
      <c r="G177" s="622"/>
      <c r="H177" s="622"/>
      <c r="I177" s="622"/>
      <c r="J177" s="622"/>
      <c r="K177" s="622"/>
      <c r="L177" s="628"/>
      <c r="M177" s="379"/>
      <c r="N177" s="390"/>
      <c r="O177" s="390"/>
    </row>
    <row r="178" spans="1:15" x14ac:dyDescent="0.2">
      <c r="A178" s="629"/>
      <c r="B178" s="630"/>
      <c r="C178" s="630"/>
      <c r="D178" s="630"/>
      <c r="E178" s="631" t="s">
        <v>1061</v>
      </c>
      <c r="F178" s="632"/>
      <c r="G178" s="632"/>
      <c r="H178" s="632"/>
      <c r="I178" s="632"/>
      <c r="J178" s="632"/>
      <c r="K178" s="632"/>
      <c r="L178" s="633">
        <f>(83.8-L176)/83.8</f>
        <v>0.47093750189574313</v>
      </c>
      <c r="M178" s="379"/>
      <c r="N178" s="390"/>
      <c r="O178" s="390"/>
    </row>
    <row r="179" spans="1:15" x14ac:dyDescent="0.2">
      <c r="M179" s="361"/>
    </row>
    <row r="180" spans="1:15" x14ac:dyDescent="0.2">
      <c r="E180" s="634"/>
      <c r="F180" s="634"/>
      <c r="G180" s="634"/>
      <c r="H180" s="635"/>
      <c r="I180" s="634"/>
      <c r="J180" s="634"/>
      <c r="K180" s="634"/>
      <c r="L180" s="636"/>
      <c r="M180" s="361"/>
    </row>
    <row r="181" spans="1:15" x14ac:dyDescent="0.2">
      <c r="F181" s="634"/>
      <c r="G181" s="634"/>
      <c r="H181" s="634"/>
      <c r="I181" s="637"/>
      <c r="J181" s="634"/>
      <c r="K181" s="634"/>
      <c r="L181" s="638"/>
      <c r="M181" s="639"/>
      <c r="N181" s="361"/>
    </row>
    <row r="182" spans="1:15" x14ac:dyDescent="0.2">
      <c r="F182" s="634"/>
      <c r="G182" s="634"/>
      <c r="H182" s="634"/>
      <c r="I182" s="637"/>
      <c r="J182" s="634"/>
      <c r="K182" s="634"/>
      <c r="L182" s="638"/>
      <c r="M182" s="639"/>
      <c r="N182" s="361"/>
    </row>
    <row r="183" spans="1:15" ht="15.75" x14ac:dyDescent="0.25">
      <c r="F183" s="640"/>
      <c r="G183" s="640"/>
      <c r="H183" s="634"/>
      <c r="I183" s="634"/>
      <c r="J183" s="634"/>
      <c r="K183" s="634"/>
      <c r="L183" s="634"/>
      <c r="M183" s="634"/>
      <c r="N183" s="361"/>
    </row>
    <row r="184" spans="1:15" x14ac:dyDescent="0.2">
      <c r="F184" s="634"/>
      <c r="G184" s="634"/>
      <c r="H184" s="637"/>
      <c r="I184" s="634"/>
      <c r="J184" s="634"/>
      <c r="K184" s="634"/>
      <c r="L184" s="634"/>
      <c r="M184" s="634"/>
      <c r="N184" s="634"/>
    </row>
    <row r="185" spans="1:15" x14ac:dyDescent="0.2">
      <c r="F185" s="637"/>
      <c r="G185" s="637"/>
      <c r="H185" s="634"/>
      <c r="I185" s="641"/>
      <c r="J185" s="634"/>
      <c r="K185" s="634"/>
      <c r="L185" s="634"/>
      <c r="M185" s="634"/>
      <c r="N185" s="634"/>
    </row>
    <row r="186" spans="1:15" x14ac:dyDescent="0.2">
      <c r="F186" s="637"/>
      <c r="G186" s="637"/>
      <c r="H186" s="634"/>
      <c r="I186" s="641"/>
      <c r="J186" s="634"/>
      <c r="K186" s="634"/>
      <c r="L186" s="634"/>
      <c r="M186" s="634"/>
      <c r="N186" s="634"/>
    </row>
    <row r="187" spans="1:15" x14ac:dyDescent="0.2">
      <c r="F187" s="634"/>
      <c r="G187" s="634"/>
      <c r="H187" s="639"/>
      <c r="I187" s="634"/>
      <c r="J187" s="634"/>
      <c r="K187" s="634"/>
      <c r="L187" s="634"/>
      <c r="M187" s="634"/>
      <c r="N187" s="634"/>
    </row>
    <row r="188" spans="1:15" x14ac:dyDescent="0.2">
      <c r="F188" s="634"/>
      <c r="G188" s="634"/>
      <c r="H188" s="634"/>
      <c r="I188" s="634"/>
      <c r="J188" s="634"/>
      <c r="K188" s="634"/>
      <c r="L188" s="634"/>
      <c r="M188" s="634"/>
      <c r="N188" s="634"/>
    </row>
    <row r="189" spans="1:15" x14ac:dyDescent="0.2">
      <c r="F189" s="634"/>
      <c r="G189" s="634"/>
      <c r="H189" s="634"/>
      <c r="I189" s="634"/>
      <c r="J189" s="634"/>
      <c r="K189" s="634"/>
      <c r="L189" s="634"/>
      <c r="M189" s="634"/>
      <c r="N189" s="634"/>
    </row>
    <row r="190" spans="1:15" x14ac:dyDescent="0.2">
      <c r="F190" s="634"/>
      <c r="G190" s="634"/>
      <c r="H190" s="634"/>
      <c r="I190" s="634"/>
      <c r="J190" s="634"/>
      <c r="K190" s="634"/>
      <c r="L190" s="634"/>
      <c r="M190" s="634"/>
      <c r="N190" s="634"/>
    </row>
    <row r="191" spans="1:15" x14ac:dyDescent="0.2">
      <c r="F191" s="634"/>
      <c r="G191" s="634"/>
      <c r="H191" s="634"/>
      <c r="I191" s="634"/>
      <c r="J191" s="634"/>
      <c r="K191" s="634"/>
      <c r="L191" s="634"/>
      <c r="M191" s="634"/>
      <c r="N191" s="634"/>
    </row>
    <row r="192" spans="1:15" x14ac:dyDescent="0.2">
      <c r="F192" s="634"/>
      <c r="G192" s="634"/>
      <c r="H192" s="634"/>
      <c r="I192" s="634"/>
      <c r="J192" s="634"/>
      <c r="K192" s="634"/>
      <c r="L192" s="634"/>
      <c r="M192" s="634"/>
      <c r="N192" s="634"/>
    </row>
    <row r="193" spans="6:14" x14ac:dyDescent="0.2">
      <c r="F193" s="634"/>
      <c r="G193" s="634"/>
      <c r="H193" s="634"/>
      <c r="I193" s="634"/>
      <c r="J193" s="634"/>
      <c r="K193" s="634"/>
      <c r="L193" s="634"/>
      <c r="M193" s="634"/>
      <c r="N193" s="634"/>
    </row>
    <row r="194" spans="6:14" x14ac:dyDescent="0.2">
      <c r="F194" s="634"/>
      <c r="G194" s="634"/>
      <c r="H194" s="634"/>
      <c r="I194" s="634"/>
      <c r="J194" s="634"/>
      <c r="K194" s="634"/>
      <c r="L194" s="634"/>
      <c r="M194" s="634"/>
      <c r="N194" s="634"/>
    </row>
    <row r="195" spans="6:14" x14ac:dyDescent="0.2">
      <c r="F195" s="634"/>
      <c r="G195" s="634"/>
      <c r="H195" s="634"/>
      <c r="I195" s="634"/>
      <c r="J195" s="634"/>
      <c r="K195" s="634"/>
      <c r="L195" s="634"/>
      <c r="M195" s="634"/>
      <c r="N195" s="634"/>
    </row>
    <row r="196" spans="6:14" x14ac:dyDescent="0.2">
      <c r="F196" s="634"/>
      <c r="G196" s="634"/>
      <c r="H196" s="634"/>
      <c r="I196" s="634"/>
      <c r="J196" s="634"/>
      <c r="K196" s="634"/>
      <c r="L196" s="634"/>
      <c r="M196" s="634"/>
      <c r="N196" s="634"/>
    </row>
    <row r="197" spans="6:14" x14ac:dyDescent="0.2">
      <c r="F197" s="634"/>
      <c r="G197" s="634"/>
      <c r="H197" s="634"/>
      <c r="I197" s="634"/>
      <c r="J197" s="634"/>
      <c r="K197" s="634"/>
      <c r="L197" s="634"/>
      <c r="M197" s="634"/>
      <c r="N197" s="634"/>
    </row>
    <row r="198" spans="6:14" x14ac:dyDescent="0.2">
      <c r="F198" s="634"/>
      <c r="G198" s="634"/>
      <c r="H198" s="634"/>
      <c r="I198" s="634"/>
      <c r="J198" s="634"/>
      <c r="K198" s="634"/>
      <c r="L198" s="634"/>
      <c r="M198" s="634"/>
      <c r="N198" s="634"/>
    </row>
    <row r="199" spans="6:14" x14ac:dyDescent="0.2">
      <c r="F199" s="634"/>
      <c r="G199" s="634"/>
      <c r="H199" s="634"/>
      <c r="I199" s="634"/>
      <c r="J199" s="634"/>
      <c r="K199" s="634"/>
      <c r="L199" s="634"/>
      <c r="M199" s="634"/>
      <c r="N199" s="634"/>
    </row>
  </sheetData>
  <sheetProtection insertColumns="0" insertRows="0" deleteColumns="0" deleteRows="0"/>
  <customSheetViews>
    <customSheetView guid="{AD88818B-9F97-4B1E-9426-0DECE603685E}" scale="80" showGridLines="0" fitToPage="1" showRuler="0">
      <pane ySplit="19" topLeftCell="A20" activePane="bottomLeft" state="frozen"/>
      <selection pane="bottomLeft" activeCell="E3" sqref="E3"/>
      <pageMargins left="0.75" right="0.75" top="1" bottom="1" header="0.5" footer="0.5"/>
      <pageSetup paperSize="8" fitToHeight="0" orientation="landscape"/>
      <headerFooter alignWithMargins="0">
        <oddFooter>&amp;L&amp;8&amp;F&amp;C&amp;8&amp;A&amp;R&amp;8page&amp;P</oddFooter>
      </headerFooter>
    </customSheetView>
    <customSheetView guid="{7EB5D807-CE20-46E2-AEE6-2C193E010EA4}" scale="80" showGridLines="0" fitToPage="1" showRuler="0">
      <pane ySplit="19" topLeftCell="A20" activePane="bottomLeft" state="frozen"/>
      <selection pane="bottomLeft" activeCell="E3" sqref="E3"/>
      <pageMargins left="0.75" right="0.75" top="1" bottom="1" header="0.5" footer="0.5"/>
      <pageSetup paperSize="8" fitToHeight="0" orientation="landscape"/>
      <headerFooter alignWithMargins="0">
        <oddFooter>&amp;L&amp;8&amp;F&amp;C&amp;8&amp;A&amp;R&amp;8page&amp;P</oddFooter>
      </headerFooter>
    </customSheetView>
  </customSheetViews>
  <mergeCells count="6">
    <mergeCell ref="F145:L146"/>
    <mergeCell ref="F147:L148"/>
    <mergeCell ref="H11:H12"/>
    <mergeCell ref="O11:O12"/>
    <mergeCell ref="F128:L129"/>
    <mergeCell ref="F130:L131"/>
  </mergeCells>
  <phoneticPr fontId="0" type="noConversion"/>
  <conditionalFormatting sqref="O9:O19">
    <cfRule type="cellIs" dxfId="107" priority="1" stopIfTrue="1" operator="notBetween">
      <formula>-0.05</formula>
      <formula>0.05</formula>
    </cfRule>
  </conditionalFormatting>
  <conditionalFormatting sqref="E15">
    <cfRule type="expression" dxfId="106" priority="3" stopIfTrue="1">
      <formula>($E15="Combined result of previous calculation")</formula>
    </cfRule>
  </conditionalFormatting>
  <conditionalFormatting sqref="A15:D15 F15:G15">
    <cfRule type="expression" dxfId="105" priority="4" stopIfTrue="1">
      <formula>($E15="Combined result of previous calculation")</formula>
    </cfRule>
  </conditionalFormatting>
  <conditionalFormatting sqref="A7:G7 A11:G12">
    <cfRule type="expression" dxfId="104" priority="5" stopIfTrue="1">
      <formula>($E7&lt;&gt;"")</formula>
    </cfRule>
  </conditionalFormatting>
  <conditionalFormatting sqref="A16:D16 F16:G16">
    <cfRule type="expression" dxfId="103" priority="6" stopIfTrue="1">
      <formula>($E16="Esca included in combined result of previous calculation")</formula>
    </cfRule>
  </conditionalFormatting>
  <conditionalFormatting sqref="E16">
    <cfRule type="expression" dxfId="102" priority="7" stopIfTrue="1">
      <formula>($E16="Esca included in combined result of previous calculation")</formula>
    </cfRule>
  </conditionalFormatting>
  <dataValidations count="8">
    <dataValidation type="list" allowBlank="1" showInputMessage="1" showErrorMessage="1" sqref="F10 F8 F6" xr:uid="{00000000-0002-0000-0D00-000000000000}">
      <formula1>"A,D"</formula1>
    </dataValidation>
    <dataValidation type="list" showDropDown="1" showInputMessage="1" showErrorMessage="1" errorTitle="Wrong input" error="Only values &quot;0&quot; and &quot;29&quot; are allowed_x000a_" sqref="C137" xr:uid="{00000000-0002-0000-0D00-000001000000}">
      <formula1>"0,29"</formula1>
    </dataValidation>
    <dataValidation allowBlank="1" showInputMessage="1" showErrorMessage="1" promptTitle="Input value for manure" prompt="Use of manure will not lead to direct GHG emissions as the emission coeffient is 0 g CO2,eq/MJ._x000a_Use of manure will indirectly lead to GHG emissions. When using actual inputs, field N2O emissions must be calculated which increase due to use of manure." sqref="C32" xr:uid="{00000000-0002-0000-0D00-000002000000}"/>
    <dataValidation type="list" allowBlank="1" showInputMessage="1" showErrorMessage="1" sqref="E15" xr:uid="{00000000-0002-0000-0D00-000003000000}">
      <formula1>"- , Combined result of previous calculation"</formula1>
    </dataValidation>
    <dataValidation type="list" allowBlank="1" showInputMessage="1" showErrorMessage="1" sqref="E7 E11:E12" xr:uid="{00000000-0002-0000-0D00-000004000000}">
      <formula1>"- ,Individual result of previous calculation, Combined result of previous calculation"</formula1>
    </dataValidation>
    <dataValidation type="list" allowBlank="1" showInputMessage="1" showErrorMessage="1" sqref="E16" xr:uid="{00000000-0002-0000-0D00-000005000000}">
      <formula1>"- , Esca included in combined result of previous calculation"</formula1>
    </dataValidation>
    <dataValidation allowBlank="1" showInputMessage="1" showErrorMessage="1" promptTitle="Please note !" prompt="When changing the value in this cell, you must indicate in column E under &quot;overview results&quot; that you have used the result of a previous calculation. Please refer to paragraph 4.2 of the user manual for further instructions and examples." sqref="N41 N50 N59" xr:uid="{00000000-0002-0000-0D00-000006000000}"/>
    <dataValidation allowBlank="1" showInputMessage="1" showErrorMessage="1" promptTitle="Electricity mix" sqref="B50 B122 B110" xr:uid="{00000000-0002-0000-0D00-000007000000}"/>
  </dataValidations>
  <hyperlinks>
    <hyperlink ref="C148" location="Esca!A1" display="Esca!A1" xr:uid="{00000000-0004-0000-0D00-000000000000}"/>
    <hyperlink ref="C131" location="LUC!A1" display="LUC!A1" xr:uid="{00000000-0004-0000-0D00-000001000000}"/>
    <hyperlink ref="C42" location="'N2O emissions IPCC '!A1" display="N2O emissions IPCC" xr:uid="{00000000-0004-0000-0D00-000002000000}"/>
  </hyperlinks>
  <pageMargins left="0.75" right="0.75" top="1" bottom="1" header="0.5" footer="0.5"/>
  <pageSetup paperSize="8" fitToHeight="0" orientation="landscape"/>
  <headerFooter alignWithMargins="0">
    <oddFooter>&amp;L&amp;8&amp;F&amp;C&amp;8&amp;A&amp;R&amp;8page&amp;P</oddFooter>
  </headerFooter>
  <drawing r:id="rId1"/>
  <legacyDrawing r:id="rId2"/>
  <controls>
    <mc:AlternateContent xmlns:mc="http://schemas.openxmlformats.org/markup-compatibility/2006">
      <mc:Choice Requires="x14">
        <control shapeId="19461" r:id="rId3" name="CheckBox2">
          <controlPr autoLine="0" autoPict="0" linkedCell="About!N86" r:id="rId4">
            <anchor moveWithCells="1">
              <from>
                <xdr:col>9</xdr:col>
                <xdr:colOff>38100</xdr:colOff>
                <xdr:row>14</xdr:row>
                <xdr:rowOff>47625</xdr:rowOff>
              </from>
              <to>
                <xdr:col>13</xdr:col>
                <xdr:colOff>885825</xdr:colOff>
                <xdr:row>16</xdr:row>
                <xdr:rowOff>85725</xdr:rowOff>
              </to>
            </anchor>
          </controlPr>
        </control>
      </mc:Choice>
      <mc:Fallback>
        <control shapeId="19461" r:id="rId3" name="CheckBox2"/>
      </mc:Fallback>
    </mc:AlternateContent>
    <mc:AlternateContent xmlns:mc="http://schemas.openxmlformats.org/markup-compatibility/2006">
      <mc:Choice Requires="x14">
        <control shapeId="19462" r:id="rId5" name="CheckBox1">
          <controlPr autoLine="0" autoPict="0" linkedCell="About!N88" r:id="rId6">
            <anchor moveWithCells="1">
              <from>
                <xdr:col>9</xdr:col>
                <xdr:colOff>38100</xdr:colOff>
                <xdr:row>12</xdr:row>
                <xdr:rowOff>0</xdr:rowOff>
              </from>
              <to>
                <xdr:col>13</xdr:col>
                <xdr:colOff>866775</xdr:colOff>
                <xdr:row>14</xdr:row>
                <xdr:rowOff>171450</xdr:rowOff>
              </to>
            </anchor>
          </controlPr>
        </control>
      </mc:Choice>
      <mc:Fallback>
        <control shapeId="19462" r:id="rId5" name="CheckBox1"/>
      </mc:Fallback>
    </mc:AlternateContent>
    <mc:AlternateContent xmlns:mc="http://schemas.openxmlformats.org/markup-compatibility/2006">
      <mc:Choice Requires="x14">
        <control shapeId="19480" r:id="rId7" name="ComboBox1">
          <controlPr locked="0" defaultSize="0" autoLine="0" autoPict="0" linkedCell="D130" listFillRange="D128:D129" r:id="rId8">
            <anchor moveWithCells="1">
              <from>
                <xdr:col>2</xdr:col>
                <xdr:colOff>0</xdr:colOff>
                <xdr:row>128</xdr:row>
                <xdr:rowOff>0</xdr:rowOff>
              </from>
              <to>
                <xdr:col>3</xdr:col>
                <xdr:colOff>47625</xdr:colOff>
                <xdr:row>129</xdr:row>
                <xdr:rowOff>9525</xdr:rowOff>
              </to>
            </anchor>
          </controlPr>
        </control>
      </mc:Choice>
      <mc:Fallback>
        <control shapeId="19480" r:id="rId7" name="ComboBox1"/>
      </mc:Fallback>
    </mc:AlternateContent>
    <mc:AlternateContent xmlns:mc="http://schemas.openxmlformats.org/markup-compatibility/2006">
      <mc:Choice Requires="x14">
        <control shapeId="19683" r:id="rId9" name="ComboBox2">
          <controlPr locked="0" defaultSize="0" autoLine="0" linkedCell="D147" listFillRange="D145:D146" r:id="rId10">
            <anchor moveWithCells="1">
              <from>
                <xdr:col>2</xdr:col>
                <xdr:colOff>28575</xdr:colOff>
                <xdr:row>145</xdr:row>
                <xdr:rowOff>0</xdr:rowOff>
              </from>
              <to>
                <xdr:col>3</xdr:col>
                <xdr:colOff>38100</xdr:colOff>
                <xdr:row>146</xdr:row>
                <xdr:rowOff>9525</xdr:rowOff>
              </to>
            </anchor>
          </controlPr>
        </control>
      </mc:Choice>
      <mc:Fallback>
        <control shapeId="19683" r:id="rId9" name="ComboBox2"/>
      </mc:Fallback>
    </mc:AlternateContent>
    <mc:AlternateContent xmlns:mc="http://schemas.openxmlformats.org/markup-compatibility/2006">
      <mc:Choice Requires="x14">
        <control shapeId="20036" r:id="rId11" name="cmdTrackChanges">
          <controlPr defaultSize="0" autoLine="0" r:id="rId12">
            <anchor moveWithCells="1">
              <from>
                <xdr:col>1</xdr:col>
                <xdr:colOff>1314450</xdr:colOff>
                <xdr:row>18</xdr:row>
                <xdr:rowOff>95250</xdr:rowOff>
              </from>
              <to>
                <xdr:col>3</xdr:col>
                <xdr:colOff>485775</xdr:colOff>
                <xdr:row>19</xdr:row>
                <xdr:rowOff>219075</xdr:rowOff>
              </to>
            </anchor>
          </controlPr>
        </control>
      </mc:Choice>
      <mc:Fallback>
        <control shapeId="20036" r:id="rId11" name="cmdTrackChanges"/>
      </mc:Fallback>
    </mc:AlternateContent>
    <mc:AlternateContent xmlns:mc="http://schemas.openxmlformats.org/markup-compatibility/2006">
      <mc:Choice Requires="x14">
        <control shapeId="20111" r:id="rId13" name="Label 655">
          <controlPr defaultSize="0" autoFill="0" autoLine="0" autoPict="0" macro="[0]!GoToAbout">
            <anchor moveWithCells="1" sizeWithCells="1">
              <from>
                <xdr:col>10</xdr:col>
                <xdr:colOff>428625</xdr:colOff>
                <xdr:row>0</xdr:row>
                <xdr:rowOff>800100</xdr:rowOff>
              </from>
              <to>
                <xdr:col>12</xdr:col>
                <xdr:colOff>76200</xdr:colOff>
                <xdr:row>1</xdr:row>
                <xdr:rowOff>0</xdr:rowOff>
              </to>
            </anchor>
          </controlPr>
        </control>
      </mc:Choice>
    </mc:AlternateContent>
    <mc:AlternateContent xmlns:mc="http://schemas.openxmlformats.org/markup-compatibility/2006">
      <mc:Choice Requires="x14">
        <control shapeId="20112" r:id="rId14" name="Label 656">
          <controlPr defaultSize="0" autoFill="0" autoLine="0" autoPict="0" macro="[0]!GoToDirectory">
            <anchor moveWithCells="1" sizeWithCells="1">
              <from>
                <xdr:col>12</xdr:col>
                <xdr:colOff>161925</xdr:colOff>
                <xdr:row>0</xdr:row>
                <xdr:rowOff>800100</xdr:rowOff>
              </from>
              <to>
                <xdr:col>13</xdr:col>
                <xdr:colOff>990600</xdr:colOff>
                <xdr:row>1</xdr:row>
                <xdr:rowOff>0</xdr:rowOff>
              </to>
            </anchor>
          </controlPr>
        </control>
      </mc:Choice>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E6">
    <pageSetUpPr fitToPage="1"/>
  </sheetPr>
  <dimension ref="A1:O199"/>
  <sheetViews>
    <sheetView showGridLines="0" zoomScale="80" workbookViewId="0">
      <selection activeCell="A2" sqref="A2"/>
    </sheetView>
  </sheetViews>
  <sheetFormatPr baseColWidth="10" defaultColWidth="8.85546875" defaultRowHeight="12.75" x14ac:dyDescent="0.2"/>
  <cols>
    <col min="1" max="1" width="22.5703125" style="360" customWidth="1"/>
    <col min="2" max="2" width="25.85546875" style="360" customWidth="1"/>
    <col min="3" max="3" width="9.7109375" style="360" customWidth="1"/>
    <col min="4" max="4" width="20.140625" style="360" customWidth="1"/>
    <col min="5" max="5" width="14.85546875" style="360" customWidth="1"/>
    <col min="6" max="6" width="8.5703125" style="360" customWidth="1"/>
    <col min="7" max="7" width="2.85546875" style="360" customWidth="1"/>
    <col min="8" max="8" width="19.5703125" style="360" customWidth="1"/>
    <col min="9" max="12" width="9.140625" style="360" customWidth="1"/>
    <col min="13" max="13" width="2.5703125" style="360" customWidth="1"/>
    <col min="14" max="14" width="16.7109375" style="360" customWidth="1"/>
    <col min="15" max="15" width="13.7109375" style="360" customWidth="1"/>
    <col min="16" max="16384" width="8.85546875" style="361"/>
  </cols>
  <sheetData>
    <row r="1" spans="1:15" ht="102" customHeight="1" x14ac:dyDescent="0.2"/>
    <row r="2" spans="1:15" ht="27.75" customHeight="1" x14ac:dyDescent="0.25">
      <c r="A2" s="362" t="s">
        <v>949</v>
      </c>
      <c r="B2" s="363"/>
      <c r="C2" s="364"/>
      <c r="D2" s="364"/>
      <c r="E2" s="364"/>
      <c r="F2" s="365"/>
      <c r="G2" s="365"/>
      <c r="H2" s="366"/>
      <c r="I2" s="367"/>
      <c r="J2" s="368"/>
      <c r="K2" s="369"/>
      <c r="L2" s="370"/>
      <c r="M2" s="367"/>
      <c r="N2" s="367"/>
      <c r="O2" s="371" t="str">
        <f>About!D2</f>
        <v>Version 4d for Testing</v>
      </c>
    </row>
    <row r="3" spans="1:15" ht="27.75" customHeight="1" x14ac:dyDescent="0.25">
      <c r="A3" s="372" t="s">
        <v>1050</v>
      </c>
      <c r="B3" s="373"/>
      <c r="C3" s="374"/>
      <c r="D3" s="374"/>
      <c r="E3" s="373"/>
      <c r="F3" s="373"/>
      <c r="G3" s="373"/>
      <c r="H3" s="375"/>
      <c r="I3" s="376"/>
      <c r="J3" s="377"/>
      <c r="K3" s="378"/>
      <c r="L3" s="377"/>
      <c r="M3" s="377"/>
      <c r="N3" s="379"/>
      <c r="O3" s="378"/>
    </row>
    <row r="4" spans="1:15" ht="16.5" customHeight="1" x14ac:dyDescent="0.25">
      <c r="A4" s="380" t="s">
        <v>861</v>
      </c>
      <c r="B4" s="381" t="s">
        <v>854</v>
      </c>
      <c r="C4" s="381" t="s">
        <v>1057</v>
      </c>
      <c r="D4" s="381" t="s">
        <v>852</v>
      </c>
      <c r="E4" s="382" t="s">
        <v>1047</v>
      </c>
      <c r="F4" s="383" t="s">
        <v>1125</v>
      </c>
      <c r="G4" s="384"/>
      <c r="H4" s="385" t="s">
        <v>869</v>
      </c>
      <c r="I4" s="386"/>
      <c r="J4" s="387" t="s">
        <v>1063</v>
      </c>
      <c r="K4" s="388"/>
      <c r="L4" s="389"/>
      <c r="M4" s="390"/>
      <c r="N4" s="387" t="s">
        <v>391</v>
      </c>
      <c r="O4" s="391"/>
    </row>
    <row r="5" spans="1:15" ht="16.5" customHeight="1" x14ac:dyDescent="0.25">
      <c r="A5" s="392" t="s">
        <v>863</v>
      </c>
      <c r="B5" s="393" t="s">
        <v>853</v>
      </c>
      <c r="C5" s="393" t="s">
        <v>1062</v>
      </c>
      <c r="D5" s="393" t="s">
        <v>853</v>
      </c>
      <c r="E5" s="394"/>
      <c r="F5" s="395" t="s">
        <v>1126</v>
      </c>
      <c r="G5" s="396"/>
      <c r="H5" s="397" t="s">
        <v>866</v>
      </c>
      <c r="I5" s="390"/>
      <c r="J5" s="398" t="str">
        <f>A65</f>
        <v>Ethanol plant</v>
      </c>
      <c r="K5" s="399"/>
      <c r="L5" s="400"/>
      <c r="M5" s="390"/>
      <c r="N5" s="398" t="s">
        <v>392</v>
      </c>
      <c r="O5" s="400"/>
    </row>
    <row r="6" spans="1:15" ht="16.5" customHeight="1" x14ac:dyDescent="0.35">
      <c r="A6" s="401" t="s">
        <v>170</v>
      </c>
      <c r="B6" s="402"/>
      <c r="C6" s="403"/>
      <c r="D6" s="404"/>
      <c r="E6" s="405">
        <f>IF(F6="A",D7,H6)</f>
        <v>23.428245342469936</v>
      </c>
      <c r="F6" s="406" t="s">
        <v>1127</v>
      </c>
      <c r="G6" s="407"/>
      <c r="H6" s="408">
        <v>23</v>
      </c>
      <c r="I6" s="390"/>
      <c r="J6" s="409">
        <f>F96/F98</f>
        <v>0.59511653718091007</v>
      </c>
      <c r="K6" s="410" t="s">
        <v>1032</v>
      </c>
      <c r="L6" s="411"/>
      <c r="M6" s="390"/>
      <c r="N6" s="412">
        <v>83.8</v>
      </c>
      <c r="O6" s="413" t="s">
        <v>394</v>
      </c>
    </row>
    <row r="7" spans="1:15" ht="12" customHeight="1" x14ac:dyDescent="0.2">
      <c r="A7" s="398" t="str">
        <f>A21</f>
        <v>Cultivation of wheat</v>
      </c>
      <c r="B7" s="414">
        <f>L43</f>
        <v>39.367491707507298</v>
      </c>
      <c r="C7" s="415">
        <f>J6</f>
        <v>0.59511653718091007</v>
      </c>
      <c r="D7" s="416">
        <f>C7*B7</f>
        <v>23.428245342469936</v>
      </c>
      <c r="E7" s="1215"/>
      <c r="F7" s="418"/>
      <c r="G7" s="418"/>
      <c r="H7" s="419">
        <f>23.43</f>
        <v>23.43</v>
      </c>
      <c r="I7" s="390"/>
      <c r="J7" s="420">
        <f>1-J6</f>
        <v>0.40488346281908993</v>
      </c>
      <c r="K7" s="421" t="s">
        <v>1033</v>
      </c>
      <c r="L7" s="422"/>
      <c r="M7" s="390"/>
      <c r="N7" s="398" t="s">
        <v>393</v>
      </c>
      <c r="O7" s="400"/>
    </row>
    <row r="8" spans="1:15" ht="16.5" customHeight="1" x14ac:dyDescent="0.35">
      <c r="A8" s="401" t="s">
        <v>544</v>
      </c>
      <c r="B8" s="423"/>
      <c r="C8" s="423"/>
      <c r="D8" s="424"/>
      <c r="E8" s="425">
        <f>IF(F8="A",D9,H8)</f>
        <v>0.79564624539595186</v>
      </c>
      <c r="F8" s="406" t="s">
        <v>1127</v>
      </c>
      <c r="G8" s="407"/>
      <c r="H8" s="408">
        <v>1</v>
      </c>
      <c r="I8" s="390"/>
      <c r="J8" s="390"/>
      <c r="K8" s="390"/>
      <c r="L8" s="390"/>
      <c r="M8" s="390"/>
      <c r="N8" s="426">
        <f>(N6-E18)/N6</f>
        <v>0.68816127827766504</v>
      </c>
      <c r="O8" s="427"/>
    </row>
    <row r="9" spans="1:15" ht="12" customHeight="1" x14ac:dyDescent="0.2">
      <c r="A9" s="398" t="str">
        <f>A65</f>
        <v>Ethanol plant</v>
      </c>
      <c r="B9" s="414">
        <f>L90</f>
        <v>1.3369587226813739</v>
      </c>
      <c r="C9" s="415">
        <f>J6</f>
        <v>0.59511653718091007</v>
      </c>
      <c r="D9" s="416">
        <f>C9*B9</f>
        <v>0.79564624539595186</v>
      </c>
      <c r="E9" s="417"/>
      <c r="F9" s="418"/>
      <c r="G9" s="418"/>
      <c r="H9" s="419">
        <f>1.4*0.61</f>
        <v>0.85399999999999998</v>
      </c>
      <c r="I9" s="390"/>
      <c r="J9" s="390"/>
      <c r="K9" s="390"/>
      <c r="L9" s="390"/>
      <c r="M9" s="390"/>
      <c r="N9" s="390"/>
      <c r="O9" s="428"/>
    </row>
    <row r="10" spans="1:15" ht="16.5" customHeight="1" x14ac:dyDescent="0.35">
      <c r="A10" s="401" t="s">
        <v>545</v>
      </c>
      <c r="B10" s="423"/>
      <c r="C10" s="423"/>
      <c r="D10" s="424"/>
      <c r="E10" s="425">
        <f>IF(F10="A",D11+D12+D13+D14, H10)</f>
        <v>1.908193292465783</v>
      </c>
      <c r="F10" s="406" t="s">
        <v>1127</v>
      </c>
      <c r="G10" s="407"/>
      <c r="H10" s="408">
        <v>2</v>
      </c>
      <c r="I10" s="390"/>
      <c r="J10" s="390"/>
      <c r="K10" s="390"/>
      <c r="L10" s="390"/>
      <c r="M10" s="390"/>
      <c r="N10" s="390"/>
      <c r="O10" s="430"/>
    </row>
    <row r="11" spans="1:15" ht="13.5" thickBot="1" x14ac:dyDescent="0.25">
      <c r="A11" s="398" t="str">
        <f>A46</f>
        <v xml:space="preserve">Handling &amp; storage </v>
      </c>
      <c r="B11" s="414">
        <f>L52</f>
        <v>9.7721115771996853E-2</v>
      </c>
      <c r="C11" s="415">
        <f>J6</f>
        <v>0.59511653718091007</v>
      </c>
      <c r="D11" s="416">
        <f t="shared" ref="D11:D17" si="0">C11*B11</f>
        <v>5.8155452027685579E-2</v>
      </c>
      <c r="E11" s="1215"/>
      <c r="F11" s="407"/>
      <c r="G11" s="407"/>
      <c r="H11" s="1426">
        <f>0.38</f>
        <v>0.38</v>
      </c>
      <c r="I11" s="390"/>
      <c r="J11" s="390"/>
      <c r="K11" s="390"/>
      <c r="L11" s="390"/>
      <c r="M11" s="390"/>
      <c r="N11" s="390"/>
      <c r="O11" s="1428"/>
    </row>
    <row r="12" spans="1:15" ht="12" customHeight="1" x14ac:dyDescent="0.2">
      <c r="A12" s="398" t="str">
        <f>A55</f>
        <v>Transport of wheat</v>
      </c>
      <c r="B12" s="414">
        <f>L62</f>
        <v>0.52060153661066044</v>
      </c>
      <c r="C12" s="415">
        <f>J6</f>
        <v>0.59511653718091007</v>
      </c>
      <c r="D12" s="416">
        <f t="shared" si="0"/>
        <v>0.309818583718797</v>
      </c>
      <c r="E12" s="1215"/>
      <c r="F12" s="418"/>
      <c r="G12" s="418"/>
      <c r="H12" s="1427"/>
      <c r="I12" s="390"/>
      <c r="J12" s="432" t="s">
        <v>140</v>
      </c>
      <c r="K12" s="433"/>
      <c r="L12" s="433"/>
      <c r="M12" s="433"/>
      <c r="N12" s="434"/>
      <c r="O12" s="1428"/>
    </row>
    <row r="13" spans="1:15" ht="12" customHeight="1" x14ac:dyDescent="0.2">
      <c r="A13" s="398" t="str">
        <f>A102</f>
        <v>Transport of ethanol to depot</v>
      </c>
      <c r="B13" s="414">
        <f>L111</f>
        <v>0.60397867724853904</v>
      </c>
      <c r="C13" s="415">
        <v>1</v>
      </c>
      <c r="D13" s="416">
        <f t="shared" si="0"/>
        <v>0.60397867724853904</v>
      </c>
      <c r="E13" s="436"/>
      <c r="F13" s="437"/>
      <c r="G13" s="437"/>
      <c r="H13" s="419">
        <f>1.1</f>
        <v>1.1000000000000001</v>
      </c>
      <c r="I13" s="390"/>
      <c r="J13" s="438"/>
      <c r="K13" s="439"/>
      <c r="L13" s="439"/>
      <c r="M13" s="439"/>
      <c r="N13" s="440"/>
      <c r="O13" s="441"/>
    </row>
    <row r="14" spans="1:15" ht="12" customHeight="1" x14ac:dyDescent="0.2">
      <c r="A14" s="398" t="str">
        <f>A114</f>
        <v>Transport to filling station</v>
      </c>
      <c r="B14" s="414">
        <f>L123</f>
        <v>0.93624057947076134</v>
      </c>
      <c r="C14" s="415">
        <v>1</v>
      </c>
      <c r="D14" s="416">
        <f t="shared" si="0"/>
        <v>0.93624057947076134</v>
      </c>
      <c r="E14" s="436"/>
      <c r="F14" s="437"/>
      <c r="G14" s="437"/>
      <c r="H14" s="419">
        <f>0.44</f>
        <v>0.44</v>
      </c>
      <c r="I14" s="390"/>
      <c r="J14" s="438"/>
      <c r="K14" s="439"/>
      <c r="L14" s="439"/>
      <c r="M14" s="442"/>
      <c r="N14" s="443"/>
      <c r="O14" s="441"/>
    </row>
    <row r="15" spans="1:15" ht="17.25" customHeight="1" x14ac:dyDescent="0.35">
      <c r="A15" s="444" t="s">
        <v>551</v>
      </c>
      <c r="B15" s="445">
        <f>L135</f>
        <v>0</v>
      </c>
      <c r="C15" s="446">
        <f>J6</f>
        <v>0.59511653718091007</v>
      </c>
      <c r="D15" s="445">
        <f t="shared" si="0"/>
        <v>0</v>
      </c>
      <c r="E15" s="425">
        <f>D15</f>
        <v>0</v>
      </c>
      <c r="F15" s="451"/>
      <c r="G15" s="451"/>
      <c r="H15" s="447">
        <v>0</v>
      </c>
      <c r="I15" s="390"/>
      <c r="J15" s="438"/>
      <c r="K15" s="439"/>
      <c r="L15" s="439"/>
      <c r="M15" s="448"/>
      <c r="N15" s="449"/>
      <c r="O15" s="450"/>
    </row>
    <row r="16" spans="1:15" ht="16.5" customHeight="1" x14ac:dyDescent="0.35">
      <c r="A16" s="444" t="s">
        <v>724</v>
      </c>
      <c r="B16" s="445">
        <f>L154-L138</f>
        <v>0</v>
      </c>
      <c r="C16" s="446">
        <v>1</v>
      </c>
      <c r="D16" s="445">
        <f t="shared" si="0"/>
        <v>0</v>
      </c>
      <c r="E16" s="425">
        <f>D16</f>
        <v>0</v>
      </c>
      <c r="F16" s="451"/>
      <c r="G16" s="451"/>
      <c r="H16" s="447">
        <v>0</v>
      </c>
      <c r="I16" s="379"/>
      <c r="J16" s="438"/>
      <c r="K16" s="439"/>
      <c r="L16" s="439"/>
      <c r="M16" s="448"/>
      <c r="N16" s="449"/>
      <c r="O16" s="450"/>
    </row>
    <row r="17" spans="1:15" ht="16.5" customHeight="1" thickBot="1" x14ac:dyDescent="0.4">
      <c r="A17" s="444" t="s">
        <v>725</v>
      </c>
      <c r="B17" s="445">
        <f>L160+L166</f>
        <v>0</v>
      </c>
      <c r="C17" s="446">
        <v>1</v>
      </c>
      <c r="D17" s="445">
        <f t="shared" si="0"/>
        <v>0</v>
      </c>
      <c r="E17" s="425">
        <f>D17</f>
        <v>0</v>
      </c>
      <c r="F17" s="451"/>
      <c r="G17" s="451"/>
      <c r="H17" s="447">
        <v>0</v>
      </c>
      <c r="I17" s="379"/>
      <c r="J17" s="459" t="s">
        <v>1</v>
      </c>
      <c r="K17" s="460"/>
      <c r="L17" s="460"/>
      <c r="M17" s="461"/>
      <c r="N17" s="462"/>
      <c r="O17" s="450"/>
    </row>
    <row r="18" spans="1:15" ht="16.5" customHeight="1" thickBot="1" x14ac:dyDescent="0.3">
      <c r="A18" s="452" t="s">
        <v>1049</v>
      </c>
      <c r="B18" s="453">
        <f>SUM(B7:B15)-SUM(B16:B17)</f>
        <v>42.862992339290635</v>
      </c>
      <c r="C18" s="454"/>
      <c r="D18" s="455"/>
      <c r="E18" s="456">
        <f>SUM(E6:E15)-SUM(E16:E17)</f>
        <v>26.132084880331668</v>
      </c>
      <c r="F18" s="457"/>
      <c r="G18" s="457"/>
      <c r="H18" s="458">
        <v>26</v>
      </c>
      <c r="I18" s="379"/>
      <c r="J18" s="650"/>
      <c r="K18" s="651"/>
      <c r="L18" s="651"/>
      <c r="M18" s="652"/>
      <c r="N18" s="652"/>
      <c r="O18" s="463"/>
    </row>
    <row r="19" spans="1:15" ht="16.5" customHeight="1" x14ac:dyDescent="0.25">
      <c r="A19" s="464"/>
      <c r="B19" s="465"/>
      <c r="E19" s="466" t="s">
        <v>859</v>
      </c>
      <c r="F19" s="467"/>
      <c r="G19" s="467"/>
      <c r="H19" s="468"/>
      <c r="I19" s="469"/>
      <c r="J19" s="470"/>
      <c r="K19" s="433"/>
      <c r="L19" s="471"/>
      <c r="M19" s="433"/>
      <c r="N19" s="433"/>
      <c r="O19" s="472"/>
    </row>
    <row r="20" spans="1:15" ht="22.5" customHeight="1" thickBot="1" x14ac:dyDescent="0.25">
      <c r="A20" s="473" t="s">
        <v>1051</v>
      </c>
      <c r="B20" s="379"/>
      <c r="E20" s="474" t="s">
        <v>860</v>
      </c>
      <c r="F20" s="442"/>
      <c r="G20" s="442"/>
      <c r="H20" s="442"/>
      <c r="I20" s="439"/>
      <c r="J20" s="475"/>
      <c r="K20" s="475"/>
      <c r="L20" s="476"/>
      <c r="M20" s="477"/>
      <c r="N20" s="477"/>
      <c r="O20" s="478"/>
    </row>
    <row r="21" spans="1:15" ht="15.75" x14ac:dyDescent="0.25">
      <c r="A21" s="479" t="s">
        <v>490</v>
      </c>
      <c r="B21" s="480"/>
      <c r="C21" s="480"/>
      <c r="D21" s="480"/>
      <c r="E21" s="479" t="s">
        <v>513</v>
      </c>
      <c r="F21" s="481"/>
      <c r="G21" s="481"/>
      <c r="H21" s="480"/>
      <c r="I21" s="482" t="s">
        <v>532</v>
      </c>
      <c r="J21" s="481"/>
      <c r="K21" s="481"/>
      <c r="L21" s="483"/>
      <c r="M21" s="715"/>
      <c r="N21" s="530" t="s">
        <v>162</v>
      </c>
      <c r="O21" s="773"/>
    </row>
    <row r="22" spans="1:15" ht="15.75" x14ac:dyDescent="0.25">
      <c r="A22" s="486"/>
      <c r="B22" s="487" t="s">
        <v>524</v>
      </c>
      <c r="C22" s="488"/>
      <c r="D22" s="488"/>
      <c r="E22" s="489" t="s">
        <v>524</v>
      </c>
      <c r="F22" s="490"/>
      <c r="G22" s="490"/>
      <c r="H22" s="491"/>
      <c r="I22" s="492" t="s">
        <v>138</v>
      </c>
      <c r="J22" s="490"/>
      <c r="K22" s="490"/>
      <c r="L22" s="493"/>
      <c r="M22" s="484"/>
      <c r="N22" s="538" t="s">
        <v>163</v>
      </c>
      <c r="O22" s="749" t="s">
        <v>139</v>
      </c>
    </row>
    <row r="23" spans="1:15" ht="16.5" x14ac:dyDescent="0.3">
      <c r="A23" s="494"/>
      <c r="B23" s="495" t="s">
        <v>1034</v>
      </c>
      <c r="C23" s="496">
        <v>5208.2168117301198</v>
      </c>
      <c r="D23" s="497" t="s">
        <v>527</v>
      </c>
      <c r="E23" s="656">
        <f>C23*(1-C24)*VLOOKUP($B23,'Standard values'!$C$9:$S$162,14, FALSE)</f>
        <v>76586.828216491413</v>
      </c>
      <c r="F23" s="499" t="s">
        <v>1052</v>
      </c>
      <c r="G23" s="499"/>
      <c r="H23" s="499"/>
      <c r="I23" s="500" t="s">
        <v>1053</v>
      </c>
      <c r="J23" s="500" t="s">
        <v>1054</v>
      </c>
      <c r="K23" s="500" t="s">
        <v>1055</v>
      </c>
      <c r="L23" s="501" t="s">
        <v>1056</v>
      </c>
      <c r="M23" s="379"/>
      <c r="N23" s="540" t="s">
        <v>1056</v>
      </c>
      <c r="O23" s="540" t="s">
        <v>550</v>
      </c>
    </row>
    <row r="24" spans="1:15" ht="15.75" x14ac:dyDescent="0.3">
      <c r="A24" s="503"/>
      <c r="B24" s="495" t="s">
        <v>521</v>
      </c>
      <c r="C24" s="504">
        <v>0.13500000000000001</v>
      </c>
      <c r="D24" s="497"/>
      <c r="E24" s="505">
        <v>1</v>
      </c>
      <c r="F24" s="506" t="s">
        <v>53</v>
      </c>
      <c r="G24" s="506"/>
      <c r="H24" s="495"/>
      <c r="I24" s="507"/>
      <c r="J24" s="508"/>
      <c r="K24" s="508"/>
      <c r="L24" s="509"/>
      <c r="M24" s="379"/>
      <c r="N24" s="541"/>
      <c r="O24" s="541"/>
    </row>
    <row r="25" spans="1:15" ht="15.75" x14ac:dyDescent="0.3">
      <c r="A25" s="503"/>
      <c r="B25" s="495" t="s">
        <v>124</v>
      </c>
      <c r="C25" s="723">
        <v>2148.3894348386743</v>
      </c>
      <c r="D25" s="497" t="s">
        <v>527</v>
      </c>
      <c r="E25" s="510">
        <f>+C23/E171</f>
        <v>0.12800378600858547</v>
      </c>
      <c r="F25" s="506" t="s">
        <v>161</v>
      </c>
      <c r="G25" s="506"/>
      <c r="H25" s="495"/>
      <c r="I25" s="508"/>
      <c r="J25" s="508"/>
      <c r="K25" s="508"/>
      <c r="L25" s="509"/>
      <c r="M25" s="379"/>
      <c r="N25" s="541"/>
      <c r="O25" s="541"/>
    </row>
    <row r="26" spans="1:15" x14ac:dyDescent="0.2">
      <c r="A26" s="503"/>
      <c r="B26" s="495"/>
      <c r="C26" s="660"/>
      <c r="D26" s="497"/>
      <c r="E26" s="503"/>
      <c r="F26" s="495"/>
      <c r="G26" s="495"/>
      <c r="H26" s="495"/>
      <c r="I26" s="546"/>
      <c r="J26" s="546"/>
      <c r="K26" s="546"/>
      <c r="L26" s="661"/>
      <c r="M26" s="379"/>
      <c r="N26" s="541"/>
      <c r="O26" s="541"/>
    </row>
    <row r="27" spans="1:15" x14ac:dyDescent="0.2">
      <c r="A27" s="503"/>
      <c r="B27" s="511" t="s">
        <v>525</v>
      </c>
      <c r="C27" s="660"/>
      <c r="D27" s="497"/>
      <c r="E27" s="503"/>
      <c r="F27" s="495"/>
      <c r="G27" s="495"/>
      <c r="H27" s="495"/>
      <c r="I27" s="546"/>
      <c r="J27" s="546"/>
      <c r="K27" s="546"/>
      <c r="L27" s="661"/>
      <c r="M27" s="379"/>
      <c r="N27" s="541"/>
      <c r="O27" s="541"/>
    </row>
    <row r="28" spans="1:15" ht="14.25" x14ac:dyDescent="0.2">
      <c r="A28" s="503"/>
      <c r="B28" s="495" t="s">
        <v>509</v>
      </c>
      <c r="C28" s="723">
        <v>3716.5</v>
      </c>
      <c r="D28" s="497" t="s">
        <v>528</v>
      </c>
      <c r="E28" s="513"/>
      <c r="F28" s="495"/>
      <c r="G28" s="495"/>
      <c r="H28" s="495"/>
      <c r="I28" s="508">
        <f>$C28*VLOOKUP($B28,'Standard values'!$C$9:$S$162,7, FALSE)/$E$171</f>
        <v>8.0050631067823872</v>
      </c>
      <c r="J28" s="508">
        <f>$C28*VLOOKUP($B28,'Standard values'!$C$9:$S$162,8, FALSE)/$E$171</f>
        <v>0</v>
      </c>
      <c r="K28" s="508">
        <f>$C28*VLOOKUP($B28,'Standard values'!$C$9:$S$162,9, FALSE)/$E$171</f>
        <v>0</v>
      </c>
      <c r="L28" s="509">
        <f>I28*'Standard values'!$D$10+J28*'Standard values'!$D$11+K28*'Standard values'!$D$12</f>
        <v>8.0050631067823872</v>
      </c>
      <c r="M28" s="379"/>
      <c r="N28" s="562">
        <f>+L28/$E$25</f>
        <v>62.537705769464282</v>
      </c>
      <c r="O28" s="750">
        <f>L28*$E$171/1000</f>
        <v>325.70993055555556</v>
      </c>
    </row>
    <row r="29" spans="1:15" x14ac:dyDescent="0.2">
      <c r="A29" s="503"/>
      <c r="B29" s="495"/>
      <c r="C29" s="660"/>
      <c r="D29" s="497"/>
      <c r="E29" s="513"/>
      <c r="F29" s="495"/>
      <c r="G29" s="495"/>
      <c r="H29" s="495"/>
      <c r="I29" s="508"/>
      <c r="J29" s="508"/>
      <c r="K29" s="508"/>
      <c r="L29" s="509"/>
      <c r="M29" s="379"/>
      <c r="N29" s="562"/>
      <c r="O29" s="750"/>
    </row>
    <row r="30" spans="1:15" x14ac:dyDescent="0.2">
      <c r="A30" s="503"/>
      <c r="B30" s="511" t="s">
        <v>1045</v>
      </c>
      <c r="C30" s="660"/>
      <c r="D30" s="497"/>
      <c r="E30" s="513"/>
      <c r="F30" s="495"/>
      <c r="G30" s="495"/>
      <c r="H30" s="495"/>
      <c r="I30" s="508"/>
      <c r="J30" s="508"/>
      <c r="K30" s="508"/>
      <c r="L30" s="509"/>
      <c r="M30" s="379"/>
      <c r="N30" s="562"/>
      <c r="O30" s="750"/>
    </row>
    <row r="31" spans="1:15" ht="14.25" x14ac:dyDescent="0.2">
      <c r="A31" s="503"/>
      <c r="B31" s="495" t="s">
        <v>231</v>
      </c>
      <c r="C31" s="556">
        <v>109.30441083988111</v>
      </c>
      <c r="D31" s="497" t="s">
        <v>529</v>
      </c>
      <c r="E31" s="513"/>
      <c r="F31" s="495"/>
      <c r="G31" s="495"/>
      <c r="H31" s="495"/>
      <c r="I31" s="508">
        <f>$C31*VLOOKUP($B31,'Standard values'!$C$9:$S$162,3, FALSE)/$E$171</f>
        <v>7.5944794094809875</v>
      </c>
      <c r="J31" s="508">
        <f>$C31*VLOOKUP($B31,'Standard values'!$C$9:$S$162,4, FALSE)/$E$171</f>
        <v>2.3314769599091817E-2</v>
      </c>
      <c r="K31" s="508">
        <f>$C31*VLOOKUP($B31,'Standard values'!$C$9:$S$162,5, FALSE)/$E$171</f>
        <v>2.5901777379421516E-2</v>
      </c>
      <c r="L31" s="509">
        <f>I31*'Standard values'!$D$10+J31*'Standard values'!$D$11+K31*'Standard values'!$D$12</f>
        <v>15.896078308525894</v>
      </c>
      <c r="M31" s="379"/>
      <c r="N31" s="562">
        <f>+L31/$E$25</f>
        <v>124.18443863418003</v>
      </c>
      <c r="O31" s="750">
        <f>L31*$E$171/1000</f>
        <v>646.77948104980374</v>
      </c>
    </row>
    <row r="32" spans="1:15" ht="14.25" x14ac:dyDescent="0.2">
      <c r="A32" s="503"/>
      <c r="B32" s="495" t="s">
        <v>504</v>
      </c>
      <c r="C32" s="556">
        <v>0</v>
      </c>
      <c r="D32" s="497" t="s">
        <v>529</v>
      </c>
      <c r="E32" s="513"/>
      <c r="F32" s="495"/>
      <c r="G32" s="495"/>
      <c r="H32" s="495"/>
      <c r="I32" s="508">
        <f>$C32*VLOOKUP($B32,'Standard values'!$C$9:$S$162,3, FALSE)/$E$171</f>
        <v>0</v>
      </c>
      <c r="J32" s="508">
        <f>$C32*VLOOKUP($B32,'Standard values'!$C$9:$S$162,4, FALSE)/$E$171</f>
        <v>0</v>
      </c>
      <c r="K32" s="508">
        <f>$C32*VLOOKUP($B32,'Standard values'!$C$9:$S$162,5, FALSE)/$E$171</f>
        <v>0</v>
      </c>
      <c r="L32" s="509">
        <f>I32*'Standard values'!$D$10+J32*'Standard values'!$D$11+K32*'Standard values'!$D$12</f>
        <v>0</v>
      </c>
      <c r="M32" s="379"/>
      <c r="N32" s="562">
        <f>+L32/$E$25</f>
        <v>0</v>
      </c>
      <c r="O32" s="750">
        <f>L32*$E$171/1000</f>
        <v>0</v>
      </c>
    </row>
    <row r="33" spans="1:15" ht="15.75" x14ac:dyDescent="0.3">
      <c r="A33" s="503"/>
      <c r="B33" s="495" t="s">
        <v>233</v>
      </c>
      <c r="C33" s="556">
        <v>16.357714030632511</v>
      </c>
      <c r="D33" s="497" t="s">
        <v>530</v>
      </c>
      <c r="E33" s="513"/>
      <c r="F33" s="495"/>
      <c r="G33" s="495"/>
      <c r="H33" s="495"/>
      <c r="I33" s="508">
        <f>$C33*VLOOKUP($B33,'Standard values'!$C$9:$S$162,3, FALSE)/$E$171</f>
        <v>0.21561203330840112</v>
      </c>
      <c r="J33" s="508">
        <f>$C33*VLOOKUP($B33,'Standard values'!$C$9:$S$162,4, FALSE)/$E$171</f>
        <v>6.3154588714152068E-4</v>
      </c>
      <c r="K33" s="508">
        <f>$C33*VLOOKUP($B33,'Standard values'!$C$9:$S$162,5, FALSE)/$E$171</f>
        <v>4.9449451981925676E-6</v>
      </c>
      <c r="L33" s="509">
        <f>I33*'Standard values'!$D$10+J33*'Standard values'!$D$11+K33*'Standard values'!$D$12</f>
        <v>0.23287427415600051</v>
      </c>
      <c r="M33" s="379"/>
      <c r="N33" s="562">
        <f>+L33/$E$25</f>
        <v>1.8192764559353045</v>
      </c>
      <c r="O33" s="750">
        <f>L33*$E$171/1000</f>
        <v>9.4751862229870447</v>
      </c>
    </row>
    <row r="34" spans="1:15" ht="15.75" x14ac:dyDescent="0.3">
      <c r="A34" s="503"/>
      <c r="B34" s="495" t="s">
        <v>232</v>
      </c>
      <c r="C34" s="556">
        <v>21.636015155139138</v>
      </c>
      <c r="D34" s="497" t="s">
        <v>531</v>
      </c>
      <c r="E34" s="513"/>
      <c r="F34" s="495"/>
      <c r="G34" s="495"/>
      <c r="H34" s="495"/>
      <c r="I34" s="508">
        <f>$C34*VLOOKUP($B34,'Standard values'!$C$9:$S$162,3, FALSE)/$E$171</f>
        <v>0.51308257670131951</v>
      </c>
      <c r="J34" s="508">
        <f>$C34*VLOOKUP($B34,'Standard values'!$C$9:$S$162,4, FALSE)/$E$171</f>
        <v>7.0776501649619532E-4</v>
      </c>
      <c r="K34" s="508">
        <f>$C34*VLOOKUP($B34,'Standard values'!$C$9:$S$162,5, FALSE)/$E$171</f>
        <v>2.7385348121377956E-5</v>
      </c>
      <c r="L34" s="509">
        <f>I34*'Standard values'!$D$10+J34*'Standard values'!$D$11+K34*'Standard values'!$D$12</f>
        <v>0.53893753585389503</v>
      </c>
      <c r="M34" s="379"/>
      <c r="N34" s="562">
        <f>+L34/$E$25</f>
        <v>4.2103249650580441</v>
      </c>
      <c r="O34" s="750">
        <f>L34*$E$171/1000</f>
        <v>21.928285265862336</v>
      </c>
    </row>
    <row r="35" spans="1:15" ht="14.25" x14ac:dyDescent="0.2">
      <c r="A35" s="503"/>
      <c r="B35" s="495" t="s">
        <v>502</v>
      </c>
      <c r="C35" s="556">
        <v>2.335</v>
      </c>
      <c r="D35" s="497" t="s">
        <v>527</v>
      </c>
      <c r="E35" s="513"/>
      <c r="F35" s="665"/>
      <c r="G35" s="665"/>
      <c r="H35" s="665"/>
      <c r="I35" s="508">
        <f>$C35*VLOOKUP($B35,'Standard values'!$C$9:$S$162,3, FALSE)/$E$171</f>
        <v>0.5673659957944569</v>
      </c>
      <c r="J35" s="508">
        <f>$C35*VLOOKUP($B35,'Standard values'!$C$9:$S$162,4, FALSE)/$E$171</f>
        <v>1.4649477146967333E-3</v>
      </c>
      <c r="K35" s="508">
        <f>$C35*VLOOKUP($B35,'Standard values'!$C$9:$S$162,5, FALSE)/$E$171</f>
        <v>9.64920843923159E-5</v>
      </c>
      <c r="L35" s="509">
        <f>I35*'Standard values'!$D$10+J35*'Standard values'!$D$11+K35*'Standard values'!$D$12</f>
        <v>0.63274432981078532</v>
      </c>
      <c r="M35" s="379"/>
      <c r="N35" s="562">
        <f>+L35/$E$25</f>
        <v>4.943168866648568</v>
      </c>
      <c r="O35" s="750">
        <f>L35*$E$171/1000</f>
        <v>25.745095194499996</v>
      </c>
    </row>
    <row r="36" spans="1:15" x14ac:dyDescent="0.2">
      <c r="A36" s="503"/>
      <c r="B36" s="495"/>
      <c r="C36" s="666"/>
      <c r="D36" s="497"/>
      <c r="E36" s="513"/>
      <c r="F36" s="665"/>
      <c r="G36" s="665"/>
      <c r="H36" s="665"/>
      <c r="I36" s="508"/>
      <c r="J36" s="508"/>
      <c r="K36" s="508"/>
      <c r="L36" s="509"/>
      <c r="M36" s="379"/>
      <c r="N36" s="562"/>
      <c r="O36" s="750"/>
    </row>
    <row r="37" spans="1:15" x14ac:dyDescent="0.2">
      <c r="A37" s="503"/>
      <c r="B37" s="511" t="s">
        <v>511</v>
      </c>
      <c r="C37" s="666"/>
      <c r="D37" s="497"/>
      <c r="E37" s="513"/>
      <c r="F37" s="495"/>
      <c r="G37" s="495"/>
      <c r="H37" s="665"/>
      <c r="I37" s="508"/>
      <c r="J37" s="508"/>
      <c r="K37" s="508"/>
      <c r="L37" s="509"/>
      <c r="M37" s="379"/>
      <c r="N37" s="562"/>
      <c r="O37" s="750"/>
    </row>
    <row r="38" spans="1:15" ht="14.25" x14ac:dyDescent="0.2">
      <c r="A38" s="503"/>
      <c r="B38" s="499" t="s">
        <v>1080</v>
      </c>
      <c r="C38" s="726">
        <v>120</v>
      </c>
      <c r="D38" s="497" t="s">
        <v>527</v>
      </c>
      <c r="E38" s="513"/>
      <c r="F38" s="495"/>
      <c r="G38" s="495"/>
      <c r="H38" s="495"/>
      <c r="I38" s="508">
        <f>$C38*VLOOKUP($B38,'Standard values'!$C$9:$S$162,3, FALSE)/$E$171</f>
        <v>0.44550452941118518</v>
      </c>
      <c r="J38" s="508">
        <f>$C38*VLOOKUP($B38,'Standard values'!$C$9:$S$162,4, FALSE)/$E$171</f>
        <v>8.172436068274115E-4</v>
      </c>
      <c r="K38" s="508">
        <f>$C38*VLOOKUP($B38,'Standard values'!$C$9:$S$162,5, FALSE)/$E$171</f>
        <v>1.1805940664489816E-3</v>
      </c>
      <c r="L38" s="509">
        <f>I38*'Standard values'!$D$10+J38*'Standard values'!$D$11+K38*'Standard values'!$D$12</f>
        <v>0.81775265138366704</v>
      </c>
      <c r="M38" s="379"/>
      <c r="N38" s="562">
        <f>+L38/$E$25</f>
        <v>6.3885036285475083</v>
      </c>
      <c r="O38" s="750">
        <f>L38*$E$171/1000</f>
        <v>33.272711999999999</v>
      </c>
    </row>
    <row r="39" spans="1:15" x14ac:dyDescent="0.2">
      <c r="A39" s="503"/>
      <c r="B39" s="511"/>
      <c r="C39" s="668"/>
      <c r="D39" s="497"/>
      <c r="E39" s="513"/>
      <c r="F39" s="495"/>
      <c r="G39" s="495"/>
      <c r="H39" s="495"/>
      <c r="I39" s="508"/>
      <c r="J39" s="508"/>
      <c r="K39" s="508"/>
      <c r="L39" s="509"/>
      <c r="M39" s="379"/>
      <c r="N39" s="562"/>
      <c r="O39" s="750"/>
    </row>
    <row r="40" spans="1:15" ht="15" x14ac:dyDescent="0.25">
      <c r="A40" s="503"/>
      <c r="B40" s="511" t="s">
        <v>1046</v>
      </c>
      <c r="C40" s="728">
        <v>1.8083001106671583</v>
      </c>
      <c r="D40" s="497" t="s">
        <v>527</v>
      </c>
      <c r="E40" s="513"/>
      <c r="F40" s="495"/>
      <c r="G40" s="495"/>
      <c r="H40" s="495"/>
      <c r="I40" s="508">
        <v>0</v>
      </c>
      <c r="J40" s="508">
        <v>0</v>
      </c>
      <c r="K40" s="508">
        <f>1000*$C40/$E$171</f>
        <v>4.4443092285216999E-2</v>
      </c>
      <c r="L40" s="509">
        <f>I40*'Standard values'!$D$10+J40*'Standard values'!$D$11+K40*'Standard values'!$D$12</f>
        <v>13.244041500994665</v>
      </c>
      <c r="M40" s="379"/>
      <c r="N40" s="562">
        <f>+L40/$E$25</f>
        <v>103.46601388888888</v>
      </c>
      <c r="O40" s="750">
        <f>L40*$E$171/1000</f>
        <v>538.87343297881318</v>
      </c>
    </row>
    <row r="41" spans="1:15" ht="15.75" x14ac:dyDescent="0.3">
      <c r="A41" s="503"/>
      <c r="B41" s="511"/>
      <c r="C41" s="670" t="s">
        <v>664</v>
      </c>
      <c r="D41" s="495"/>
      <c r="E41" s="513"/>
      <c r="F41" s="514"/>
      <c r="G41" s="514"/>
      <c r="H41" s="514" t="s">
        <v>1047</v>
      </c>
      <c r="I41" s="515">
        <f>SUM(I24:I40)</f>
        <v>17.341107651478737</v>
      </c>
      <c r="J41" s="515">
        <f>SUM(J24:J40)</f>
        <v>2.6936271824253677E-2</v>
      </c>
      <c r="K41" s="515">
        <f>SUM(K24:K40)</f>
        <v>7.1654286108799384E-2</v>
      </c>
      <c r="L41" s="516">
        <f>I41*'Standard values'!$D$10+J41*'Standard values'!$D$11+K41*'Standard values'!$D$12</f>
        <v>39.367491707507298</v>
      </c>
      <c r="M41" s="379"/>
      <c r="N41" s="1201">
        <f>+L41/E$25</f>
        <v>307.54943220872264</v>
      </c>
      <c r="O41" s="1202">
        <f>L41*$E$171/1000</f>
        <v>1601.7841232675221</v>
      </c>
    </row>
    <row r="42" spans="1:15" x14ac:dyDescent="0.2">
      <c r="A42" s="503"/>
      <c r="B42" s="511"/>
      <c r="C42" s="671" t="s">
        <v>665</v>
      </c>
      <c r="D42" s="495"/>
      <c r="E42" s="513"/>
      <c r="F42" s="514"/>
      <c r="G42" s="514"/>
      <c r="H42" s="514"/>
      <c r="I42" s="416"/>
      <c r="J42" s="416"/>
      <c r="K42" s="416"/>
      <c r="L42" s="436"/>
      <c r="M42" s="379"/>
      <c r="N42" s="1203"/>
      <c r="O42" s="1204"/>
    </row>
    <row r="43" spans="1:15" ht="14.25" x14ac:dyDescent="0.25">
      <c r="A43" s="519"/>
      <c r="B43" s="520"/>
      <c r="C43" s="520"/>
      <c r="D43" s="520"/>
      <c r="E43" s="519"/>
      <c r="F43" s="521"/>
      <c r="G43" s="521"/>
      <c r="H43" s="521" t="s">
        <v>534</v>
      </c>
      <c r="I43" s="522"/>
      <c r="J43" s="523" t="s">
        <v>1048</v>
      </c>
      <c r="K43" s="524"/>
      <c r="L43" s="525">
        <f>N41*E$25</f>
        <v>39.367491707507298</v>
      </c>
      <c r="M43" s="379"/>
      <c r="N43" s="390"/>
      <c r="O43" s="390"/>
    </row>
    <row r="44" spans="1:15" x14ac:dyDescent="0.2">
      <c r="A44" s="379"/>
      <c r="B44" s="379"/>
      <c r="C44" s="379"/>
      <c r="D44" s="379"/>
      <c r="E44" s="379"/>
      <c r="F44" s="526"/>
      <c r="G44" s="526"/>
      <c r="H44" s="526"/>
      <c r="I44" s="527"/>
      <c r="J44" s="528"/>
      <c r="K44" s="484"/>
      <c r="L44" s="430"/>
      <c r="M44" s="379"/>
      <c r="N44" s="390"/>
      <c r="O44" s="390"/>
    </row>
    <row r="45" spans="1:15" x14ac:dyDescent="0.2">
      <c r="A45" s="390"/>
      <c r="B45" s="390"/>
      <c r="C45" s="390"/>
      <c r="D45" s="390"/>
      <c r="E45" s="390"/>
      <c r="F45" s="390"/>
      <c r="G45" s="390"/>
      <c r="H45" s="390"/>
      <c r="I45" s="529"/>
      <c r="J45" s="529"/>
      <c r="K45" s="529"/>
      <c r="L45" s="529"/>
      <c r="M45" s="379"/>
      <c r="N45" s="390"/>
      <c r="O45" s="390"/>
    </row>
    <row r="46" spans="1:15" ht="15.75" x14ac:dyDescent="0.25">
      <c r="A46" s="530" t="s">
        <v>338</v>
      </c>
      <c r="B46" s="532" t="s">
        <v>339</v>
      </c>
      <c r="C46" s="531"/>
      <c r="D46" s="531"/>
      <c r="E46" s="530" t="s">
        <v>513</v>
      </c>
      <c r="F46" s="532"/>
      <c r="G46" s="532"/>
      <c r="H46" s="531"/>
      <c r="I46" s="532" t="s">
        <v>532</v>
      </c>
      <c r="J46" s="533"/>
      <c r="K46" s="533"/>
      <c r="L46" s="534"/>
      <c r="M46" s="379"/>
      <c r="N46" s="535" t="s">
        <v>162</v>
      </c>
      <c r="O46" s="390"/>
    </row>
    <row r="47" spans="1:15" ht="15.75" x14ac:dyDescent="0.3">
      <c r="A47" s="587"/>
      <c r="B47" s="511" t="s">
        <v>1034</v>
      </c>
      <c r="C47" s="536">
        <v>1</v>
      </c>
      <c r="D47" s="495" t="s">
        <v>492</v>
      </c>
      <c r="E47" s="588">
        <f>E23*C47</f>
        <v>76586.828216491413</v>
      </c>
      <c r="F47" s="495" t="s">
        <v>493</v>
      </c>
      <c r="G47" s="495"/>
      <c r="H47" s="495"/>
      <c r="I47" s="492" t="s">
        <v>138</v>
      </c>
      <c r="J47" s="514"/>
      <c r="K47" s="514"/>
      <c r="L47" s="537"/>
      <c r="M47" s="379"/>
      <c r="N47" s="554" t="s">
        <v>163</v>
      </c>
      <c r="O47" s="390"/>
    </row>
    <row r="48" spans="1:15" ht="15.75" x14ac:dyDescent="0.3">
      <c r="A48" s="587"/>
      <c r="B48" s="495"/>
      <c r="C48" s="512"/>
      <c r="D48" s="495"/>
      <c r="E48" s="505">
        <f>E24*C47</f>
        <v>1</v>
      </c>
      <c r="F48" s="506" t="s">
        <v>53</v>
      </c>
      <c r="G48" s="506"/>
      <c r="H48" s="495"/>
      <c r="I48" s="539" t="s">
        <v>1053</v>
      </c>
      <c r="J48" s="539" t="s">
        <v>1054</v>
      </c>
      <c r="K48" s="539" t="s">
        <v>1055</v>
      </c>
      <c r="L48" s="540" t="s">
        <v>1056</v>
      </c>
      <c r="M48" s="379"/>
      <c r="N48" s="540" t="s">
        <v>1056</v>
      </c>
      <c r="O48" s="390"/>
    </row>
    <row r="49" spans="1:15" x14ac:dyDescent="0.2">
      <c r="A49" s="503"/>
      <c r="B49" s="511" t="s">
        <v>525</v>
      </c>
      <c r="C49" s="495"/>
      <c r="D49" s="495"/>
      <c r="E49" s="503"/>
      <c r="F49" s="495"/>
      <c r="G49" s="495"/>
      <c r="H49" s="495"/>
      <c r="I49" s="495"/>
      <c r="J49" s="495"/>
      <c r="K49" s="495"/>
      <c r="L49" s="541"/>
      <c r="M49" s="379"/>
      <c r="N49" s="541"/>
      <c r="O49" s="390"/>
    </row>
    <row r="50" spans="1:15" ht="15.75" x14ac:dyDescent="0.3">
      <c r="A50" s="503"/>
      <c r="B50" s="1301" t="s">
        <v>49</v>
      </c>
      <c r="C50" s="542">
        <v>4.0000000000000002E-4</v>
      </c>
      <c r="D50" s="495" t="s">
        <v>1035</v>
      </c>
      <c r="E50" s="503"/>
      <c r="F50" s="495"/>
      <c r="G50" s="495"/>
      <c r="H50" s="495"/>
      <c r="I50" s="544">
        <f>$C50*$E$48*VLOOKUP($B50,'Standard values'!$C$9:$S$162,7, FALSE)/$E$172</f>
        <v>9.0948385881260807E-2</v>
      </c>
      <c r="J50" s="544">
        <f>$C50*$E$48*VLOOKUP($B50,'Standard values'!$C$9:$S$162,8, FALSE)/$E$172</f>
        <v>2.2179717349869472E-4</v>
      </c>
      <c r="K50" s="544">
        <f>$C50*$E$48*VLOOKUP($B50,'Standard values'!$C$9:$S$162,9, FALSE)/$E$172</f>
        <v>4.1201360847942346E-6</v>
      </c>
      <c r="L50" s="516">
        <f>I50*'Standard values'!$D$10+J50*'Standard values'!$D$11+K50*'Standard values'!$D$12</f>
        <v>9.7721115771996853E-2</v>
      </c>
      <c r="M50" s="379"/>
      <c r="N50" s="1201">
        <f>+L50/E$25</f>
        <v>0.76342363627777776</v>
      </c>
      <c r="O50" s="390"/>
    </row>
    <row r="51" spans="1:15" x14ac:dyDescent="0.2">
      <c r="A51" s="590"/>
      <c r="B51" s="495"/>
      <c r="C51" s="492"/>
      <c r="D51" s="495"/>
      <c r="E51" s="503"/>
      <c r="F51" s="495"/>
      <c r="G51" s="495"/>
      <c r="H51" s="495"/>
      <c r="I51" s="495"/>
      <c r="J51" s="495"/>
      <c r="K51" s="495"/>
      <c r="L51" s="541"/>
      <c r="M51" s="379"/>
      <c r="N51" s="1203"/>
      <c r="O51" s="390"/>
    </row>
    <row r="52" spans="1:15" ht="14.25" x14ac:dyDescent="0.25">
      <c r="A52" s="519"/>
      <c r="B52" s="520"/>
      <c r="C52" s="520"/>
      <c r="D52" s="520"/>
      <c r="E52" s="519"/>
      <c r="F52" s="521"/>
      <c r="G52" s="521"/>
      <c r="H52" s="521" t="s">
        <v>534</v>
      </c>
      <c r="I52" s="520"/>
      <c r="J52" s="523" t="s">
        <v>1048</v>
      </c>
      <c r="K52" s="549"/>
      <c r="L52" s="525">
        <f>N50*E$25</f>
        <v>9.7721115771996853E-2</v>
      </c>
      <c r="M52" s="379"/>
      <c r="N52" s="390"/>
      <c r="O52" s="390"/>
    </row>
    <row r="53" spans="1:15" x14ac:dyDescent="0.2">
      <c r="A53" s="390"/>
      <c r="B53" s="390"/>
      <c r="C53" s="390"/>
      <c r="D53" s="390"/>
      <c r="E53" s="390"/>
      <c r="F53" s="376"/>
      <c r="G53" s="376"/>
      <c r="H53" s="376"/>
      <c r="I53" s="390"/>
      <c r="J53" s="550"/>
      <c r="K53" s="551"/>
      <c r="L53" s="552"/>
      <c r="M53" s="379"/>
      <c r="N53" s="390"/>
      <c r="O53" s="390"/>
    </row>
    <row r="54" spans="1:15" x14ac:dyDescent="0.2">
      <c r="A54" s="390"/>
      <c r="B54" s="390"/>
      <c r="C54" s="390"/>
      <c r="D54" s="390"/>
      <c r="E54" s="390"/>
      <c r="F54" s="390"/>
      <c r="G54" s="390"/>
      <c r="H54" s="390"/>
      <c r="I54" s="529"/>
      <c r="J54" s="529"/>
      <c r="K54" s="529"/>
      <c r="L54" s="529"/>
      <c r="M54" s="379"/>
      <c r="N54" s="390"/>
      <c r="O54" s="390"/>
    </row>
    <row r="55" spans="1:15" ht="15.75" x14ac:dyDescent="0.25">
      <c r="A55" s="530" t="s">
        <v>491</v>
      </c>
      <c r="B55" s="531"/>
      <c r="C55" s="531"/>
      <c r="D55" s="531"/>
      <c r="E55" s="530" t="s">
        <v>513</v>
      </c>
      <c r="F55" s="532"/>
      <c r="G55" s="532"/>
      <c r="H55" s="531"/>
      <c r="I55" s="532" t="s">
        <v>532</v>
      </c>
      <c r="J55" s="533"/>
      <c r="K55" s="533"/>
      <c r="L55" s="534"/>
      <c r="M55" s="379"/>
      <c r="N55" s="535" t="s">
        <v>162</v>
      </c>
      <c r="O55" s="390"/>
    </row>
    <row r="56" spans="1:15" ht="15.75" x14ac:dyDescent="0.3">
      <c r="A56" s="503"/>
      <c r="B56" s="511" t="s">
        <v>1034</v>
      </c>
      <c r="C56" s="536">
        <v>0.99009900990099009</v>
      </c>
      <c r="D56" s="495" t="s">
        <v>492</v>
      </c>
      <c r="E56" s="553">
        <f>E47*C56</f>
        <v>75828.542788605351</v>
      </c>
      <c r="F56" s="495" t="s">
        <v>493</v>
      </c>
      <c r="G56" s="495"/>
      <c r="H56" s="495"/>
      <c r="I56" s="492" t="s">
        <v>138</v>
      </c>
      <c r="J56" s="514"/>
      <c r="K56" s="514"/>
      <c r="L56" s="537"/>
      <c r="M56" s="379"/>
      <c r="N56" s="554" t="s">
        <v>163</v>
      </c>
      <c r="O56" s="390"/>
    </row>
    <row r="57" spans="1:15" ht="15.75" x14ac:dyDescent="0.3">
      <c r="A57" s="503"/>
      <c r="B57" s="495"/>
      <c r="C57" s="495"/>
      <c r="D57" s="495"/>
      <c r="E57" s="505">
        <f>E48*C56</f>
        <v>0.99009900990099009</v>
      </c>
      <c r="F57" s="506" t="s">
        <v>53</v>
      </c>
      <c r="G57" s="506"/>
      <c r="H57" s="495"/>
      <c r="I57" s="539" t="s">
        <v>1053</v>
      </c>
      <c r="J57" s="539" t="s">
        <v>1054</v>
      </c>
      <c r="K57" s="539" t="s">
        <v>1055</v>
      </c>
      <c r="L57" s="540" t="s">
        <v>1056</v>
      </c>
      <c r="M57" s="379"/>
      <c r="N57" s="540" t="s">
        <v>1056</v>
      </c>
      <c r="O57" s="390"/>
    </row>
    <row r="58" spans="1:15" x14ac:dyDescent="0.2">
      <c r="A58" s="503"/>
      <c r="B58" s="511" t="s">
        <v>498</v>
      </c>
      <c r="C58" s="495"/>
      <c r="D58" s="495"/>
      <c r="E58" s="505"/>
      <c r="F58" s="506"/>
      <c r="G58" s="506"/>
      <c r="H58" s="495"/>
      <c r="I58" s="539"/>
      <c r="J58" s="539"/>
      <c r="K58" s="539"/>
      <c r="L58" s="540"/>
      <c r="M58" s="379"/>
      <c r="N58" s="541"/>
      <c r="O58" s="390"/>
    </row>
    <row r="59" spans="1:15" ht="15.75" x14ac:dyDescent="0.3">
      <c r="A59" s="503"/>
      <c r="B59" s="495" t="s">
        <v>1111</v>
      </c>
      <c r="C59" s="542">
        <v>50</v>
      </c>
      <c r="D59" s="495" t="s">
        <v>510</v>
      </c>
      <c r="E59" s="543">
        <f>(C59*E57)/(VLOOKUP($B56,'Standard values'!$C$9:$S$162,14, FALSE))/(1-$C$24)/1000</f>
        <v>3.3665386259809252E-3</v>
      </c>
      <c r="F59" s="495" t="s">
        <v>242</v>
      </c>
      <c r="G59" s="495"/>
      <c r="H59" s="495"/>
      <c r="I59" s="544">
        <f>$E59*VLOOKUP($B59,'Standard values'!$C$9:$S$162,15, FALSE)*VLOOKUP(C60,'Standard values'!$C$9:$S$162,7, FALSE)/$E$172</f>
        <v>0.51980943397446866</v>
      </c>
      <c r="J59" s="544">
        <f>$E59*((VLOOKUP($B59,'Standard values'!$C$9:$S$162,15, FALSE)*VLOOKUP(C60,'Standard values'!$C$9:$S$162,8, FALSE))+VLOOKUP($B59,'Standard values'!$C$9:$S$162,16, FALSE))/$E$172</f>
        <v>3.168410544766967E-5</v>
      </c>
      <c r="K59" s="544">
        <f>$E59*((VLOOKUP($B59,'Standard values'!$C$9:$S$162,15, FALSE)*VLOOKUP(C60,'Standard values'!$C$9:$S$162,9, FALSE))+VLOOKUP($B59,'Standard values'!$C$9:$S$162,17, FALSE))/$E$172</f>
        <v>0</v>
      </c>
      <c r="L59" s="516">
        <f>I59*'Standard values'!$D$10+J59*'Standard values'!$D$11+K59*'Standard values'!$D$12</f>
        <v>0.52060153661066044</v>
      </c>
      <c r="M59" s="379"/>
      <c r="N59" s="1201">
        <f>+L59/E$25</f>
        <v>4.0670792079207922</v>
      </c>
      <c r="O59" s="390"/>
    </row>
    <row r="60" spans="1:15" x14ac:dyDescent="0.2">
      <c r="A60" s="503"/>
      <c r="B60" s="546" t="s">
        <v>54</v>
      </c>
      <c r="C60" s="547" t="s">
        <v>509</v>
      </c>
      <c r="D60" s="495"/>
      <c r="E60" s="543"/>
      <c r="F60" s="495"/>
      <c r="G60" s="495"/>
      <c r="H60" s="495"/>
      <c r="I60" s="544"/>
      <c r="J60" s="544"/>
      <c r="K60" s="544"/>
      <c r="L60" s="516"/>
      <c r="M60" s="379"/>
      <c r="N60" s="1203"/>
      <c r="O60" s="390"/>
    </row>
    <row r="61" spans="1:15" x14ac:dyDescent="0.2">
      <c r="A61" s="503"/>
      <c r="B61" s="495"/>
      <c r="C61" s="495"/>
      <c r="D61" s="495"/>
      <c r="E61" s="503"/>
      <c r="F61" s="495"/>
      <c r="G61" s="495"/>
      <c r="H61" s="548"/>
      <c r="I61" s="544"/>
      <c r="J61" s="544"/>
      <c r="K61" s="544"/>
      <c r="L61" s="516"/>
      <c r="M61" s="379"/>
      <c r="N61" s="390"/>
      <c r="O61" s="390"/>
    </row>
    <row r="62" spans="1:15" ht="14.25" x14ac:dyDescent="0.25">
      <c r="A62" s="519"/>
      <c r="B62" s="520"/>
      <c r="C62" s="520"/>
      <c r="D62" s="520"/>
      <c r="E62" s="519"/>
      <c r="F62" s="521"/>
      <c r="G62" s="521"/>
      <c r="H62" s="521" t="s">
        <v>534</v>
      </c>
      <c r="I62" s="520"/>
      <c r="J62" s="523" t="s">
        <v>1048</v>
      </c>
      <c r="K62" s="549"/>
      <c r="L62" s="525">
        <f>N59*E$25</f>
        <v>0.52060153661066044</v>
      </c>
      <c r="M62" s="379"/>
      <c r="N62" s="390"/>
      <c r="O62" s="390"/>
    </row>
    <row r="63" spans="1:15" x14ac:dyDescent="0.2">
      <c r="A63" s="390"/>
      <c r="B63" s="390"/>
      <c r="C63" s="390"/>
      <c r="D63" s="390"/>
      <c r="E63" s="390"/>
      <c r="F63" s="376"/>
      <c r="G63" s="376"/>
      <c r="H63" s="376"/>
      <c r="I63" s="390"/>
      <c r="J63" s="550"/>
      <c r="K63" s="551"/>
      <c r="L63" s="552"/>
      <c r="M63" s="379"/>
      <c r="N63" s="379"/>
      <c r="O63" s="379"/>
    </row>
    <row r="64" spans="1:15" x14ac:dyDescent="0.2">
      <c r="A64" s="390"/>
      <c r="B64" s="390"/>
      <c r="C64" s="390"/>
      <c r="D64" s="390"/>
      <c r="E64" s="390"/>
      <c r="F64" s="390"/>
      <c r="G64" s="390"/>
      <c r="H64" s="390"/>
      <c r="I64" s="390"/>
      <c r="J64" s="390"/>
      <c r="K64" s="390"/>
      <c r="L64" s="375"/>
      <c r="M64" s="379"/>
      <c r="N64" s="379"/>
      <c r="O64" s="379"/>
    </row>
    <row r="65" spans="1:15" ht="15.75" x14ac:dyDescent="0.25">
      <c r="A65" s="530" t="s">
        <v>536</v>
      </c>
      <c r="B65" s="531"/>
      <c r="C65" s="531"/>
      <c r="D65" s="531"/>
      <c r="E65" s="530" t="s">
        <v>513</v>
      </c>
      <c r="F65" s="532"/>
      <c r="G65" s="532"/>
      <c r="H65" s="531"/>
      <c r="I65" s="532" t="s">
        <v>532</v>
      </c>
      <c r="J65" s="533"/>
      <c r="K65" s="533"/>
      <c r="L65" s="534"/>
      <c r="M65" s="379"/>
      <c r="N65" s="535" t="s">
        <v>162</v>
      </c>
      <c r="O65" s="379"/>
    </row>
    <row r="66" spans="1:15" x14ac:dyDescent="0.2">
      <c r="A66" s="503"/>
      <c r="B66" s="511" t="s">
        <v>524</v>
      </c>
      <c r="C66" s="495"/>
      <c r="D66" s="495"/>
      <c r="E66" s="553"/>
      <c r="F66" s="495"/>
      <c r="G66" s="495"/>
      <c r="H66" s="495"/>
      <c r="I66" s="492" t="s">
        <v>138</v>
      </c>
      <c r="J66" s="514"/>
      <c r="K66" s="514"/>
      <c r="L66" s="537"/>
      <c r="M66" s="379"/>
      <c r="N66" s="554" t="s">
        <v>1010</v>
      </c>
      <c r="O66" s="379"/>
    </row>
    <row r="67" spans="1:15" ht="15.75" x14ac:dyDescent="0.3">
      <c r="A67" s="503"/>
      <c r="B67" s="495" t="s">
        <v>499</v>
      </c>
      <c r="C67" s="536">
        <v>0.53657882465020257</v>
      </c>
      <c r="D67" s="495" t="s">
        <v>494</v>
      </c>
      <c r="E67" s="553">
        <f>E56*C67</f>
        <v>40687.990364447454</v>
      </c>
      <c r="F67" s="495" t="s">
        <v>1030</v>
      </c>
      <c r="G67" s="495"/>
      <c r="H67" s="495"/>
      <c r="I67" s="539" t="s">
        <v>1053</v>
      </c>
      <c r="J67" s="539" t="s">
        <v>1054</v>
      </c>
      <c r="K67" s="539" t="s">
        <v>1055</v>
      </c>
      <c r="L67" s="540" t="s">
        <v>1056</v>
      </c>
      <c r="M67" s="379"/>
      <c r="N67" s="540" t="s">
        <v>1056</v>
      </c>
      <c r="O67" s="379"/>
    </row>
    <row r="68" spans="1:15" ht="15.75" x14ac:dyDescent="0.3">
      <c r="A68" s="563"/>
      <c r="B68" s="506" t="s">
        <v>125</v>
      </c>
      <c r="C68" s="728">
        <v>1.1399999999999999</v>
      </c>
      <c r="D68" s="506" t="s">
        <v>489</v>
      </c>
      <c r="E68" s="505">
        <f>E57*C67</f>
        <v>0.53126616302000251</v>
      </c>
      <c r="F68" s="506" t="s">
        <v>53</v>
      </c>
      <c r="G68" s="506"/>
      <c r="H68" s="495"/>
      <c r="I68" s="495"/>
      <c r="J68" s="495"/>
      <c r="K68" s="495"/>
      <c r="L68" s="541"/>
      <c r="M68" s="379"/>
      <c r="N68" s="541"/>
      <c r="O68" s="379"/>
    </row>
    <row r="69" spans="1:15" ht="15.75" x14ac:dyDescent="0.3">
      <c r="A69" s="563"/>
      <c r="B69" s="506"/>
      <c r="C69" s="564"/>
      <c r="D69" s="506"/>
      <c r="E69" s="762">
        <f>E67/$E$171/VLOOKUP($B67,'Standard values'!$C$9:$S$162,14, FALSE)</f>
        <v>3.7299515106303617E-2</v>
      </c>
      <c r="F69" s="495" t="s">
        <v>1009</v>
      </c>
      <c r="G69" s="495"/>
      <c r="H69" s="495"/>
      <c r="I69" s="495"/>
      <c r="J69" s="495"/>
      <c r="K69" s="495"/>
      <c r="L69" s="541"/>
      <c r="M69" s="379"/>
      <c r="N69" s="562"/>
      <c r="O69" s="379"/>
    </row>
    <row r="70" spans="1:15" x14ac:dyDescent="0.2">
      <c r="A70" s="503"/>
      <c r="B70" s="511" t="s">
        <v>525</v>
      </c>
      <c r="C70" s="495"/>
      <c r="D70" s="495"/>
      <c r="E70" s="513"/>
      <c r="F70" s="495"/>
      <c r="G70" s="495"/>
      <c r="H70" s="495"/>
      <c r="I70" s="495"/>
      <c r="J70" s="495"/>
      <c r="K70" s="495"/>
      <c r="L70" s="541"/>
      <c r="M70" s="379"/>
      <c r="N70" s="562"/>
      <c r="O70" s="379"/>
    </row>
    <row r="71" spans="1:15" ht="15.75" x14ac:dyDescent="0.3">
      <c r="A71" s="503"/>
      <c r="B71" s="495" t="s">
        <v>628</v>
      </c>
      <c r="C71" s="536">
        <f>1.4*0.0540842969041402</f>
        <v>7.5718015665796265E-2</v>
      </c>
      <c r="D71" s="495" t="s">
        <v>495</v>
      </c>
      <c r="E71" s="503" t="s">
        <v>750</v>
      </c>
      <c r="F71" s="495"/>
      <c r="G71" s="495"/>
      <c r="H71" s="495"/>
      <c r="I71" s="544"/>
      <c r="J71" s="544"/>
      <c r="K71" s="544"/>
      <c r="L71" s="419"/>
      <c r="M71" s="379"/>
      <c r="N71" s="562"/>
      <c r="O71" s="379"/>
    </row>
    <row r="72" spans="1:15" ht="15.75" x14ac:dyDescent="0.3">
      <c r="A72" s="503"/>
      <c r="B72" s="495" t="s">
        <v>72</v>
      </c>
      <c r="C72" s="536">
        <f>1.4*0.36367027228646</f>
        <v>0.50913838120104393</v>
      </c>
      <c r="D72" s="495" t="s">
        <v>495</v>
      </c>
      <c r="E72" s="503"/>
      <c r="F72" s="495"/>
      <c r="G72" s="495"/>
      <c r="H72" s="495"/>
      <c r="I72" s="544"/>
      <c r="J72" s="544"/>
      <c r="K72" s="544"/>
      <c r="L72" s="419"/>
      <c r="M72" s="379"/>
      <c r="N72" s="562"/>
      <c r="O72" s="379"/>
    </row>
    <row r="73" spans="1:15" x14ac:dyDescent="0.2">
      <c r="A73" s="503"/>
      <c r="B73" s="565" t="s">
        <v>294</v>
      </c>
      <c r="C73" s="566"/>
      <c r="D73" s="566"/>
      <c r="E73" s="567"/>
      <c r="F73" s="568"/>
      <c r="G73" s="568"/>
      <c r="H73" s="568"/>
      <c r="I73" s="569"/>
      <c r="J73" s="568"/>
      <c r="K73" s="568"/>
      <c r="L73" s="570"/>
      <c r="M73" s="379"/>
      <c r="N73" s="562"/>
      <c r="O73" s="379"/>
    </row>
    <row r="74" spans="1:15" x14ac:dyDescent="0.2">
      <c r="A74" s="503"/>
      <c r="B74" s="571" t="s">
        <v>377</v>
      </c>
      <c r="C74" s="566"/>
      <c r="D74" s="566"/>
      <c r="E74" s="567" t="s">
        <v>799</v>
      </c>
      <c r="F74" s="568"/>
      <c r="G74" s="568"/>
      <c r="H74" s="568"/>
      <c r="I74" s="569"/>
      <c r="J74" s="568"/>
      <c r="K74" s="568"/>
      <c r="L74" s="570"/>
      <c r="M74" s="379"/>
      <c r="N74" s="562"/>
      <c r="O74" s="379"/>
    </row>
    <row r="75" spans="1:15" ht="15.75" x14ac:dyDescent="0.3">
      <c r="A75" s="503"/>
      <c r="B75" s="572" t="s">
        <v>380</v>
      </c>
      <c r="C75" s="573">
        <f>C72</f>
        <v>0.50913838120104393</v>
      </c>
      <c r="D75" s="568" t="s">
        <v>495</v>
      </c>
      <c r="E75" s="567" t="s">
        <v>768</v>
      </c>
      <c r="F75" s="568"/>
      <c r="G75" s="568"/>
      <c r="H75" s="568"/>
      <c r="I75" s="574"/>
      <c r="J75" s="574"/>
      <c r="K75" s="574"/>
      <c r="L75" s="575"/>
      <c r="M75" s="379"/>
      <c r="N75" s="562"/>
      <c r="O75" s="379"/>
    </row>
    <row r="76" spans="1:15" x14ac:dyDescent="0.2">
      <c r="A76" s="503"/>
      <c r="B76" s="571" t="s">
        <v>378</v>
      </c>
      <c r="C76" s="573"/>
      <c r="D76" s="566"/>
      <c r="E76" s="576"/>
      <c r="F76" s="568"/>
      <c r="G76" s="568"/>
      <c r="H76" s="568"/>
      <c r="I76" s="574"/>
      <c r="J76" s="574"/>
      <c r="K76" s="574"/>
      <c r="L76" s="575"/>
      <c r="M76" s="379"/>
      <c r="N76" s="562"/>
      <c r="O76" s="379"/>
    </row>
    <row r="77" spans="1:15" ht="14.25" x14ac:dyDescent="0.25">
      <c r="A77" s="503"/>
      <c r="B77" s="577" t="s">
        <v>734</v>
      </c>
      <c r="C77" s="536">
        <v>2.1322000000000001</v>
      </c>
      <c r="D77" s="568" t="s">
        <v>419</v>
      </c>
      <c r="E77" s="578"/>
      <c r="F77" s="568"/>
      <c r="G77" s="568"/>
      <c r="H77" s="568"/>
      <c r="I77" s="574"/>
      <c r="J77" s="574"/>
      <c r="K77" s="574"/>
      <c r="L77" s="575"/>
      <c r="M77" s="379"/>
      <c r="N77" s="562"/>
      <c r="O77" s="379"/>
    </row>
    <row r="78" spans="1:15" ht="15.75" x14ac:dyDescent="0.3">
      <c r="A78" s="503"/>
      <c r="B78" s="572" t="s">
        <v>802</v>
      </c>
      <c r="C78" s="573">
        <f>C77*C72</f>
        <v>1.085584856396866</v>
      </c>
      <c r="D78" s="568" t="s">
        <v>495</v>
      </c>
      <c r="E78" s="578"/>
      <c r="F78" s="568"/>
      <c r="G78" s="568"/>
      <c r="H78" s="568"/>
      <c r="I78" s="574"/>
      <c r="J78" s="574"/>
      <c r="K78" s="574"/>
      <c r="L78" s="575"/>
      <c r="M78" s="379"/>
      <c r="N78" s="562"/>
      <c r="O78" s="379"/>
    </row>
    <row r="79" spans="1:15" x14ac:dyDescent="0.2">
      <c r="A79" s="503"/>
      <c r="B79" s="571" t="s">
        <v>935</v>
      </c>
      <c r="C79" s="573"/>
      <c r="D79" s="566"/>
      <c r="E79" s="567"/>
      <c r="F79" s="568"/>
      <c r="G79" s="568"/>
      <c r="H79" s="568"/>
      <c r="I79" s="569" t="s">
        <v>532</v>
      </c>
      <c r="J79" s="574"/>
      <c r="K79" s="574"/>
      <c r="L79" s="575"/>
      <c r="M79" s="379"/>
      <c r="N79" s="562"/>
      <c r="O79" s="379"/>
    </row>
    <row r="80" spans="1:15" ht="15.75" x14ac:dyDescent="0.3">
      <c r="A80" s="503"/>
      <c r="B80" s="572" t="s">
        <v>803</v>
      </c>
      <c r="C80" s="573"/>
      <c r="D80" s="566"/>
      <c r="E80" s="567"/>
      <c r="F80" s="568"/>
      <c r="G80" s="568"/>
      <c r="H80" s="568"/>
      <c r="I80" s="574">
        <f>$C72*$E$68*VLOOKUP($B80,'Standard values'!$C$9:$S$159,7, FALSE)/$E$172</f>
        <v>0</v>
      </c>
      <c r="J80" s="574">
        <f>$C72*$E$68*VLOOKUP($B80,'Standard values'!$C$9:$S$159,8, FALSE)/$E$172</f>
        <v>0</v>
      </c>
      <c r="K80" s="574">
        <f>$C72*$E$68*VLOOKUP($B80,'Standard values'!$C$9:$S$159,9, FALSE)/$E$172</f>
        <v>0</v>
      </c>
      <c r="L80" s="575">
        <f>I80*'Standard values'!$D$10+J80*'Standard values'!$D$11+K80*'Standard values'!$D$12</f>
        <v>0</v>
      </c>
      <c r="M80" s="379"/>
      <c r="N80" s="562">
        <f>+L80/$E$69</f>
        <v>0</v>
      </c>
      <c r="O80" s="379"/>
    </row>
    <row r="81" spans="1:15" ht="15.75" x14ac:dyDescent="0.3">
      <c r="A81" s="503"/>
      <c r="B81" s="577" t="s">
        <v>518</v>
      </c>
      <c r="C81" s="573">
        <f>C77*C72</f>
        <v>1.085584856396866</v>
      </c>
      <c r="D81" s="568" t="s">
        <v>495</v>
      </c>
      <c r="E81" s="567"/>
      <c r="F81" s="568"/>
      <c r="G81" s="568"/>
      <c r="H81" s="568"/>
      <c r="I81" s="574">
        <f>$C81*$E$68*VLOOKUP($B81,'Standard values'!$C$9:$S$162,7, FALSE)/$E$172</f>
        <v>1.9014923413838105</v>
      </c>
      <c r="J81" s="574">
        <f>$C81*$E$68*VLOOKUP($B81,'Standard values'!$C$9:$S$162,8, FALSE)/$E$172</f>
        <v>1.4474464751958213E-3</v>
      </c>
      <c r="K81" s="574">
        <f>$C81*$E$68*VLOOKUP($B81,'Standard values'!$C$9:$S$162,9, FALSE)/$E$172</f>
        <v>6.031026979982589E-5</v>
      </c>
      <c r="L81" s="575">
        <f>I81*'Standard values'!$D$10+J81*'Standard values'!$D$11+K81*'Standard values'!$D$12</f>
        <v>1.9556509636640542</v>
      </c>
      <c r="M81" s="379"/>
      <c r="N81" s="562">
        <f>+L81/$E$69</f>
        <v>52.431002335833298</v>
      </c>
      <c r="O81" s="379"/>
    </row>
    <row r="82" spans="1:15" x14ac:dyDescent="0.2">
      <c r="A82" s="503"/>
      <c r="B82" s="580" t="s">
        <v>801</v>
      </c>
      <c r="C82" s="573"/>
      <c r="D82" s="568"/>
      <c r="E82" s="567"/>
      <c r="F82" s="568"/>
      <c r="G82" s="568"/>
      <c r="H82" s="568"/>
      <c r="I82" s="574"/>
      <c r="J82" s="574"/>
      <c r="K82" s="574"/>
      <c r="L82" s="575"/>
      <c r="M82" s="379"/>
      <c r="N82" s="562"/>
      <c r="O82" s="379"/>
    </row>
    <row r="83" spans="1:15" ht="14.25" x14ac:dyDescent="0.25">
      <c r="A83" s="503"/>
      <c r="B83" s="577" t="s">
        <v>348</v>
      </c>
      <c r="C83" s="536">
        <v>0.36120000000000002</v>
      </c>
      <c r="D83" s="568" t="s">
        <v>419</v>
      </c>
      <c r="E83" s="567"/>
      <c r="F83" s="568"/>
      <c r="G83" s="568"/>
      <c r="H83" s="568"/>
      <c r="I83" s="574"/>
      <c r="J83" s="581"/>
      <c r="K83" s="581"/>
      <c r="L83" s="575"/>
      <c r="M83" s="379"/>
      <c r="N83" s="562"/>
      <c r="O83" s="379"/>
    </row>
    <row r="84" spans="1:15" ht="15.75" x14ac:dyDescent="0.3">
      <c r="A84" s="503"/>
      <c r="B84" s="577" t="s">
        <v>454</v>
      </c>
      <c r="C84" s="573">
        <f>C83*C72</f>
        <v>0.18390078328981707</v>
      </c>
      <c r="D84" s="568" t="s">
        <v>495</v>
      </c>
      <c r="E84" s="567" t="s">
        <v>381</v>
      </c>
      <c r="F84" s="568"/>
      <c r="G84" s="568"/>
      <c r="H84" s="568"/>
      <c r="I84" s="574"/>
      <c r="J84" s="581"/>
      <c r="K84" s="581"/>
      <c r="L84" s="575"/>
      <c r="M84" s="379"/>
      <c r="N84" s="562"/>
      <c r="O84" s="379"/>
    </row>
    <row r="85" spans="1:15" ht="27" x14ac:dyDescent="0.3">
      <c r="A85" s="503"/>
      <c r="B85" s="579" t="s">
        <v>347</v>
      </c>
      <c r="C85" s="573">
        <f>C71-C84</f>
        <v>-0.10818276762402081</v>
      </c>
      <c r="D85" s="568" t="s">
        <v>495</v>
      </c>
      <c r="E85" s="567"/>
      <c r="F85" s="568"/>
      <c r="G85" s="568"/>
      <c r="H85" s="568"/>
      <c r="I85" s="574"/>
      <c r="J85" s="581"/>
      <c r="K85" s="581"/>
      <c r="L85" s="575"/>
      <c r="M85" s="379"/>
      <c r="N85" s="562"/>
      <c r="O85" s="379"/>
    </row>
    <row r="86" spans="1:15" ht="15.75" x14ac:dyDescent="0.3">
      <c r="A86" s="503"/>
      <c r="B86" s="577" t="str">
        <f>IF(C85&gt;0, "Specify national electricity mix", "Electricity credit (Straw ST)")</f>
        <v>Electricity credit (Straw ST)</v>
      </c>
      <c r="C86" s="573">
        <f>ABS(C71-C84)</f>
        <v>0.10818276762402081</v>
      </c>
      <c r="D86" s="568" t="s">
        <v>495</v>
      </c>
      <c r="E86" s="567" t="str">
        <f>IF(C85&gt;0, "Electricity use in ethanol plant larger than generation", "Surplus electricity. Credit is calculated following")</f>
        <v>Surplus electricity. Credit is calculated following</v>
      </c>
      <c r="F86" s="568"/>
      <c r="G86" s="568"/>
      <c r="H86" s="568"/>
      <c r="I86" s="574">
        <f>$C86*$E$68*VLOOKUP($B86,'Standard values'!$C$9:$S$162,7, FALSE)/$E$172</f>
        <v>-0.60155854994595259</v>
      </c>
      <c r="J86" s="574">
        <f>$C86*$E$68*VLOOKUP($B86,'Standard values'!$C$9:$S$162,8, FALSE)/$E$172</f>
        <v>-4.5791601879895528E-4</v>
      </c>
      <c r="K86" s="574">
        <f>$C86*$E$68*VLOOKUP($B86,'Standard values'!$C$9:$S$162,9, FALSE)/$E$172</f>
        <v>-1.9079834116623172E-5</v>
      </c>
      <c r="L86" s="575">
        <f>I86*'Standard values'!$D$10+J86*'Standard values'!$D$11+K86*'Standard values'!$D$12</f>
        <v>-0.61869224098268016</v>
      </c>
      <c r="M86" s="379"/>
      <c r="N86" s="562">
        <f>+L86/$E$69</f>
        <v>-16.587138980745657</v>
      </c>
      <c r="O86" s="379"/>
    </row>
    <row r="87" spans="1:15" x14ac:dyDescent="0.2">
      <c r="A87" s="503"/>
      <c r="B87" s="582"/>
      <c r="C87" s="573"/>
      <c r="D87" s="568"/>
      <c r="E87" s="567" t="str">
        <f>IF(C85&gt;0, "   in NG CHP. Therefore calculated as national electricity mix", "   RED Annex V.C.16")</f>
        <v xml:space="preserve">   RED Annex V.C.16</v>
      </c>
      <c r="F87" s="568"/>
      <c r="G87" s="568"/>
      <c r="H87" s="568"/>
      <c r="I87" s="574"/>
      <c r="J87" s="574"/>
      <c r="K87" s="574"/>
      <c r="L87" s="575"/>
      <c r="M87" s="379"/>
      <c r="N87" s="562"/>
      <c r="O87" s="379"/>
    </row>
    <row r="88" spans="1:15" x14ac:dyDescent="0.2">
      <c r="A88" s="503"/>
      <c r="B88" s="511"/>
      <c r="C88" s="495"/>
      <c r="D88" s="495"/>
      <c r="E88" s="503"/>
      <c r="F88" s="495"/>
      <c r="G88" s="495"/>
      <c r="H88" s="514" t="s">
        <v>1047</v>
      </c>
      <c r="I88" s="583">
        <f>SUM(I71:I87)</f>
        <v>1.2999337914378579</v>
      </c>
      <c r="J88" s="583">
        <f>SUM(J71:J87)</f>
        <v>9.8953045639686601E-4</v>
      </c>
      <c r="K88" s="583">
        <f>SUM(K71:K87)</f>
        <v>4.1230435683202714E-5</v>
      </c>
      <c r="L88" s="516">
        <f>I88*'Standard values'!$D$10+J88*'Standard values'!$D$11+K88*'Standard values'!$D$12</f>
        <v>1.3369587226813739</v>
      </c>
      <c r="M88" s="379"/>
      <c r="N88" s="545">
        <f>+L88/$E$69</f>
        <v>35.843863355087635</v>
      </c>
      <c r="O88" s="379"/>
    </row>
    <row r="89" spans="1:15" x14ac:dyDescent="0.2">
      <c r="A89" s="503"/>
      <c r="B89" s="682"/>
      <c r="C89" s="499"/>
      <c r="D89" s="499"/>
      <c r="E89" s="503"/>
      <c r="F89" s="495"/>
      <c r="G89" s="495"/>
      <c r="H89" s="495"/>
      <c r="I89" s="495"/>
      <c r="J89" s="495"/>
      <c r="K89" s="495"/>
      <c r="L89" s="541"/>
      <c r="M89" s="379"/>
      <c r="N89" s="390"/>
      <c r="O89" s="379"/>
    </row>
    <row r="90" spans="1:15" ht="14.25" x14ac:dyDescent="0.25">
      <c r="A90" s="519"/>
      <c r="B90" s="520"/>
      <c r="C90" s="520"/>
      <c r="D90" s="520"/>
      <c r="E90" s="519"/>
      <c r="F90" s="521"/>
      <c r="G90" s="521"/>
      <c r="H90" s="521" t="s">
        <v>534</v>
      </c>
      <c r="I90" s="520"/>
      <c r="J90" s="523" t="s">
        <v>1048</v>
      </c>
      <c r="K90" s="549"/>
      <c r="L90" s="525">
        <f>L88</f>
        <v>1.3369587226813739</v>
      </c>
      <c r="M90" s="379"/>
      <c r="N90" s="390"/>
      <c r="O90" s="379"/>
    </row>
    <row r="91" spans="1:15" x14ac:dyDescent="0.2">
      <c r="A91" s="390"/>
      <c r="B91" s="390"/>
      <c r="C91" s="390"/>
      <c r="D91" s="390"/>
      <c r="E91" s="390"/>
      <c r="F91" s="376"/>
      <c r="G91" s="376"/>
      <c r="H91" s="376"/>
      <c r="I91" s="390"/>
      <c r="J91" s="550"/>
      <c r="K91" s="551"/>
      <c r="L91" s="585"/>
      <c r="M91" s="379"/>
      <c r="N91" s="390"/>
      <c r="O91" s="390"/>
    </row>
    <row r="92" spans="1:15" x14ac:dyDescent="0.2">
      <c r="A92" s="390"/>
      <c r="B92" s="390"/>
      <c r="C92" s="390"/>
      <c r="D92" s="390"/>
      <c r="E92" s="390"/>
      <c r="F92" s="376"/>
      <c r="G92" s="376"/>
      <c r="H92" s="376"/>
      <c r="I92" s="390"/>
      <c r="J92" s="550"/>
      <c r="K92" s="551"/>
      <c r="L92" s="585"/>
      <c r="M92" s="379"/>
      <c r="N92" s="390"/>
      <c r="O92" s="390"/>
    </row>
    <row r="93" spans="1:15" ht="15.75" x14ac:dyDescent="0.25">
      <c r="A93" s="530" t="s">
        <v>1057</v>
      </c>
      <c r="B93" s="531"/>
      <c r="C93" s="531"/>
      <c r="D93" s="531"/>
      <c r="E93" s="608" t="s">
        <v>526</v>
      </c>
      <c r="F93" s="606"/>
      <c r="G93" s="606"/>
      <c r="H93" s="606"/>
      <c r="I93" s="607"/>
      <c r="J93" s="608" t="s">
        <v>1048</v>
      </c>
      <c r="K93" s="607"/>
      <c r="L93" s="609">
        <f>L43+L52+L62+L90</f>
        <v>41.322773082571331</v>
      </c>
      <c r="M93" s="379"/>
      <c r="N93" s="535" t="s">
        <v>162</v>
      </c>
      <c r="O93" s="390"/>
    </row>
    <row r="94" spans="1:15" ht="15.75" x14ac:dyDescent="0.25">
      <c r="A94" s="610" t="s">
        <v>937</v>
      </c>
      <c r="B94" s="611"/>
      <c r="C94" s="611"/>
      <c r="D94" s="611"/>
      <c r="E94" s="613"/>
      <c r="F94" s="613"/>
      <c r="G94" s="613"/>
      <c r="H94" s="613"/>
      <c r="I94" s="613"/>
      <c r="J94" s="613"/>
      <c r="K94" s="613"/>
      <c r="L94" s="614"/>
      <c r="M94" s="379"/>
      <c r="N94" s="554" t="s">
        <v>1010</v>
      </c>
      <c r="O94" s="390"/>
    </row>
    <row r="95" spans="1:15" ht="15.75" x14ac:dyDescent="0.3">
      <c r="A95" s="567"/>
      <c r="B95" s="568"/>
      <c r="C95" s="568"/>
      <c r="D95" s="683"/>
      <c r="E95" s="683"/>
      <c r="F95" s="683"/>
      <c r="G95" s="683"/>
      <c r="H95" s="683" t="s">
        <v>667</v>
      </c>
      <c r="I95" s="684">
        <f>L93</f>
        <v>41.322773082571331</v>
      </c>
      <c r="J95" s="568" t="s">
        <v>137</v>
      </c>
      <c r="K95" s="568"/>
      <c r="L95" s="685"/>
      <c r="M95" s="379"/>
      <c r="N95" s="540" t="s">
        <v>1056</v>
      </c>
      <c r="O95" s="390"/>
    </row>
    <row r="96" spans="1:15" ht="15.75" x14ac:dyDescent="0.3">
      <c r="A96" s="567"/>
      <c r="B96" s="568" t="s">
        <v>51</v>
      </c>
      <c r="C96" s="568" t="s">
        <v>499</v>
      </c>
      <c r="D96" s="568"/>
      <c r="E96" s="683" t="s">
        <v>118</v>
      </c>
      <c r="F96" s="747">
        <f>1*1000*VLOOKUP($C96,'Standard values'!$C$9:$S$162,14, FALSE)</f>
        <v>26810</v>
      </c>
      <c r="G96" s="747"/>
      <c r="H96" s="568" t="s">
        <v>501</v>
      </c>
      <c r="I96" s="574">
        <f>$I$95*F96/F$98</f>
        <v>24.591865623612371</v>
      </c>
      <c r="J96" s="568" t="s">
        <v>137</v>
      </c>
      <c r="K96" s="568"/>
      <c r="L96" s="685"/>
      <c r="M96" s="379"/>
      <c r="N96" s="541"/>
      <c r="O96" s="390"/>
    </row>
    <row r="97" spans="1:15" ht="15.75" x14ac:dyDescent="0.3">
      <c r="A97" s="567"/>
      <c r="B97" s="568" t="s">
        <v>123</v>
      </c>
      <c r="C97" s="568" t="s">
        <v>121</v>
      </c>
      <c r="D97" s="568"/>
      <c r="E97" s="683" t="s">
        <v>119</v>
      </c>
      <c r="F97" s="747">
        <f>C68*1000*VLOOKUP($C97,'Standard values'!$C$9:$S$162,14, FALSE)</f>
        <v>18240</v>
      </c>
      <c r="G97" s="747"/>
      <c r="H97" s="568" t="s">
        <v>501</v>
      </c>
      <c r="I97" s="574">
        <f>$I$95*F97/F$98</f>
        <v>16.73090745895896</v>
      </c>
      <c r="J97" s="568" t="s">
        <v>137</v>
      </c>
      <c r="K97" s="568"/>
      <c r="L97" s="685"/>
      <c r="M97" s="379"/>
      <c r="N97" s="562"/>
      <c r="O97" s="390"/>
    </row>
    <row r="98" spans="1:15" x14ac:dyDescent="0.2">
      <c r="A98" s="567"/>
      <c r="B98" s="568"/>
      <c r="C98" s="568"/>
      <c r="D98" s="568"/>
      <c r="E98" s="568" t="s">
        <v>533</v>
      </c>
      <c r="F98" s="747">
        <f>SUM(F96:F97)</f>
        <v>45050</v>
      </c>
      <c r="G98" s="747"/>
      <c r="H98" s="568" t="s">
        <v>501</v>
      </c>
      <c r="I98" s="568"/>
      <c r="J98" s="568"/>
      <c r="K98" s="568"/>
      <c r="L98" s="685"/>
      <c r="M98" s="379"/>
      <c r="N98" s="562"/>
      <c r="O98" s="390"/>
    </row>
    <row r="99" spans="1:15" ht="14.25" x14ac:dyDescent="0.25">
      <c r="A99" s="519"/>
      <c r="B99" s="520"/>
      <c r="C99" s="520"/>
      <c r="D99" s="520"/>
      <c r="E99" s="523" t="s">
        <v>1058</v>
      </c>
      <c r="F99" s="521"/>
      <c r="G99" s="521"/>
      <c r="H99" s="687"/>
      <c r="I99" s="520"/>
      <c r="J99" s="523" t="s">
        <v>1048</v>
      </c>
      <c r="K99" s="687"/>
      <c r="L99" s="525">
        <f>I96</f>
        <v>24.591865623612371</v>
      </c>
      <c r="M99" s="379"/>
      <c r="N99" s="545">
        <f>+L99/$E$69</f>
        <v>659.30791736904769</v>
      </c>
      <c r="O99" s="379"/>
    </row>
    <row r="100" spans="1:15" x14ac:dyDescent="0.2">
      <c r="A100" s="390"/>
      <c r="B100" s="390"/>
      <c r="C100" s="390"/>
      <c r="D100" s="379"/>
      <c r="E100" s="379"/>
      <c r="F100" s="551"/>
      <c r="G100" s="551"/>
      <c r="H100" s="437"/>
      <c r="I100" s="378"/>
      <c r="J100" s="379"/>
      <c r="K100" s="379"/>
      <c r="L100" s="586"/>
      <c r="M100" s="379"/>
      <c r="N100" s="379"/>
      <c r="O100" s="379"/>
    </row>
    <row r="101" spans="1:15" x14ac:dyDescent="0.2">
      <c r="A101" s="375"/>
      <c r="B101" s="585"/>
      <c r="C101" s="386"/>
      <c r="D101" s="390"/>
      <c r="E101" s="379"/>
      <c r="F101" s="379"/>
      <c r="G101" s="379"/>
      <c r="H101" s="379"/>
      <c r="I101" s="379"/>
      <c r="J101" s="591"/>
      <c r="K101" s="379"/>
      <c r="L101" s="379"/>
      <c r="M101" s="379"/>
      <c r="N101" s="379"/>
      <c r="O101" s="379"/>
    </row>
    <row r="102" spans="1:15" ht="15.75" x14ac:dyDescent="0.25">
      <c r="A102" s="530" t="s">
        <v>809</v>
      </c>
      <c r="B102" s="532"/>
      <c r="C102" s="531"/>
      <c r="D102" s="531"/>
      <c r="E102" s="530" t="s">
        <v>513</v>
      </c>
      <c r="F102" s="532"/>
      <c r="G102" s="532"/>
      <c r="H102" s="531"/>
      <c r="I102" s="532" t="s">
        <v>532</v>
      </c>
      <c r="J102" s="533"/>
      <c r="K102" s="533"/>
      <c r="L102" s="534"/>
      <c r="M102" s="379"/>
      <c r="N102" s="535" t="s">
        <v>162</v>
      </c>
      <c r="O102" s="379"/>
    </row>
    <row r="103" spans="1:15" ht="15.75" x14ac:dyDescent="0.3">
      <c r="A103" s="503"/>
      <c r="B103" s="511" t="s">
        <v>499</v>
      </c>
      <c r="C103" s="593">
        <v>1</v>
      </c>
      <c r="D103" s="495" t="s">
        <v>497</v>
      </c>
      <c r="E103" s="513">
        <f>E67*C103</f>
        <v>40687.990364447454</v>
      </c>
      <c r="F103" s="495" t="s">
        <v>1030</v>
      </c>
      <c r="G103" s="495"/>
      <c r="H103" s="594"/>
      <c r="I103" s="492" t="s">
        <v>138</v>
      </c>
      <c r="J103" s="514"/>
      <c r="K103" s="514"/>
      <c r="L103" s="537"/>
      <c r="M103" s="379"/>
      <c r="N103" s="554" t="s">
        <v>1010</v>
      </c>
      <c r="O103" s="379"/>
    </row>
    <row r="104" spans="1:15" ht="15.75" x14ac:dyDescent="0.3">
      <c r="A104" s="503"/>
      <c r="B104" s="495"/>
      <c r="C104" s="495"/>
      <c r="D104" s="495"/>
      <c r="E104" s="505">
        <f>E68*C103</f>
        <v>0.53126616302000251</v>
      </c>
      <c r="F104" s="506" t="s">
        <v>53</v>
      </c>
      <c r="G104" s="506"/>
      <c r="H104" s="594"/>
      <c r="I104" s="539" t="s">
        <v>1053</v>
      </c>
      <c r="J104" s="539" t="s">
        <v>1054</v>
      </c>
      <c r="K104" s="539" t="s">
        <v>1055</v>
      </c>
      <c r="L104" s="540" t="s">
        <v>1056</v>
      </c>
      <c r="M104" s="379"/>
      <c r="N104" s="501" t="s">
        <v>1056</v>
      </c>
      <c r="O104" s="379"/>
    </row>
    <row r="105" spans="1:15" x14ac:dyDescent="0.2">
      <c r="A105" s="503"/>
      <c r="B105" s="511" t="s">
        <v>498</v>
      </c>
      <c r="C105" s="495"/>
      <c r="D105" s="495"/>
      <c r="E105" s="513"/>
      <c r="F105" s="495"/>
      <c r="G105" s="495"/>
      <c r="H105" s="495"/>
      <c r="I105" s="495"/>
      <c r="J105" s="495"/>
      <c r="K105" s="495"/>
      <c r="L105" s="541"/>
      <c r="M105" s="379"/>
      <c r="N105" s="541"/>
      <c r="O105" s="379"/>
    </row>
    <row r="106" spans="1:15" ht="15.75" x14ac:dyDescent="0.3">
      <c r="A106" s="503"/>
      <c r="B106" s="495" t="s">
        <v>159</v>
      </c>
      <c r="C106" s="595">
        <v>150</v>
      </c>
      <c r="D106" s="495" t="s">
        <v>510</v>
      </c>
      <c r="E106" s="543">
        <f>(C106*E104/VLOOKUP($B103,'Standard values'!$C$9:$S$162,14, FALSE))/1000</f>
        <v>2.9723955409548817E-3</v>
      </c>
      <c r="F106" s="495" t="s">
        <v>242</v>
      </c>
      <c r="G106" s="495"/>
      <c r="H106" s="495"/>
      <c r="I106" s="544">
        <f>$E106*VLOOKUP($B106,'Standard values'!$C$9:$S$162,15, FALSE)*VLOOKUP(C107,'Standard values'!$C$9:$S$162,7, FALSE)/$E$172</f>
        <v>0.49425587467362919</v>
      </c>
      <c r="J106" s="544">
        <f>$E106*((VLOOKUP($B106,'Standard values'!$C$9:$S$162,15, FALSE)*VLOOKUP(C107,'Standard values'!$C$9:$S$162,8, FALSE))+VLOOKUP($B106,'Standard values'!$C$9:$S$162,16, FALSE))/$E$172</f>
        <v>2.7974636329727714E-5</v>
      </c>
      <c r="K106" s="544">
        <f>$E106*((VLOOKUP($B106,'Standard values'!$C$9:$S$162,15, FALSE)*VLOOKUP(C107,'Standard values'!$C$9:$S$162,9, FALSE))+VLOOKUP($B106,'Standard values'!$C$9:$S$162,17, FALSE))/$E$172</f>
        <v>0</v>
      </c>
      <c r="L106" s="516">
        <f>I106*'Standard values'!$D$10+J106*'Standard values'!$D$11+K106*'Standard values'!$D$12</f>
        <v>0.4949552405818724</v>
      </c>
      <c r="M106" s="379"/>
      <c r="N106" s="562">
        <f>+L106/E$69</f>
        <v>13.26975</v>
      </c>
      <c r="O106" s="379"/>
    </row>
    <row r="107" spans="1:15" x14ac:dyDescent="0.2">
      <c r="A107" s="503"/>
      <c r="B107" s="546" t="s">
        <v>54</v>
      </c>
      <c r="C107" s="673" t="s">
        <v>509</v>
      </c>
      <c r="D107" s="495"/>
      <c r="E107" s="503"/>
      <c r="F107" s="495"/>
      <c r="G107" s="495"/>
      <c r="H107" s="495"/>
      <c r="I107" s="544"/>
      <c r="J107" s="544"/>
      <c r="K107" s="544"/>
      <c r="L107" s="516"/>
      <c r="M107" s="379"/>
      <c r="N107" s="562"/>
      <c r="O107" s="379"/>
    </row>
    <row r="108" spans="1:15" x14ac:dyDescent="0.2">
      <c r="A108" s="503"/>
      <c r="B108" s="495"/>
      <c r="C108" s="668"/>
      <c r="D108" s="495"/>
      <c r="E108" s="543"/>
      <c r="F108" s="495"/>
      <c r="G108" s="495"/>
      <c r="H108" s="495"/>
      <c r="I108" s="544"/>
      <c r="J108" s="544"/>
      <c r="K108" s="544"/>
      <c r="L108" s="516"/>
      <c r="M108" s="379"/>
      <c r="N108" s="562"/>
      <c r="O108" s="379"/>
    </row>
    <row r="109" spans="1:15" x14ac:dyDescent="0.2">
      <c r="A109" s="503"/>
      <c r="B109" s="511" t="s">
        <v>444</v>
      </c>
      <c r="C109" s="495"/>
      <c r="D109" s="495"/>
      <c r="E109" s="503"/>
      <c r="F109" s="495"/>
      <c r="G109" s="495"/>
      <c r="H109" s="495"/>
      <c r="I109" s="544"/>
      <c r="J109" s="544"/>
      <c r="K109" s="544"/>
      <c r="L109" s="584"/>
      <c r="M109" s="379"/>
      <c r="N109" s="562"/>
      <c r="O109" s="379"/>
    </row>
    <row r="110" spans="1:15" ht="15.75" x14ac:dyDescent="0.3">
      <c r="A110" s="590"/>
      <c r="B110" s="1301" t="s">
        <v>49</v>
      </c>
      <c r="C110" s="542">
        <v>8.4000000000000003E-4</v>
      </c>
      <c r="D110" s="495" t="s">
        <v>495</v>
      </c>
      <c r="E110" s="503"/>
      <c r="F110" s="495"/>
      <c r="G110" s="495"/>
      <c r="H110" s="495"/>
      <c r="I110" s="544">
        <f>$C110*$E$104*VLOOKUP($B110,'Standard values'!$C$9:$S$162,7, FALSE)/$E$172</f>
        <v>0.10146738000000001</v>
      </c>
      <c r="J110" s="544">
        <f>$C110*$E$104*VLOOKUP($B110,'Standard values'!$C$9:$S$162,8, FALSE)/$E$172</f>
        <v>2.4744999999999997E-4</v>
      </c>
      <c r="K110" s="544">
        <f>$C110*$E$104*VLOOKUP($B110,'Standard values'!$C$9:$S$162,9, FALSE)/$E$172</f>
        <v>4.5966666666666661E-6</v>
      </c>
      <c r="L110" s="516">
        <f>I110*'Standard values'!$D$10+J110*'Standard values'!$D$11+K110*'Standard values'!$D$12</f>
        <v>0.10902343666666668</v>
      </c>
      <c r="M110" s="379"/>
      <c r="N110" s="562">
        <f>+L110/E$69</f>
        <v>2.9229183370333338</v>
      </c>
      <c r="O110" s="379"/>
    </row>
    <row r="111" spans="1:15" ht="14.25" x14ac:dyDescent="0.25">
      <c r="A111" s="519"/>
      <c r="B111" s="520"/>
      <c r="C111" s="520"/>
      <c r="D111" s="520"/>
      <c r="E111" s="519"/>
      <c r="F111" s="521"/>
      <c r="G111" s="521"/>
      <c r="H111" s="521" t="s">
        <v>534</v>
      </c>
      <c r="I111" s="520"/>
      <c r="J111" s="523" t="s">
        <v>1048</v>
      </c>
      <c r="K111" s="549"/>
      <c r="L111" s="525">
        <f>L110+L106</f>
        <v>0.60397867724853904</v>
      </c>
      <c r="M111" s="379"/>
      <c r="N111" s="545">
        <f>+L111/E$69</f>
        <v>16.192668337033332</v>
      </c>
      <c r="O111" s="379"/>
    </row>
    <row r="112" spans="1:15" x14ac:dyDescent="0.2">
      <c r="A112" s="390"/>
      <c r="B112" s="390"/>
      <c r="C112" s="390"/>
      <c r="D112" s="390"/>
      <c r="E112" s="390"/>
      <c r="F112" s="376"/>
      <c r="G112" s="376"/>
      <c r="H112" s="376"/>
      <c r="I112" s="390"/>
      <c r="J112" s="550"/>
      <c r="K112" s="551"/>
      <c r="L112" s="552"/>
      <c r="M112" s="379"/>
      <c r="N112" s="390"/>
      <c r="O112" s="379"/>
    </row>
    <row r="113" spans="1:15" x14ac:dyDescent="0.2">
      <c r="A113" s="390"/>
      <c r="B113" s="390"/>
      <c r="C113" s="390"/>
      <c r="D113" s="390"/>
      <c r="E113" s="390"/>
      <c r="F113" s="376"/>
      <c r="G113" s="376"/>
      <c r="H113" s="376"/>
      <c r="I113" s="390"/>
      <c r="J113" s="550"/>
      <c r="K113" s="551"/>
      <c r="L113" s="552"/>
      <c r="M113" s="379"/>
      <c r="N113" s="379"/>
      <c r="O113" s="379"/>
    </row>
    <row r="114" spans="1:15" ht="15.75" x14ac:dyDescent="0.25">
      <c r="A114" s="530" t="s">
        <v>810</v>
      </c>
      <c r="B114" s="531"/>
      <c r="C114" s="531"/>
      <c r="D114" s="531"/>
      <c r="E114" s="530" t="s">
        <v>513</v>
      </c>
      <c r="F114" s="531"/>
      <c r="G114" s="531"/>
      <c r="H114" s="531"/>
      <c r="I114" s="531"/>
      <c r="J114" s="531"/>
      <c r="K114" s="531"/>
      <c r="L114" s="596"/>
      <c r="M114" s="379"/>
      <c r="N114" s="535" t="s">
        <v>162</v>
      </c>
      <c r="O114" s="379"/>
    </row>
    <row r="115" spans="1:15" ht="15.75" x14ac:dyDescent="0.3">
      <c r="A115" s="503"/>
      <c r="B115" s="511" t="s">
        <v>499</v>
      </c>
      <c r="C115" s="593">
        <v>1</v>
      </c>
      <c r="D115" s="495" t="s">
        <v>497</v>
      </c>
      <c r="E115" s="513">
        <f>E103*C115</f>
        <v>40687.990364447454</v>
      </c>
      <c r="F115" s="495" t="s">
        <v>1030</v>
      </c>
      <c r="G115" s="495"/>
      <c r="H115" s="495"/>
      <c r="I115" s="492" t="s">
        <v>138</v>
      </c>
      <c r="J115" s="514"/>
      <c r="K115" s="514"/>
      <c r="L115" s="537"/>
      <c r="M115" s="379"/>
      <c r="N115" s="554" t="s">
        <v>1010</v>
      </c>
      <c r="O115" s="379"/>
    </row>
    <row r="116" spans="1:15" ht="15.75" x14ac:dyDescent="0.3">
      <c r="A116" s="503"/>
      <c r="B116" s="495"/>
      <c r="C116" s="495"/>
      <c r="D116" s="495"/>
      <c r="E116" s="505">
        <f>E104*C115</f>
        <v>0.53126616302000251</v>
      </c>
      <c r="F116" s="506" t="s">
        <v>53</v>
      </c>
      <c r="G116" s="506"/>
      <c r="H116" s="495"/>
      <c r="I116" s="539" t="s">
        <v>1053</v>
      </c>
      <c r="J116" s="539" t="s">
        <v>1054</v>
      </c>
      <c r="K116" s="539" t="s">
        <v>1055</v>
      </c>
      <c r="L116" s="540" t="s">
        <v>1056</v>
      </c>
      <c r="M116" s="379"/>
      <c r="N116" s="540" t="s">
        <v>1056</v>
      </c>
      <c r="O116" s="379"/>
    </row>
    <row r="117" spans="1:15" x14ac:dyDescent="0.2">
      <c r="A117" s="503"/>
      <c r="B117" s="511" t="s">
        <v>498</v>
      </c>
      <c r="C117" s="495"/>
      <c r="D117" s="495"/>
      <c r="E117" s="513"/>
      <c r="F117" s="495"/>
      <c r="G117" s="495"/>
      <c r="H117" s="495"/>
      <c r="I117" s="495"/>
      <c r="J117" s="495"/>
      <c r="K117" s="495"/>
      <c r="L117" s="541"/>
      <c r="M117" s="379"/>
      <c r="N117" s="541"/>
      <c r="O117" s="379"/>
    </row>
    <row r="118" spans="1:15" ht="15.75" x14ac:dyDescent="0.3">
      <c r="A118" s="503"/>
      <c r="B118" s="495" t="s">
        <v>159</v>
      </c>
      <c r="C118" s="595">
        <v>150</v>
      </c>
      <c r="D118" s="495" t="s">
        <v>510</v>
      </c>
      <c r="E118" s="543">
        <f>(C118*E116/VLOOKUP($B115,'Standard values'!$C$9:$S$162,14, FALSE))/1000</f>
        <v>2.9723955409548817E-3</v>
      </c>
      <c r="F118" s="495" t="s">
        <v>242</v>
      </c>
      <c r="G118" s="495"/>
      <c r="H118" s="495"/>
      <c r="I118" s="544">
        <f>$E118*VLOOKUP($B118,'Standard values'!$C$9:$S$162,15, FALSE)*VLOOKUP(C119,'Standard values'!$C$9:$S$162,7, FALSE)/$E$172</f>
        <v>0.49425587467362919</v>
      </c>
      <c r="J118" s="544">
        <f>$E118*((VLOOKUP($B118,'Standard values'!$C$9:$S$162,15, FALSE)*VLOOKUP(C119,'Standard values'!$C$9:$S$162,8, FALSE))+VLOOKUP($B118,'Standard values'!$C$9:$S$162,16, FALSE))/$E$172</f>
        <v>2.7974636329727714E-5</v>
      </c>
      <c r="K118" s="544">
        <f>$E118*((VLOOKUP($B118,'Standard values'!$C$9:$S$162,15, FALSE)*VLOOKUP(C119,'Standard values'!$C$9:$S$162,9, FALSE))+VLOOKUP($B118,'Standard values'!$C$9:$S$162,17, FALSE))/$E$172</f>
        <v>0</v>
      </c>
      <c r="L118" s="516">
        <f>I118*'Standard values'!$D$10+J118*'Standard values'!$D$11+K118*'Standard values'!$D$12</f>
        <v>0.4949552405818724</v>
      </c>
      <c r="M118" s="379"/>
      <c r="N118" s="562">
        <f>+L118/E$69</f>
        <v>13.26975</v>
      </c>
      <c r="O118" s="379"/>
    </row>
    <row r="119" spans="1:15" x14ac:dyDescent="0.2">
      <c r="A119" s="503"/>
      <c r="B119" s="546" t="s">
        <v>54</v>
      </c>
      <c r="C119" s="673" t="s">
        <v>509</v>
      </c>
      <c r="D119" s="495"/>
      <c r="E119" s="503"/>
      <c r="F119" s="495"/>
      <c r="G119" s="495"/>
      <c r="H119" s="495"/>
      <c r="I119" s="544"/>
      <c r="J119" s="544"/>
      <c r="K119" s="544"/>
      <c r="L119" s="516"/>
      <c r="M119" s="379"/>
      <c r="N119" s="562"/>
      <c r="O119" s="379"/>
    </row>
    <row r="120" spans="1:15" x14ac:dyDescent="0.2">
      <c r="A120" s="503"/>
      <c r="B120" s="495"/>
      <c r="C120" s="495"/>
      <c r="D120" s="495"/>
      <c r="E120" s="505"/>
      <c r="F120" s="506"/>
      <c r="G120" s="506"/>
      <c r="H120" s="495"/>
      <c r="I120" s="539"/>
      <c r="J120" s="539"/>
      <c r="K120" s="539"/>
      <c r="L120" s="690"/>
      <c r="M120" s="379"/>
      <c r="N120" s="540"/>
      <c r="O120" s="379"/>
    </row>
    <row r="121" spans="1:15" x14ac:dyDescent="0.2">
      <c r="A121" s="503"/>
      <c r="B121" s="511" t="s">
        <v>441</v>
      </c>
      <c r="C121" s="495"/>
      <c r="D121" s="495"/>
      <c r="E121" s="503"/>
      <c r="F121" s="495"/>
      <c r="G121" s="495"/>
      <c r="H121" s="495"/>
      <c r="I121" s="544"/>
      <c r="J121" s="544"/>
      <c r="K121" s="544"/>
      <c r="L121" s="584"/>
      <c r="M121" s="379"/>
      <c r="N121" s="541"/>
      <c r="O121" s="379"/>
    </row>
    <row r="122" spans="1:15" ht="15.75" x14ac:dyDescent="0.3">
      <c r="A122" s="503"/>
      <c r="B122" s="1301" t="s">
        <v>49</v>
      </c>
      <c r="C122" s="542">
        <v>3.3999999999999998E-3</v>
      </c>
      <c r="D122" s="495" t="s">
        <v>495</v>
      </c>
      <c r="E122" s="503"/>
      <c r="F122" s="495"/>
      <c r="G122" s="495"/>
      <c r="H122" s="495"/>
      <c r="I122" s="544">
        <f>$C122*$E$116*VLOOKUP($B122,'Standard values'!$C$9:$S$162,7, FALSE)/$E$172</f>
        <v>0.41070129999999999</v>
      </c>
      <c r="J122" s="544">
        <f>$C122*$E$116*VLOOKUP($B122,'Standard values'!$C$9:$S$162,8, FALSE)/$E$172</f>
        <v>1.0015833333333333E-3</v>
      </c>
      <c r="K122" s="544">
        <f>$C122*$E$116*VLOOKUP($B122,'Standard values'!$C$9:$S$162,9, FALSE)/$E$172</f>
        <v>1.8605555555555555E-5</v>
      </c>
      <c r="L122" s="516">
        <f>I122*'Standard values'!$D$10+J122*'Standard values'!$D$11+K122*'Standard values'!$D$12</f>
        <v>0.44128533888888888</v>
      </c>
      <c r="M122" s="379"/>
      <c r="N122" s="562">
        <f>+L122/$E$69</f>
        <v>11.830859935611111</v>
      </c>
      <c r="O122" s="379"/>
    </row>
    <row r="123" spans="1:15" ht="14.25" x14ac:dyDescent="0.25">
      <c r="A123" s="519"/>
      <c r="B123" s="520"/>
      <c r="C123" s="520"/>
      <c r="D123" s="520"/>
      <c r="E123" s="519"/>
      <c r="F123" s="521"/>
      <c r="G123" s="521"/>
      <c r="H123" s="521" t="s">
        <v>534</v>
      </c>
      <c r="I123" s="520"/>
      <c r="J123" s="523" t="s">
        <v>1048</v>
      </c>
      <c r="K123" s="549"/>
      <c r="L123" s="525">
        <f>L118+L122</f>
        <v>0.93624057947076134</v>
      </c>
      <c r="M123" s="379"/>
      <c r="N123" s="545">
        <f>+L123/$E$69</f>
        <v>25.100609935611111</v>
      </c>
      <c r="O123" s="379"/>
    </row>
    <row r="124" spans="1:15" x14ac:dyDescent="0.2">
      <c r="A124" s="390"/>
      <c r="B124" s="390"/>
      <c r="C124" s="390"/>
      <c r="D124" s="390"/>
      <c r="E124" s="390"/>
      <c r="F124" s="376"/>
      <c r="G124" s="376"/>
      <c r="H124" s="376"/>
      <c r="I124" s="390"/>
      <c r="J124" s="550"/>
      <c r="K124" s="551"/>
      <c r="L124" s="597"/>
      <c r="M124" s="379"/>
      <c r="N124" s="390"/>
      <c r="O124" s="379"/>
    </row>
    <row r="125" spans="1:15" x14ac:dyDescent="0.2">
      <c r="A125" s="390"/>
      <c r="B125" s="390"/>
      <c r="C125" s="390"/>
      <c r="D125" s="390"/>
      <c r="E125" s="390"/>
      <c r="F125" s="376"/>
      <c r="G125" s="376"/>
      <c r="H125" s="376"/>
      <c r="I125" s="390"/>
      <c r="J125" s="550"/>
      <c r="K125" s="551"/>
      <c r="L125" s="597"/>
      <c r="M125" s="379"/>
      <c r="N125" s="379"/>
      <c r="O125" s="379"/>
    </row>
    <row r="126" spans="1:15" ht="15.75" x14ac:dyDescent="0.25">
      <c r="A126" s="530" t="s">
        <v>546</v>
      </c>
      <c r="B126" s="598"/>
      <c r="C126" s="599"/>
      <c r="D126" s="531"/>
      <c r="E126" s="600"/>
      <c r="F126" s="531"/>
      <c r="G126" s="531"/>
      <c r="H126" s="531"/>
      <c r="I126" s="531"/>
      <c r="J126" s="531"/>
      <c r="K126" s="531"/>
      <c r="L126" s="601"/>
      <c r="M126" s="379"/>
      <c r="N126" s="379"/>
      <c r="O126" s="379"/>
    </row>
    <row r="127" spans="1:15" ht="15.75" x14ac:dyDescent="0.25">
      <c r="A127" s="602"/>
      <c r="B127" s="603" t="s">
        <v>549</v>
      </c>
      <c r="C127" s="511" t="s">
        <v>908</v>
      </c>
      <c r="D127" s="495"/>
      <c r="E127" s="503"/>
      <c r="F127" s="495"/>
      <c r="G127" s="495"/>
      <c r="H127" s="495"/>
      <c r="I127" s="495"/>
      <c r="J127" s="495"/>
      <c r="K127" s="495"/>
      <c r="L127" s="537"/>
      <c r="M127" s="379"/>
      <c r="N127" s="390"/>
      <c r="O127" s="390"/>
    </row>
    <row r="128" spans="1:15" ht="15.75" x14ac:dyDescent="0.25">
      <c r="A128" s="602"/>
      <c r="B128" s="511"/>
      <c r="C128" s="668"/>
      <c r="D128" s="691" t="s">
        <v>431</v>
      </c>
      <c r="E128" s="692" t="str">
        <f>IF(D130="Yes","From :  ", " ")</f>
        <v xml:space="preserve"> </v>
      </c>
      <c r="F128" s="1422" t="str">
        <f>IF(D130="Yes",LUC!H$35 &amp; " ; " &amp; LUC!H$36 &amp; " ; " &amp; LUC!H$39 &amp; " ; " &amp; LUC!H$40 &amp; " ; " &amp; LUC!H$45 &amp; " ; " &amp; LUC!H$46 &amp; " ; " &amp; LUC!H$47, " ")</f>
        <v xml:space="preserve"> </v>
      </c>
      <c r="G128" s="1422"/>
      <c r="H128" s="1422"/>
      <c r="I128" s="1422"/>
      <c r="J128" s="1422"/>
      <c r="K128" s="1422"/>
      <c r="L128" s="1423"/>
      <c r="M128" s="379"/>
      <c r="N128" s="390"/>
      <c r="O128" s="390"/>
    </row>
    <row r="129" spans="1:15" ht="15.75" x14ac:dyDescent="0.25">
      <c r="A129" s="602"/>
      <c r="B129" s="539" t="s">
        <v>450</v>
      </c>
      <c r="C129" s="693" t="s">
        <v>431</v>
      </c>
      <c r="D129" s="691" t="s">
        <v>432</v>
      </c>
      <c r="E129" s="513"/>
      <c r="F129" s="1422"/>
      <c r="G129" s="1422"/>
      <c r="H129" s="1422"/>
      <c r="I129" s="1422"/>
      <c r="J129" s="1422"/>
      <c r="K129" s="1422"/>
      <c r="L129" s="1423"/>
      <c r="M129" s="379"/>
      <c r="N129" s="390"/>
      <c r="O129" s="390"/>
    </row>
    <row r="130" spans="1:15" ht="15.75" x14ac:dyDescent="0.25">
      <c r="A130" s="602"/>
      <c r="B130" s="511"/>
      <c r="C130" s="670" t="str">
        <f>IF(D130="Yes","Go to", " ")</f>
        <v xml:space="preserve"> </v>
      </c>
      <c r="D130" s="691" t="s">
        <v>432</v>
      </c>
      <c r="E130" s="692" t="str">
        <f>IF(D130="Yes","To    :   ", " ")</f>
        <v xml:space="preserve"> </v>
      </c>
      <c r="F130" s="1424" t="str">
        <f>IF(D130="Yes", LUC!D$35 &amp; " ; " &amp; LUC!D$36 &amp; " ; " &amp; LUC!D$39 &amp; " ; " &amp; LUC!D$40 &amp; " ; " &amp; LUC!D$45 &amp; " ; " &amp; LUC!D$46 &amp; " ; " &amp; LUC!D$47, " ")</f>
        <v xml:space="preserve"> </v>
      </c>
      <c r="G130" s="1424"/>
      <c r="H130" s="1424"/>
      <c r="I130" s="1424"/>
      <c r="J130" s="1424"/>
      <c r="K130" s="1424"/>
      <c r="L130" s="1425"/>
      <c r="M130" s="379"/>
      <c r="N130" s="390"/>
      <c r="O130" s="390"/>
    </row>
    <row r="131" spans="1:15" ht="15.75" x14ac:dyDescent="0.25">
      <c r="A131" s="602"/>
      <c r="B131" s="416"/>
      <c r="C131" s="671" t="str">
        <f>IF(D130="Yes","sheet 'LUC' ", " ")</f>
        <v xml:space="preserve"> </v>
      </c>
      <c r="D131" s="495"/>
      <c r="E131" s="696"/>
      <c r="F131" s="1424"/>
      <c r="G131" s="1424"/>
      <c r="H131" s="1424"/>
      <c r="I131" s="1424"/>
      <c r="J131" s="1424"/>
      <c r="K131" s="1424"/>
      <c r="L131" s="1425"/>
      <c r="M131" s="379"/>
      <c r="N131" s="390"/>
      <c r="O131" s="390"/>
    </row>
    <row r="132" spans="1:15" ht="15.75" x14ac:dyDescent="0.25">
      <c r="A132" s="602"/>
      <c r="B132" s="416"/>
      <c r="C132" s="670" t="str">
        <f>IF(D130="Yes","to calculate the land use change", " ")</f>
        <v xml:space="preserve"> </v>
      </c>
      <c r="D132" s="495"/>
      <c r="E132" s="696"/>
      <c r="F132" s="694"/>
      <c r="G132" s="694"/>
      <c r="H132" s="694"/>
      <c r="I132" s="492" t="s">
        <v>138</v>
      </c>
      <c r="J132" s="514"/>
      <c r="K132" s="694"/>
      <c r="L132" s="695"/>
      <c r="M132" s="379"/>
      <c r="N132" s="390"/>
      <c r="O132" s="390"/>
    </row>
    <row r="133" spans="1:15" ht="16.5" x14ac:dyDescent="0.3">
      <c r="A133" s="602"/>
      <c r="B133" s="416"/>
      <c r="C133" s="670"/>
      <c r="D133" s="495"/>
      <c r="E133" s="696"/>
      <c r="F133" s="694"/>
      <c r="G133" s="694"/>
      <c r="H133" s="694"/>
      <c r="I133" s="539" t="s">
        <v>1053</v>
      </c>
      <c r="J133" s="539" t="s">
        <v>1054</v>
      </c>
      <c r="K133" s="539" t="s">
        <v>1055</v>
      </c>
      <c r="L133" s="540" t="s">
        <v>1056</v>
      </c>
      <c r="M133" s="379"/>
      <c r="N133" s="390"/>
      <c r="O133" s="390"/>
    </row>
    <row r="134" spans="1:15" ht="16.5" x14ac:dyDescent="0.3">
      <c r="A134" s="602"/>
      <c r="B134" s="507" t="s">
        <v>451</v>
      </c>
      <c r="C134" s="697">
        <f>IF(D130="Yes",LUC!$J$86,0)</f>
        <v>0</v>
      </c>
      <c r="D134" s="497" t="s">
        <v>449</v>
      </c>
      <c r="E134" s="503"/>
      <c r="F134" s="495"/>
      <c r="G134" s="495"/>
      <c r="H134" s="495"/>
      <c r="I134" s="544">
        <f>$C134*1000000/$E$171</f>
        <v>0</v>
      </c>
      <c r="J134" s="544">
        <v>0</v>
      </c>
      <c r="K134" s="544">
        <v>0</v>
      </c>
      <c r="L134" s="419">
        <f>I134*'Standard values'!$D$10+J134*'Standard values'!$D$11+K134*'Standard values'!$D$12</f>
        <v>0</v>
      </c>
      <c r="M134" s="379"/>
      <c r="N134" s="390"/>
      <c r="O134" s="390"/>
    </row>
    <row r="135" spans="1:15" ht="15.75" x14ac:dyDescent="0.25">
      <c r="A135" s="602"/>
      <c r="B135" s="507"/>
      <c r="C135" s="698"/>
      <c r="D135" s="497"/>
      <c r="E135" s="503"/>
      <c r="F135" s="495"/>
      <c r="G135" s="495"/>
      <c r="H135" s="495"/>
      <c r="I135" s="544"/>
      <c r="J135" s="544"/>
      <c r="K135" s="544"/>
      <c r="L135" s="516">
        <f>SUM(L134:L134)</f>
        <v>0</v>
      </c>
      <c r="M135" s="379"/>
      <c r="N135" s="390"/>
      <c r="O135" s="390"/>
    </row>
    <row r="136" spans="1:15" ht="15.75" x14ac:dyDescent="0.25">
      <c r="A136" s="602"/>
      <c r="B136" s="416"/>
      <c r="C136" s="492"/>
      <c r="D136" s="495"/>
      <c r="E136" s="503"/>
      <c r="F136" s="495"/>
      <c r="G136" s="495"/>
      <c r="H136" s="495"/>
      <c r="I136" s="544"/>
      <c r="J136" s="544"/>
      <c r="K136" s="544"/>
      <c r="L136" s="516"/>
      <c r="M136" s="379"/>
      <c r="N136" s="390"/>
      <c r="O136" s="390"/>
    </row>
    <row r="137" spans="1:15" ht="15.75" x14ac:dyDescent="0.3">
      <c r="A137" s="503"/>
      <c r="B137" s="539" t="s">
        <v>452</v>
      </c>
      <c r="C137" s="595">
        <v>0</v>
      </c>
      <c r="D137" s="605" t="s">
        <v>1036</v>
      </c>
      <c r="E137" s="699"/>
      <c r="F137" s="495"/>
      <c r="G137" s="495"/>
      <c r="H137" s="495"/>
      <c r="I137" s="544">
        <f>-C137</f>
        <v>0</v>
      </c>
      <c r="J137" s="544">
        <v>0</v>
      </c>
      <c r="K137" s="544">
        <v>0</v>
      </c>
      <c r="L137" s="419">
        <f>I137*'Standard values'!$D$10+J137*'Standard values'!$D$11+K137*'Standard values'!$D$12</f>
        <v>0</v>
      </c>
      <c r="M137" s="379"/>
      <c r="N137" s="390"/>
      <c r="O137" s="390"/>
    </row>
    <row r="138" spans="1:15" x14ac:dyDescent="0.2">
      <c r="A138" s="503"/>
      <c r="B138" s="539" t="str">
        <f>IF(C137=-29,"Year of conversion:","")</f>
        <v/>
      </c>
      <c r="C138" s="539" t="str">
        <f>IF(D137=-29,"Year of conversion:","")</f>
        <v/>
      </c>
      <c r="D138" s="605" t="str">
        <f>IF(C137=-29,"Fill in the year of conversion","")</f>
        <v/>
      </c>
      <c r="E138" s="503"/>
      <c r="F138" s="495"/>
      <c r="G138" s="495"/>
      <c r="H138" s="495"/>
      <c r="I138" s="495"/>
      <c r="J138" s="495"/>
      <c r="K138" s="544"/>
      <c r="L138" s="516">
        <f>SUM(L137:L137)</f>
        <v>0</v>
      </c>
      <c r="M138" s="379"/>
      <c r="N138" s="390"/>
      <c r="O138" s="390"/>
    </row>
    <row r="139" spans="1:15" x14ac:dyDescent="0.2">
      <c r="A139" s="503"/>
      <c r="B139" s="539"/>
      <c r="C139" s="539"/>
      <c r="D139" s="605"/>
      <c r="E139" s="503"/>
      <c r="F139" s="495"/>
      <c r="G139" s="495"/>
      <c r="H139" s="495"/>
      <c r="I139" s="495"/>
      <c r="J139" s="495"/>
      <c r="K139" s="544"/>
      <c r="L139" s="700"/>
      <c r="M139" s="379"/>
      <c r="N139" s="390"/>
      <c r="O139" s="390"/>
    </row>
    <row r="140" spans="1:15" ht="14.25" x14ac:dyDescent="0.25">
      <c r="A140" s="519"/>
      <c r="B140" s="520"/>
      <c r="C140" s="520"/>
      <c r="D140" s="520"/>
      <c r="E140" s="519"/>
      <c r="F140" s="521"/>
      <c r="G140" s="521"/>
      <c r="H140" s="521" t="s">
        <v>534</v>
      </c>
      <c r="I140" s="520"/>
      <c r="J140" s="523" t="s">
        <v>1048</v>
      </c>
      <c r="K140" s="549"/>
      <c r="L140" s="525">
        <f>L135+L138</f>
        <v>0</v>
      </c>
      <c r="M140" s="379"/>
      <c r="N140" s="390"/>
      <c r="O140" s="390"/>
    </row>
    <row r="141" spans="1:15" x14ac:dyDescent="0.2">
      <c r="A141" s="390"/>
      <c r="B141" s="390"/>
      <c r="C141" s="390"/>
      <c r="D141" s="390"/>
      <c r="E141" s="390"/>
      <c r="F141" s="376"/>
      <c r="G141" s="376"/>
      <c r="H141" s="376"/>
      <c r="I141" s="390"/>
      <c r="J141" s="550"/>
      <c r="K141" s="551"/>
      <c r="L141" s="604"/>
      <c r="M141" s="379"/>
      <c r="N141" s="390"/>
      <c r="O141" s="390"/>
    </row>
    <row r="142" spans="1:15" x14ac:dyDescent="0.2">
      <c r="A142" s="390"/>
      <c r="B142" s="390"/>
      <c r="C142" s="390"/>
      <c r="D142" s="390"/>
      <c r="E142" s="390"/>
      <c r="F142" s="376"/>
      <c r="G142" s="376"/>
      <c r="H142" s="376"/>
      <c r="I142" s="390"/>
      <c r="J142" s="550"/>
      <c r="K142" s="551"/>
      <c r="L142" s="604"/>
      <c r="M142" s="379"/>
      <c r="N142" s="390"/>
      <c r="O142" s="390"/>
    </row>
    <row r="143" spans="1:15" ht="15.75" x14ac:dyDescent="0.25">
      <c r="A143" s="530" t="s">
        <v>547</v>
      </c>
      <c r="B143" s="598"/>
      <c r="C143" s="599"/>
      <c r="D143" s="531"/>
      <c r="E143" s="600"/>
      <c r="F143" s="531"/>
      <c r="G143" s="531"/>
      <c r="H143" s="531"/>
      <c r="I143" s="531"/>
      <c r="J143" s="531"/>
      <c r="K143" s="531"/>
      <c r="L143" s="601"/>
      <c r="M143" s="379"/>
      <c r="N143" s="390"/>
      <c r="O143" s="390"/>
    </row>
    <row r="144" spans="1:15" ht="15.75" x14ac:dyDescent="0.25">
      <c r="A144" s="602"/>
      <c r="B144" s="416" t="s">
        <v>548</v>
      </c>
      <c r="C144" s="492" t="s">
        <v>429</v>
      </c>
      <c r="D144" s="616"/>
      <c r="E144" s="503"/>
      <c r="F144" s="495"/>
      <c r="G144" s="495"/>
      <c r="H144" s="495"/>
      <c r="I144" s="492" t="s">
        <v>138</v>
      </c>
      <c r="J144" s="514"/>
      <c r="K144" s="514"/>
      <c r="L144" s="537"/>
      <c r="M144" s="379"/>
      <c r="N144" s="390"/>
      <c r="O144" s="390"/>
    </row>
    <row r="145" spans="1:15" ht="15.75" customHeight="1" x14ac:dyDescent="0.25">
      <c r="A145" s="602"/>
      <c r="B145" s="511"/>
      <c r="C145" s="668"/>
      <c r="D145" s="691" t="s">
        <v>431</v>
      </c>
      <c r="E145" s="692" t="str">
        <f>IF(D147="Yes","From :  ", " ")</f>
        <v xml:space="preserve"> </v>
      </c>
      <c r="F145" s="1422" t="str">
        <f>IF(D147="Yes",Esca!H$42 &amp; ", " &amp; Esca!H$43 &amp; " input ","")</f>
        <v/>
      </c>
      <c r="G145" s="1422"/>
      <c r="H145" s="1422"/>
      <c r="I145" s="1422"/>
      <c r="J145" s="1422"/>
      <c r="K145" s="1422"/>
      <c r="L145" s="1423"/>
      <c r="M145" s="379"/>
      <c r="N145" s="390"/>
      <c r="O145" s="390"/>
    </row>
    <row r="146" spans="1:15" ht="15.75" x14ac:dyDescent="0.25">
      <c r="A146" s="602"/>
      <c r="B146" s="539" t="s">
        <v>430</v>
      </c>
      <c r="C146" s="668"/>
      <c r="D146" s="691" t="s">
        <v>432</v>
      </c>
      <c r="E146" s="513"/>
      <c r="F146" s="1422"/>
      <c r="G146" s="1422"/>
      <c r="H146" s="1422"/>
      <c r="I146" s="1422"/>
      <c r="J146" s="1422"/>
      <c r="K146" s="1422"/>
      <c r="L146" s="1423"/>
      <c r="M146" s="379"/>
      <c r="N146" s="390"/>
      <c r="O146" s="390"/>
    </row>
    <row r="147" spans="1:15" ht="15.75" customHeight="1" x14ac:dyDescent="0.25">
      <c r="A147" s="602"/>
      <c r="B147" s="511"/>
      <c r="C147" s="670" t="str">
        <f>IF(D147="Yes","Go to", " ")</f>
        <v xml:space="preserve"> </v>
      </c>
      <c r="D147" s="691" t="s">
        <v>432</v>
      </c>
      <c r="E147" s="692" t="str">
        <f>IF(D147="Yes","To    :   ", " ")</f>
        <v xml:space="preserve"> </v>
      </c>
      <c r="F147" s="1422" t="str">
        <f>IF(D147="Yes",Esca!D$42 &amp; ", " &amp; Esca!D$43 &amp; " input ","")</f>
        <v/>
      </c>
      <c r="G147" s="1422"/>
      <c r="H147" s="1422"/>
      <c r="I147" s="1422"/>
      <c r="J147" s="1422"/>
      <c r="K147" s="1422"/>
      <c r="L147" s="1423"/>
      <c r="M147" s="379"/>
      <c r="N147" s="390"/>
      <c r="O147" s="390"/>
    </row>
    <row r="148" spans="1:15" ht="15.75" x14ac:dyDescent="0.25">
      <c r="A148" s="602"/>
      <c r="B148" s="416"/>
      <c r="C148" s="671" t="str">
        <f>IF(D147="Yes","sheet 'Esca' ", " ")</f>
        <v xml:space="preserve"> </v>
      </c>
      <c r="D148" s="495"/>
      <c r="E148" s="696"/>
      <c r="F148" s="1422"/>
      <c r="G148" s="1422"/>
      <c r="H148" s="1422"/>
      <c r="I148" s="1422"/>
      <c r="J148" s="1422"/>
      <c r="K148" s="1422"/>
      <c r="L148" s="1423"/>
      <c r="M148" s="379"/>
      <c r="N148" s="390"/>
      <c r="O148" s="390"/>
    </row>
    <row r="149" spans="1:15" ht="15.75" x14ac:dyDescent="0.25">
      <c r="A149" s="602"/>
      <c r="B149" s="416"/>
      <c r="C149" s="670" t="str">
        <f>IF(D147="Yes","to calculate the soil carbon accumulation", " ")</f>
        <v xml:space="preserve"> </v>
      </c>
      <c r="D149" s="495"/>
      <c r="E149" s="696"/>
      <c r="F149" s="694"/>
      <c r="G149" s="694"/>
      <c r="H149" s="694"/>
      <c r="I149" s="492" t="s">
        <v>138</v>
      </c>
      <c r="J149" s="514"/>
      <c r="K149" s="694"/>
      <c r="L149" s="695"/>
      <c r="M149" s="379"/>
      <c r="N149" s="390"/>
      <c r="O149" s="390"/>
    </row>
    <row r="150" spans="1:15" ht="16.5" x14ac:dyDescent="0.3">
      <c r="A150" s="602"/>
      <c r="B150" s="416"/>
      <c r="C150" s="670"/>
      <c r="D150" s="495"/>
      <c r="E150" s="696"/>
      <c r="F150" s="694"/>
      <c r="G150" s="694"/>
      <c r="H150" s="694"/>
      <c r="I150" s="539" t="s">
        <v>1053</v>
      </c>
      <c r="J150" s="539" t="s">
        <v>1054</v>
      </c>
      <c r="K150" s="539" t="s">
        <v>1055</v>
      </c>
      <c r="L150" s="540" t="s">
        <v>1056</v>
      </c>
      <c r="M150" s="379"/>
      <c r="N150" s="390"/>
      <c r="O150" s="390"/>
    </row>
    <row r="151" spans="1:15" ht="16.5" x14ac:dyDescent="0.3">
      <c r="A151" s="602"/>
      <c r="B151" s="507" t="s">
        <v>807</v>
      </c>
      <c r="C151" s="697">
        <f>IF(D147="yes",Esca!$J$81,0)</f>
        <v>0</v>
      </c>
      <c r="D151" s="497" t="s">
        <v>449</v>
      </c>
      <c r="E151" s="503"/>
      <c r="F151" s="495"/>
      <c r="G151" s="495"/>
      <c r="H151" s="495"/>
      <c r="I151" s="544">
        <f>$C151*1000000/$E$171</f>
        <v>0</v>
      </c>
      <c r="J151" s="544">
        <v>0</v>
      </c>
      <c r="K151" s="544">
        <v>0</v>
      </c>
      <c r="L151" s="419">
        <f>I151*'Standard values'!$D$10+J151*'Standard values'!$D$11+K151*'Standard values'!$D$12</f>
        <v>0</v>
      </c>
      <c r="M151" s="379"/>
      <c r="N151" s="390"/>
      <c r="O151" s="390"/>
    </row>
    <row r="152" spans="1:15" x14ac:dyDescent="0.2">
      <c r="A152" s="503"/>
      <c r="B152" s="539"/>
      <c r="C152" s="539"/>
      <c r="D152" s="605"/>
      <c r="E152" s="503"/>
      <c r="F152" s="495"/>
      <c r="G152" s="495"/>
      <c r="H152" s="495"/>
      <c r="I152" s="495"/>
      <c r="J152" s="495"/>
      <c r="K152" s="544"/>
      <c r="L152" s="516">
        <f>SUM(L151:L151)</f>
        <v>0</v>
      </c>
      <c r="M152" s="379"/>
      <c r="N152" s="390"/>
      <c r="O152" s="390"/>
    </row>
    <row r="153" spans="1:15" x14ac:dyDescent="0.2">
      <c r="A153" s="503"/>
      <c r="B153" s="539"/>
      <c r="C153" s="539"/>
      <c r="D153" s="605"/>
      <c r="E153" s="503"/>
      <c r="F153" s="495"/>
      <c r="G153" s="495"/>
      <c r="H153" s="495"/>
      <c r="I153" s="495"/>
      <c r="J153" s="495"/>
      <c r="K153" s="544"/>
      <c r="L153" s="700"/>
      <c r="M153" s="379"/>
      <c r="N153" s="390"/>
      <c r="O153" s="390"/>
    </row>
    <row r="154" spans="1:15" ht="14.25" x14ac:dyDescent="0.25">
      <c r="A154" s="519"/>
      <c r="B154" s="520"/>
      <c r="C154" s="520"/>
      <c r="D154" s="520"/>
      <c r="E154" s="519"/>
      <c r="F154" s="521"/>
      <c r="G154" s="521"/>
      <c r="H154" s="521" t="s">
        <v>534</v>
      </c>
      <c r="I154" s="520"/>
      <c r="J154" s="523" t="s">
        <v>1048</v>
      </c>
      <c r="K154" s="549"/>
      <c r="L154" s="525">
        <f>L152</f>
        <v>0</v>
      </c>
      <c r="M154" s="379"/>
      <c r="N154" s="390"/>
      <c r="O154" s="390"/>
    </row>
    <row r="155" spans="1:15" x14ac:dyDescent="0.2">
      <c r="A155" s="390"/>
      <c r="B155" s="390"/>
      <c r="C155" s="390"/>
      <c r="D155" s="390"/>
      <c r="E155" s="390"/>
      <c r="F155" s="376"/>
      <c r="G155" s="376"/>
      <c r="H155" s="376"/>
      <c r="I155" s="390"/>
      <c r="J155" s="550"/>
      <c r="K155" s="551"/>
      <c r="L155" s="604"/>
      <c r="M155" s="379"/>
      <c r="N155" s="390"/>
      <c r="O155" s="390"/>
    </row>
    <row r="156" spans="1:15" x14ac:dyDescent="0.2">
      <c r="A156" s="390"/>
      <c r="B156" s="390"/>
      <c r="C156" s="390"/>
      <c r="D156" s="390"/>
      <c r="E156" s="390"/>
      <c r="F156" s="376"/>
      <c r="G156" s="376"/>
      <c r="H156" s="376"/>
      <c r="I156" s="390"/>
      <c r="J156" s="550"/>
      <c r="K156" s="551"/>
      <c r="L156" s="604"/>
      <c r="M156" s="379"/>
      <c r="N156" s="390"/>
      <c r="O156" s="390"/>
    </row>
    <row r="157" spans="1:15" ht="18.75" x14ac:dyDescent="0.35">
      <c r="A157" s="530" t="s">
        <v>168</v>
      </c>
      <c r="B157" s="598"/>
      <c r="C157" s="599"/>
      <c r="D157" s="531"/>
      <c r="E157" s="600"/>
      <c r="F157" s="531"/>
      <c r="G157" s="531"/>
      <c r="H157" s="531"/>
      <c r="I157" s="531"/>
      <c r="J157" s="531"/>
      <c r="K157" s="531"/>
      <c r="L157" s="601"/>
      <c r="M157" s="379"/>
      <c r="N157" s="390"/>
      <c r="O157" s="390"/>
    </row>
    <row r="158" spans="1:15" ht="15.75" x14ac:dyDescent="0.25">
      <c r="A158" s="602"/>
      <c r="B158" s="416" t="s">
        <v>166</v>
      </c>
      <c r="C158" s="492"/>
      <c r="D158" s="495"/>
      <c r="E158" s="503"/>
      <c r="F158" s="495"/>
      <c r="G158" s="495"/>
      <c r="H158" s="495"/>
      <c r="I158" s="492" t="s">
        <v>138</v>
      </c>
      <c r="J158" s="514"/>
      <c r="K158" s="514"/>
      <c r="L158" s="537"/>
      <c r="M158" s="379"/>
      <c r="N158" s="390"/>
      <c r="O158" s="390"/>
    </row>
    <row r="159" spans="1:15" ht="15.75" x14ac:dyDescent="0.3">
      <c r="A159" s="503"/>
      <c r="B159" s="539"/>
      <c r="C159" s="595">
        <v>0</v>
      </c>
      <c r="D159" s="605" t="s">
        <v>1036</v>
      </c>
      <c r="E159" s="503"/>
      <c r="F159" s="495"/>
      <c r="G159" s="495"/>
      <c r="H159" s="495"/>
      <c r="I159" s="495"/>
      <c r="J159" s="495"/>
      <c r="K159" s="544"/>
      <c r="L159" s="516">
        <f>C159</f>
        <v>0</v>
      </c>
      <c r="M159" s="379"/>
      <c r="N159" s="390"/>
      <c r="O159" s="390"/>
    </row>
    <row r="160" spans="1:15" ht="14.25" x14ac:dyDescent="0.25">
      <c r="A160" s="519"/>
      <c r="B160" s="520"/>
      <c r="C160" s="520"/>
      <c r="D160" s="520"/>
      <c r="E160" s="519"/>
      <c r="F160" s="521"/>
      <c r="G160" s="521"/>
      <c r="H160" s="521" t="s">
        <v>534</v>
      </c>
      <c r="I160" s="520"/>
      <c r="J160" s="523" t="s">
        <v>1048</v>
      </c>
      <c r="K160" s="549"/>
      <c r="L160" s="525">
        <f>C159</f>
        <v>0</v>
      </c>
      <c r="M160" s="379"/>
      <c r="N160" s="390"/>
      <c r="O160" s="390"/>
    </row>
    <row r="161" spans="1:15" x14ac:dyDescent="0.2">
      <c r="A161" s="390"/>
      <c r="B161" s="390"/>
      <c r="C161" s="390"/>
      <c r="D161" s="390"/>
      <c r="E161" s="390"/>
      <c r="F161" s="376"/>
      <c r="G161" s="376"/>
      <c r="H161" s="376"/>
      <c r="I161" s="390"/>
      <c r="J161" s="550"/>
      <c r="K161" s="551"/>
      <c r="L161" s="604"/>
      <c r="M161" s="379"/>
      <c r="N161" s="390"/>
      <c r="O161" s="390"/>
    </row>
    <row r="162" spans="1:15" x14ac:dyDescent="0.2">
      <c r="A162" s="390"/>
      <c r="B162" s="390"/>
      <c r="C162" s="390"/>
      <c r="D162" s="390"/>
      <c r="E162" s="390"/>
      <c r="F162" s="376"/>
      <c r="G162" s="376"/>
      <c r="H162" s="376"/>
      <c r="I162" s="390"/>
      <c r="J162" s="550"/>
      <c r="K162" s="551"/>
      <c r="L162" s="604"/>
      <c r="M162" s="379"/>
      <c r="N162" s="390"/>
      <c r="O162" s="390"/>
    </row>
    <row r="163" spans="1:15" ht="18.75" x14ac:dyDescent="0.35">
      <c r="A163" s="530" t="s">
        <v>169</v>
      </c>
      <c r="B163" s="598"/>
      <c r="C163" s="599"/>
      <c r="D163" s="531"/>
      <c r="E163" s="600"/>
      <c r="F163" s="531"/>
      <c r="G163" s="531"/>
      <c r="H163" s="531"/>
      <c r="I163" s="531"/>
      <c r="J163" s="531"/>
      <c r="K163" s="531"/>
      <c r="L163" s="601"/>
      <c r="M163" s="379"/>
      <c r="N163" s="390"/>
      <c r="O163" s="390"/>
    </row>
    <row r="164" spans="1:15" ht="15.75" x14ac:dyDescent="0.25">
      <c r="A164" s="602"/>
      <c r="B164" s="416" t="s">
        <v>167</v>
      </c>
      <c r="C164" s="492"/>
      <c r="D164" s="495"/>
      <c r="E164" s="503"/>
      <c r="F164" s="495"/>
      <c r="G164" s="495"/>
      <c r="H164" s="495"/>
      <c r="I164" s="492" t="s">
        <v>138</v>
      </c>
      <c r="J164" s="514"/>
      <c r="K164" s="514"/>
      <c r="L164" s="537"/>
      <c r="M164" s="379"/>
      <c r="N164" s="390"/>
      <c r="O164" s="390"/>
    </row>
    <row r="165" spans="1:15" ht="15.75" x14ac:dyDescent="0.3">
      <c r="A165" s="503"/>
      <c r="B165" s="539"/>
      <c r="C165" s="595">
        <v>0</v>
      </c>
      <c r="D165" s="605" t="s">
        <v>1036</v>
      </c>
      <c r="E165" s="503"/>
      <c r="F165" s="495"/>
      <c r="G165" s="495"/>
      <c r="H165" s="495"/>
      <c r="I165" s="495"/>
      <c r="J165" s="495"/>
      <c r="K165" s="544"/>
      <c r="L165" s="516">
        <f>C165</f>
        <v>0</v>
      </c>
      <c r="M165" s="379"/>
      <c r="N165" s="390"/>
      <c r="O165" s="390"/>
    </row>
    <row r="166" spans="1:15" ht="14.25" x14ac:dyDescent="0.25">
      <c r="A166" s="519"/>
      <c r="B166" s="520"/>
      <c r="C166" s="520"/>
      <c r="D166" s="520"/>
      <c r="E166" s="519"/>
      <c r="F166" s="521"/>
      <c r="G166" s="521"/>
      <c r="H166" s="521" t="s">
        <v>534</v>
      </c>
      <c r="I166" s="520"/>
      <c r="J166" s="523" t="s">
        <v>1048</v>
      </c>
      <c r="K166" s="549"/>
      <c r="L166" s="525">
        <f>C165</f>
        <v>0</v>
      </c>
      <c r="M166" s="379"/>
      <c r="N166" s="390"/>
      <c r="O166" s="390"/>
    </row>
    <row r="167" spans="1:15" x14ac:dyDescent="0.2">
      <c r="A167" s="390"/>
      <c r="B167" s="390"/>
      <c r="C167" s="390"/>
      <c r="D167" s="390"/>
      <c r="E167" s="390"/>
      <c r="F167" s="376"/>
      <c r="G167" s="376"/>
      <c r="H167" s="376"/>
      <c r="I167" s="390"/>
      <c r="J167" s="550"/>
      <c r="K167" s="551"/>
      <c r="L167" s="604"/>
      <c r="M167" s="379"/>
      <c r="N167" s="390"/>
      <c r="O167" s="390"/>
    </row>
    <row r="168" spans="1:15" x14ac:dyDescent="0.2">
      <c r="A168" s="390"/>
      <c r="B168" s="390"/>
      <c r="C168" s="390"/>
      <c r="D168" s="390"/>
      <c r="E168" s="390"/>
      <c r="F168" s="376"/>
      <c r="G168" s="376"/>
      <c r="H168" s="376"/>
      <c r="I168" s="390"/>
      <c r="J168" s="550"/>
      <c r="K168" s="551"/>
      <c r="L168" s="604"/>
      <c r="M168" s="379"/>
      <c r="N168" s="390"/>
      <c r="O168" s="390"/>
    </row>
    <row r="169" spans="1:15" ht="15.75" x14ac:dyDescent="0.25">
      <c r="A169" s="530" t="s">
        <v>457</v>
      </c>
      <c r="B169" s="531"/>
      <c r="C169" s="531"/>
      <c r="D169" s="531"/>
      <c r="E169" s="532"/>
      <c r="F169" s="606"/>
      <c r="G169" s="606"/>
      <c r="H169" s="606"/>
      <c r="I169" s="607"/>
      <c r="J169" s="608"/>
      <c r="K169" s="607"/>
      <c r="L169" s="609"/>
      <c r="M169" s="379"/>
      <c r="N169" s="390"/>
      <c r="O169" s="390"/>
    </row>
    <row r="170" spans="1:15" ht="15.75" x14ac:dyDescent="0.25">
      <c r="A170" s="610"/>
      <c r="B170" s="611"/>
      <c r="C170" s="611"/>
      <c r="D170" s="611"/>
      <c r="E170" s="612"/>
      <c r="F170" s="613"/>
      <c r="G170" s="613"/>
      <c r="H170" s="613"/>
      <c r="I170" s="613"/>
      <c r="J170" s="613"/>
      <c r="K170" s="613"/>
      <c r="L170" s="614"/>
      <c r="M170" s="379"/>
      <c r="N170" s="390"/>
      <c r="O170" s="390"/>
    </row>
    <row r="171" spans="1:15" ht="15.75" x14ac:dyDescent="0.3">
      <c r="A171" s="503"/>
      <c r="B171" s="495"/>
      <c r="C171" s="495"/>
      <c r="D171" s="546" t="s">
        <v>300</v>
      </c>
      <c r="E171" s="702">
        <f>E23*C47*C56*C67*C103*C115</f>
        <v>40687.990364447454</v>
      </c>
      <c r="F171" s="495" t="s">
        <v>1030</v>
      </c>
      <c r="G171" s="495"/>
      <c r="H171" s="495"/>
      <c r="I171" s="495"/>
      <c r="J171" s="495"/>
      <c r="K171" s="495"/>
      <c r="L171" s="616"/>
      <c r="M171" s="379"/>
      <c r="N171" s="390"/>
      <c r="O171" s="390"/>
    </row>
    <row r="172" spans="1:15" ht="15.75" x14ac:dyDescent="0.3">
      <c r="A172" s="503"/>
      <c r="B172" s="495"/>
      <c r="C172" s="495"/>
      <c r="D172" s="546" t="s">
        <v>299</v>
      </c>
      <c r="E172" s="615">
        <f>E171/E23</f>
        <v>0.53126616302000251</v>
      </c>
      <c r="F172" s="495" t="s">
        <v>656</v>
      </c>
      <c r="G172" s="495"/>
      <c r="H172" s="495"/>
      <c r="I172" s="544"/>
      <c r="J172" s="495"/>
      <c r="K172" s="495"/>
      <c r="L172" s="616"/>
      <c r="M172" s="379"/>
      <c r="N172" s="390"/>
      <c r="O172" s="390"/>
    </row>
    <row r="173" spans="1:15" x14ac:dyDescent="0.2">
      <c r="A173" s="503"/>
      <c r="B173" s="495"/>
      <c r="C173" s="495"/>
      <c r="D173" s="495"/>
      <c r="E173" s="495"/>
      <c r="F173" s="617"/>
      <c r="G173" s="617"/>
      <c r="H173" s="495"/>
      <c r="I173" s="544"/>
      <c r="J173" s="495"/>
      <c r="K173" s="495"/>
      <c r="L173" s="616"/>
      <c r="M173" s="379"/>
      <c r="N173" s="390"/>
      <c r="O173" s="390"/>
    </row>
    <row r="174" spans="1:15" x14ac:dyDescent="0.2">
      <c r="A174" s="503"/>
      <c r="B174" s="495"/>
      <c r="C174" s="495"/>
      <c r="D174" s="495"/>
      <c r="E174" s="495"/>
      <c r="F174" s="617"/>
      <c r="G174" s="617"/>
      <c r="H174" s="495"/>
      <c r="I174" s="495"/>
      <c r="J174" s="495"/>
      <c r="K174" s="495"/>
      <c r="L174" s="616"/>
      <c r="M174" s="379"/>
      <c r="N174" s="390"/>
      <c r="O174" s="390"/>
    </row>
    <row r="175" spans="1:15" ht="14.25" x14ac:dyDescent="0.25">
      <c r="A175" s="618"/>
      <c r="B175" s="619"/>
      <c r="C175" s="619"/>
      <c r="D175" s="619"/>
      <c r="E175" s="620" t="s">
        <v>1059</v>
      </c>
      <c r="F175" s="621"/>
      <c r="G175" s="621"/>
      <c r="H175" s="622"/>
      <c r="I175" s="622"/>
      <c r="J175" s="620" t="s">
        <v>885</v>
      </c>
      <c r="K175" s="622"/>
      <c r="L175" s="623">
        <f>L43+L52+L62+L90+L111+L123+L140-L154-L160-L166</f>
        <v>42.862992339290635</v>
      </c>
      <c r="M175" s="379"/>
      <c r="N175" s="390"/>
      <c r="O175" s="390"/>
    </row>
    <row r="176" spans="1:15" ht="14.25" x14ac:dyDescent="0.25">
      <c r="A176" s="624"/>
      <c r="B176" s="625"/>
      <c r="C176" s="626"/>
      <c r="D176" s="619"/>
      <c r="E176" s="620" t="s">
        <v>1060</v>
      </c>
      <c r="F176" s="622"/>
      <c r="G176" s="622"/>
      <c r="H176" s="622"/>
      <c r="I176" s="622"/>
      <c r="J176" s="620" t="s">
        <v>885</v>
      </c>
      <c r="K176" s="622"/>
      <c r="L176" s="627">
        <f>L99+L111+L123+(L135*J6)+L138-L154-L160-L166</f>
        <v>26.132084880331671</v>
      </c>
      <c r="M176" s="379"/>
      <c r="N176" s="390"/>
      <c r="O176" s="390"/>
    </row>
    <row r="177" spans="1:15" x14ac:dyDescent="0.2">
      <c r="A177" s="618"/>
      <c r="B177" s="619"/>
      <c r="C177" s="619"/>
      <c r="D177" s="619"/>
      <c r="E177" s="622"/>
      <c r="F177" s="622"/>
      <c r="G177" s="622"/>
      <c r="H177" s="622"/>
      <c r="I177" s="622"/>
      <c r="J177" s="622"/>
      <c r="K177" s="622"/>
      <c r="L177" s="628"/>
      <c r="M177" s="379"/>
      <c r="N177" s="390"/>
      <c r="O177" s="390"/>
    </row>
    <row r="178" spans="1:15" x14ac:dyDescent="0.2">
      <c r="A178" s="629"/>
      <c r="B178" s="630"/>
      <c r="C178" s="630"/>
      <c r="D178" s="630"/>
      <c r="E178" s="631" t="s">
        <v>1061</v>
      </c>
      <c r="F178" s="632"/>
      <c r="G178" s="632"/>
      <c r="H178" s="632"/>
      <c r="I178" s="632"/>
      <c r="J178" s="632"/>
      <c r="K178" s="632"/>
      <c r="L178" s="633">
        <f>(83.8-L176)/83.8</f>
        <v>0.68816127827766493</v>
      </c>
      <c r="M178" s="379"/>
      <c r="N178" s="390"/>
      <c r="O178" s="390"/>
    </row>
    <row r="179" spans="1:15" x14ac:dyDescent="0.2">
      <c r="M179" s="361"/>
    </row>
    <row r="180" spans="1:15" x14ac:dyDescent="0.2">
      <c r="E180" s="634"/>
      <c r="F180" s="634"/>
      <c r="G180" s="634"/>
      <c r="H180" s="635"/>
      <c r="I180" s="634"/>
      <c r="J180" s="634"/>
      <c r="K180" s="634"/>
      <c r="L180" s="636"/>
      <c r="M180" s="361"/>
    </row>
    <row r="181" spans="1:15" x14ac:dyDescent="0.2">
      <c r="F181" s="634"/>
      <c r="G181" s="634"/>
      <c r="H181" s="634"/>
      <c r="I181" s="637"/>
      <c r="J181" s="634"/>
      <c r="K181" s="634"/>
      <c r="L181" s="638"/>
      <c r="M181" s="639"/>
      <c r="N181" s="361"/>
    </row>
    <row r="182" spans="1:15" x14ac:dyDescent="0.2">
      <c r="F182" s="634"/>
      <c r="G182" s="634"/>
      <c r="H182" s="634"/>
      <c r="I182" s="637"/>
      <c r="J182" s="634"/>
      <c r="K182" s="634"/>
      <c r="L182" s="638"/>
      <c r="M182" s="639"/>
      <c r="N182" s="361"/>
    </row>
    <row r="183" spans="1:15" ht="15.75" x14ac:dyDescent="0.25">
      <c r="F183" s="640"/>
      <c r="G183" s="640"/>
      <c r="H183" s="634"/>
      <c r="I183" s="634"/>
      <c r="J183" s="634"/>
      <c r="K183" s="634"/>
      <c r="L183" s="634"/>
      <c r="M183" s="634"/>
      <c r="N183" s="361"/>
    </row>
    <row r="184" spans="1:15" x14ac:dyDescent="0.2">
      <c r="F184" s="634"/>
      <c r="G184" s="634"/>
      <c r="H184" s="637"/>
      <c r="I184" s="634"/>
      <c r="J184" s="634"/>
      <c r="K184" s="634"/>
      <c r="L184" s="634"/>
      <c r="M184" s="634"/>
      <c r="N184" s="634"/>
    </row>
    <row r="185" spans="1:15" x14ac:dyDescent="0.2">
      <c r="F185" s="637"/>
      <c r="G185" s="637"/>
      <c r="H185" s="634"/>
      <c r="I185" s="641"/>
      <c r="J185" s="634"/>
      <c r="K185" s="634"/>
      <c r="L185" s="634"/>
      <c r="M185" s="634"/>
      <c r="N185" s="634"/>
    </row>
    <row r="186" spans="1:15" x14ac:dyDescent="0.2">
      <c r="F186" s="637"/>
      <c r="G186" s="637"/>
      <c r="H186" s="634"/>
      <c r="I186" s="641"/>
      <c r="J186" s="634"/>
      <c r="K186" s="634"/>
      <c r="L186" s="634"/>
      <c r="M186" s="634"/>
      <c r="N186" s="634"/>
    </row>
    <row r="187" spans="1:15" x14ac:dyDescent="0.2">
      <c r="F187" s="634"/>
      <c r="G187" s="634"/>
      <c r="H187" s="639"/>
      <c r="I187" s="634"/>
      <c r="J187" s="634"/>
      <c r="K187" s="634"/>
      <c r="L187" s="634"/>
      <c r="M187" s="634"/>
      <c r="N187" s="634"/>
    </row>
    <row r="188" spans="1:15" x14ac:dyDescent="0.2">
      <c r="F188" s="634"/>
      <c r="G188" s="634"/>
      <c r="H188" s="634"/>
      <c r="I188" s="634"/>
      <c r="J188" s="634"/>
      <c r="K188" s="634"/>
      <c r="L188" s="634"/>
      <c r="M188" s="634"/>
      <c r="N188" s="634"/>
    </row>
    <row r="189" spans="1:15" x14ac:dyDescent="0.2">
      <c r="F189" s="634"/>
      <c r="G189" s="634"/>
      <c r="H189" s="634"/>
      <c r="I189" s="634"/>
      <c r="J189" s="634"/>
      <c r="K189" s="634"/>
      <c r="L189" s="634"/>
      <c r="M189" s="634"/>
      <c r="N189" s="634"/>
    </row>
    <row r="190" spans="1:15" x14ac:dyDescent="0.2">
      <c r="F190" s="634"/>
      <c r="G190" s="634"/>
      <c r="H190" s="634"/>
      <c r="I190" s="634"/>
      <c r="J190" s="634"/>
      <c r="K190" s="634"/>
      <c r="L190" s="634"/>
      <c r="M190" s="634"/>
      <c r="N190" s="634"/>
    </row>
    <row r="191" spans="1:15" x14ac:dyDescent="0.2">
      <c r="F191" s="634"/>
      <c r="G191" s="634"/>
      <c r="H191" s="634"/>
      <c r="I191" s="634"/>
      <c r="J191" s="634"/>
      <c r="K191" s="634"/>
      <c r="L191" s="634"/>
      <c r="M191" s="634"/>
      <c r="N191" s="634"/>
    </row>
    <row r="192" spans="1:15" x14ac:dyDescent="0.2">
      <c r="F192" s="634"/>
      <c r="G192" s="634"/>
      <c r="H192" s="634"/>
      <c r="I192" s="634"/>
      <c r="J192" s="634"/>
      <c r="K192" s="634"/>
      <c r="L192" s="634"/>
      <c r="M192" s="634"/>
      <c r="N192" s="634"/>
    </row>
    <row r="193" spans="6:14" x14ac:dyDescent="0.2">
      <c r="F193" s="634"/>
      <c r="G193" s="634"/>
      <c r="H193" s="634"/>
      <c r="I193" s="634"/>
      <c r="J193" s="634"/>
      <c r="K193" s="634"/>
      <c r="L193" s="634"/>
      <c r="M193" s="634"/>
      <c r="N193" s="634"/>
    </row>
    <row r="194" spans="6:14" x14ac:dyDescent="0.2">
      <c r="F194" s="634"/>
      <c r="G194" s="634"/>
      <c r="H194" s="634"/>
      <c r="I194" s="634"/>
      <c r="J194" s="634"/>
      <c r="K194" s="634"/>
      <c r="L194" s="634"/>
      <c r="M194" s="634"/>
      <c r="N194" s="634"/>
    </row>
    <row r="195" spans="6:14" x14ac:dyDescent="0.2">
      <c r="F195" s="634"/>
      <c r="G195" s="634"/>
      <c r="H195" s="634"/>
      <c r="I195" s="634"/>
      <c r="J195" s="634"/>
      <c r="K195" s="634"/>
      <c r="L195" s="634"/>
      <c r="M195" s="634"/>
      <c r="N195" s="634"/>
    </row>
    <row r="196" spans="6:14" x14ac:dyDescent="0.2">
      <c r="F196" s="634"/>
      <c r="G196" s="634"/>
      <c r="H196" s="634"/>
      <c r="I196" s="634"/>
      <c r="J196" s="634"/>
      <c r="K196" s="634"/>
      <c r="L196" s="634"/>
      <c r="M196" s="634"/>
      <c r="N196" s="634"/>
    </row>
    <row r="197" spans="6:14" x14ac:dyDescent="0.2">
      <c r="F197" s="634"/>
      <c r="G197" s="634"/>
      <c r="H197" s="634"/>
      <c r="I197" s="634"/>
      <c r="J197" s="634"/>
      <c r="K197" s="634"/>
      <c r="L197" s="634"/>
      <c r="M197" s="634"/>
      <c r="N197" s="634"/>
    </row>
    <row r="198" spans="6:14" x14ac:dyDescent="0.2">
      <c r="F198" s="634"/>
      <c r="G198" s="634"/>
      <c r="H198" s="634"/>
      <c r="I198" s="634"/>
      <c r="J198" s="634"/>
      <c r="K198" s="634"/>
      <c r="L198" s="634"/>
      <c r="M198" s="634"/>
      <c r="N198" s="634"/>
    </row>
    <row r="199" spans="6:14" x14ac:dyDescent="0.2">
      <c r="F199" s="634"/>
      <c r="G199" s="634"/>
      <c r="H199" s="634"/>
      <c r="I199" s="634"/>
      <c r="J199" s="634"/>
      <c r="K199" s="634"/>
      <c r="L199" s="634"/>
      <c r="M199" s="634"/>
      <c r="N199" s="634"/>
    </row>
  </sheetData>
  <sheetProtection insertColumns="0" insertRows="0" deleteColumns="0" deleteRows="0"/>
  <customSheetViews>
    <customSheetView guid="{AD88818B-9F97-4B1E-9426-0DECE603685E}" scale="80" showGridLines="0" fitToPage="1" showRuler="0">
      <pane ySplit="19" topLeftCell="A20" activePane="bottomLeft" state="frozen"/>
      <selection pane="bottomLeft" activeCell="E3" sqref="E3"/>
      <pageMargins left="0.75" right="0.75" top="1" bottom="1" header="0.5" footer="0.5"/>
      <pageSetup paperSize="8" fitToHeight="0" orientation="landscape"/>
      <headerFooter alignWithMargins="0">
        <oddFooter>&amp;L&amp;8&amp;F&amp;C&amp;8&amp;A&amp;R&amp;8page&amp;P</oddFooter>
      </headerFooter>
    </customSheetView>
    <customSheetView guid="{7EB5D807-CE20-46E2-AEE6-2C193E010EA4}" scale="80" showGridLines="0" fitToPage="1" showRuler="0">
      <pane ySplit="19" topLeftCell="A20" activePane="bottomLeft" state="frozen"/>
      <selection pane="bottomLeft" activeCell="E3" sqref="E3"/>
      <pageMargins left="0.75" right="0.75" top="1" bottom="1" header="0.5" footer="0.5"/>
      <pageSetup paperSize="8" fitToHeight="0" orientation="landscape"/>
      <headerFooter alignWithMargins="0">
        <oddFooter>&amp;L&amp;8&amp;F&amp;C&amp;8&amp;A&amp;R&amp;8page&amp;P</oddFooter>
      </headerFooter>
    </customSheetView>
  </customSheetViews>
  <mergeCells count="6">
    <mergeCell ref="F145:L146"/>
    <mergeCell ref="F147:L148"/>
    <mergeCell ref="H11:H12"/>
    <mergeCell ref="O11:O12"/>
    <mergeCell ref="F128:L129"/>
    <mergeCell ref="F130:L131"/>
  </mergeCells>
  <phoneticPr fontId="0" type="noConversion"/>
  <conditionalFormatting sqref="O9:O19">
    <cfRule type="cellIs" dxfId="101" priority="1" stopIfTrue="1" operator="notBetween">
      <formula>-0.05</formula>
      <formula>0.05</formula>
    </cfRule>
  </conditionalFormatting>
  <conditionalFormatting sqref="E15">
    <cfRule type="expression" dxfId="100" priority="3" stopIfTrue="1">
      <formula>($E15="Combined result of previous calculation")</formula>
    </cfRule>
  </conditionalFormatting>
  <conditionalFormatting sqref="A15:D15 F15:G15">
    <cfRule type="expression" dxfId="99" priority="4" stopIfTrue="1">
      <formula>($E15="Combined result of previous calculation")</formula>
    </cfRule>
  </conditionalFormatting>
  <conditionalFormatting sqref="A7:G7 A11:G12">
    <cfRule type="expression" dxfId="98" priority="5" stopIfTrue="1">
      <formula>($E7&lt;&gt;"")</formula>
    </cfRule>
  </conditionalFormatting>
  <conditionalFormatting sqref="A16:D16 F16:G16">
    <cfRule type="expression" dxfId="97" priority="6" stopIfTrue="1">
      <formula>($E16="Esca included in combined result of previous calculation")</formula>
    </cfRule>
  </conditionalFormatting>
  <conditionalFormatting sqref="E16">
    <cfRule type="expression" dxfId="96" priority="7" stopIfTrue="1">
      <formula>($E16="Esca included in combined result of previous calculation")</formula>
    </cfRule>
  </conditionalFormatting>
  <dataValidations count="8">
    <dataValidation type="list" allowBlank="1" showInputMessage="1" showErrorMessage="1" sqref="F10 F8 F6" xr:uid="{00000000-0002-0000-0E00-000000000000}">
      <formula1>"A,D"</formula1>
    </dataValidation>
    <dataValidation type="list" showDropDown="1" showInputMessage="1" showErrorMessage="1" errorTitle="Wrong input" error="Only values &quot;0&quot; and &quot;29&quot; are allowed_x000a_" sqref="C137" xr:uid="{00000000-0002-0000-0E00-000001000000}">
      <formula1>"0,29"</formula1>
    </dataValidation>
    <dataValidation allowBlank="1" showInputMessage="1" showErrorMessage="1" promptTitle="Input value for manure" prompt="Use of manure will not lead to direct GHG emissions as the emission coeffient is 0 g CO2,eq/MJ._x000a_Use of manure will indirectly lead to GHG emissions. When using actual inputs, field N2O emissions must be calculated which increase due to use of manure." sqref="C32" xr:uid="{00000000-0002-0000-0E00-000002000000}"/>
    <dataValidation type="list" allowBlank="1" showInputMessage="1" showErrorMessage="1" sqref="E15" xr:uid="{00000000-0002-0000-0E00-000003000000}">
      <formula1>"- , Combined result of previous calculation"</formula1>
    </dataValidation>
    <dataValidation type="list" allowBlank="1" showInputMessage="1" showErrorMessage="1" sqref="E7 E11:E12" xr:uid="{00000000-0002-0000-0E00-000004000000}">
      <formula1>"- ,Individual result of previous calculation, Combined result of previous calculation"</formula1>
    </dataValidation>
    <dataValidation type="list" allowBlank="1" showInputMessage="1" showErrorMessage="1" sqref="E16" xr:uid="{00000000-0002-0000-0E00-000005000000}">
      <formula1>"- , Esca included in combined result of previous calculation"</formula1>
    </dataValidation>
    <dataValidation allowBlank="1" showInputMessage="1" showErrorMessage="1" promptTitle="Please note !" prompt="When changing the value in this cell, you must indicate in column E under &quot;overview results&quot; that you have used the result of a previous calculation. Please refer to paragraph 4.2 of the user manual for further instructions and examples." sqref="N41 N50 N59" xr:uid="{00000000-0002-0000-0E00-000006000000}"/>
    <dataValidation allowBlank="1" showInputMessage="1" showErrorMessage="1" promptTitle="Electricity mix" sqref="B50 B110 B122" xr:uid="{00000000-0002-0000-0E00-000007000000}"/>
  </dataValidations>
  <hyperlinks>
    <hyperlink ref="C148" location="Esca!A1" display="Esca!A1" xr:uid="{00000000-0004-0000-0E00-000000000000}"/>
    <hyperlink ref="C131" location="LUC!A1" display="LUC!A1" xr:uid="{00000000-0004-0000-0E00-000001000000}"/>
    <hyperlink ref="C42" location="'N2O emissions IPCC '!A1" display="N2O emissions IPCC" xr:uid="{00000000-0004-0000-0E00-000002000000}"/>
  </hyperlinks>
  <pageMargins left="0.75" right="0.75" top="1" bottom="1" header="0.5" footer="0.5"/>
  <pageSetup paperSize="8" fitToHeight="0" orientation="landscape"/>
  <headerFooter alignWithMargins="0">
    <oddFooter>&amp;L&amp;8&amp;F&amp;C&amp;8&amp;A&amp;R&amp;8page&amp;P</oddFooter>
  </headerFooter>
  <drawing r:id="rId1"/>
  <legacyDrawing r:id="rId2"/>
  <controls>
    <mc:AlternateContent xmlns:mc="http://schemas.openxmlformats.org/markup-compatibility/2006">
      <mc:Choice Requires="x14">
        <control shapeId="21509" r:id="rId3" name="CheckBox2">
          <controlPr autoLine="0" autoPict="0" linkedCell="About!N86" r:id="rId4">
            <anchor moveWithCells="1">
              <from>
                <xdr:col>9</xdr:col>
                <xdr:colOff>38100</xdr:colOff>
                <xdr:row>14</xdr:row>
                <xdr:rowOff>47625</xdr:rowOff>
              </from>
              <to>
                <xdr:col>13</xdr:col>
                <xdr:colOff>885825</xdr:colOff>
                <xdr:row>16</xdr:row>
                <xdr:rowOff>85725</xdr:rowOff>
              </to>
            </anchor>
          </controlPr>
        </control>
      </mc:Choice>
      <mc:Fallback>
        <control shapeId="21509" r:id="rId3" name="CheckBox2"/>
      </mc:Fallback>
    </mc:AlternateContent>
    <mc:AlternateContent xmlns:mc="http://schemas.openxmlformats.org/markup-compatibility/2006">
      <mc:Choice Requires="x14">
        <control shapeId="21510" r:id="rId5" name="CheckBox1">
          <controlPr autoLine="0" autoPict="0" linkedCell="About!N88" r:id="rId6">
            <anchor moveWithCells="1">
              <from>
                <xdr:col>9</xdr:col>
                <xdr:colOff>38100</xdr:colOff>
                <xdr:row>12</xdr:row>
                <xdr:rowOff>0</xdr:rowOff>
              </from>
              <to>
                <xdr:col>13</xdr:col>
                <xdr:colOff>866775</xdr:colOff>
                <xdr:row>14</xdr:row>
                <xdr:rowOff>171450</xdr:rowOff>
              </to>
            </anchor>
          </controlPr>
        </control>
      </mc:Choice>
      <mc:Fallback>
        <control shapeId="21510" r:id="rId5" name="CheckBox1"/>
      </mc:Fallback>
    </mc:AlternateContent>
    <mc:AlternateContent xmlns:mc="http://schemas.openxmlformats.org/markup-compatibility/2006">
      <mc:Choice Requires="x14">
        <control shapeId="21528" r:id="rId7" name="ComboBox1">
          <controlPr locked="0" defaultSize="0" autoLine="0" linkedCell="LUC!#REF!" listFillRange="D128:D129" r:id="rId8">
            <anchor moveWithCells="1">
              <from>
                <xdr:col>2</xdr:col>
                <xdr:colOff>38100</xdr:colOff>
                <xdr:row>128</xdr:row>
                <xdr:rowOff>0</xdr:rowOff>
              </from>
              <to>
                <xdr:col>3</xdr:col>
                <xdr:colOff>47625</xdr:colOff>
                <xdr:row>129</xdr:row>
                <xdr:rowOff>9525</xdr:rowOff>
              </to>
            </anchor>
          </controlPr>
        </control>
      </mc:Choice>
      <mc:Fallback>
        <control shapeId="21528" r:id="rId7" name="ComboBox1"/>
      </mc:Fallback>
    </mc:AlternateContent>
    <mc:AlternateContent xmlns:mc="http://schemas.openxmlformats.org/markup-compatibility/2006">
      <mc:Choice Requires="x14">
        <control shapeId="21750" r:id="rId9" name="ComboBox2">
          <controlPr locked="0" defaultSize="0" autoLine="0" linkedCell="D147" listFillRange="D145:D146" r:id="rId10">
            <anchor moveWithCells="1">
              <from>
                <xdr:col>2</xdr:col>
                <xdr:colOff>28575</xdr:colOff>
                <xdr:row>145</xdr:row>
                <xdr:rowOff>0</xdr:rowOff>
              </from>
              <to>
                <xdr:col>3</xdr:col>
                <xdr:colOff>38100</xdr:colOff>
                <xdr:row>146</xdr:row>
                <xdr:rowOff>9525</xdr:rowOff>
              </to>
            </anchor>
          </controlPr>
        </control>
      </mc:Choice>
      <mc:Fallback>
        <control shapeId="21750" r:id="rId9" name="ComboBox2"/>
      </mc:Fallback>
    </mc:AlternateContent>
    <mc:AlternateContent xmlns:mc="http://schemas.openxmlformats.org/markup-compatibility/2006">
      <mc:Choice Requires="x14">
        <control shapeId="21796" r:id="rId11" name="ComboBox3">
          <controlPr locked="0" defaultSize="0" autoLine="0" autoPict="0" linkedCell="D130" listFillRange="D128:D129" r:id="rId12">
            <anchor moveWithCells="1">
              <from>
                <xdr:col>2</xdr:col>
                <xdr:colOff>0</xdr:colOff>
                <xdr:row>128</xdr:row>
                <xdr:rowOff>0</xdr:rowOff>
              </from>
              <to>
                <xdr:col>3</xdr:col>
                <xdr:colOff>47625</xdr:colOff>
                <xdr:row>129</xdr:row>
                <xdr:rowOff>28575</xdr:rowOff>
              </to>
            </anchor>
          </controlPr>
        </control>
      </mc:Choice>
      <mc:Fallback>
        <control shapeId="21796" r:id="rId11" name="ComboBox3"/>
      </mc:Fallback>
    </mc:AlternateContent>
    <mc:AlternateContent xmlns:mc="http://schemas.openxmlformats.org/markup-compatibility/2006">
      <mc:Choice Requires="x14">
        <control shapeId="21797" r:id="rId13" name="ComboBox4">
          <controlPr locked="0" defaultSize="0" autoLine="0" autoPict="0" linkedCell="D147" listFillRange="D145:D146" r:id="rId14">
            <anchor moveWithCells="1">
              <from>
                <xdr:col>2</xdr:col>
                <xdr:colOff>38100</xdr:colOff>
                <xdr:row>145</xdr:row>
                <xdr:rowOff>0</xdr:rowOff>
              </from>
              <to>
                <xdr:col>3</xdr:col>
                <xdr:colOff>47625</xdr:colOff>
                <xdr:row>146</xdr:row>
                <xdr:rowOff>9525</xdr:rowOff>
              </to>
            </anchor>
          </controlPr>
        </control>
      </mc:Choice>
      <mc:Fallback>
        <control shapeId="21797" r:id="rId13" name="ComboBox4"/>
      </mc:Fallback>
    </mc:AlternateContent>
    <mc:AlternateContent xmlns:mc="http://schemas.openxmlformats.org/markup-compatibility/2006">
      <mc:Choice Requires="x14">
        <control shapeId="22085" r:id="rId15" name="cmdTrackChanges">
          <controlPr defaultSize="0" autoLine="0" r:id="rId16">
            <anchor moveWithCells="1">
              <from>
                <xdr:col>1</xdr:col>
                <xdr:colOff>1409700</xdr:colOff>
                <xdr:row>18</xdr:row>
                <xdr:rowOff>95250</xdr:rowOff>
              </from>
              <to>
                <xdr:col>3</xdr:col>
                <xdr:colOff>581025</xdr:colOff>
                <xdr:row>19</xdr:row>
                <xdr:rowOff>219075</xdr:rowOff>
              </to>
            </anchor>
          </controlPr>
        </control>
      </mc:Choice>
      <mc:Fallback>
        <control shapeId="22085" r:id="rId15" name="cmdTrackChanges"/>
      </mc:Fallback>
    </mc:AlternateContent>
    <mc:AlternateContent xmlns:mc="http://schemas.openxmlformats.org/markup-compatibility/2006">
      <mc:Choice Requires="x14">
        <control shapeId="22152" r:id="rId17" name="Label 648">
          <controlPr defaultSize="0" autoFill="0" autoLine="0" autoPict="0" macro="[0]!GoToAbout">
            <anchor moveWithCells="1" sizeWithCells="1">
              <from>
                <xdr:col>10</xdr:col>
                <xdr:colOff>438150</xdr:colOff>
                <xdr:row>0</xdr:row>
                <xdr:rowOff>800100</xdr:rowOff>
              </from>
              <to>
                <xdr:col>12</xdr:col>
                <xdr:colOff>85725</xdr:colOff>
                <xdr:row>1</xdr:row>
                <xdr:rowOff>0</xdr:rowOff>
              </to>
            </anchor>
          </controlPr>
        </control>
      </mc:Choice>
    </mc:AlternateContent>
    <mc:AlternateContent xmlns:mc="http://schemas.openxmlformats.org/markup-compatibility/2006">
      <mc:Choice Requires="x14">
        <control shapeId="22153" r:id="rId18" name="Label 649">
          <controlPr defaultSize="0" autoFill="0" autoLine="0" autoPict="0" macro="[0]!GoToDirectory">
            <anchor moveWithCells="1" sizeWithCells="1">
              <from>
                <xdr:col>12</xdr:col>
                <xdr:colOff>161925</xdr:colOff>
                <xdr:row>0</xdr:row>
                <xdr:rowOff>800100</xdr:rowOff>
              </from>
              <to>
                <xdr:col>13</xdr:col>
                <xdr:colOff>990600</xdr:colOff>
                <xdr:row>1</xdr:row>
                <xdr:rowOff>0</xdr:rowOff>
              </to>
            </anchor>
          </controlPr>
        </control>
      </mc:Choice>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E7">
    <pageSetUpPr fitToPage="1"/>
  </sheetPr>
  <dimension ref="A1:O190"/>
  <sheetViews>
    <sheetView showGridLines="0" zoomScale="80" workbookViewId="0">
      <selection activeCell="A2" sqref="A2"/>
    </sheetView>
  </sheetViews>
  <sheetFormatPr baseColWidth="10" defaultColWidth="8.85546875" defaultRowHeight="12.75" x14ac:dyDescent="0.2"/>
  <cols>
    <col min="1" max="1" width="22.5703125" style="360" customWidth="1"/>
    <col min="2" max="2" width="25.85546875" style="360" customWidth="1"/>
    <col min="3" max="3" width="9.7109375" style="360" customWidth="1"/>
    <col min="4" max="4" width="20.140625" style="360" customWidth="1"/>
    <col min="5" max="5" width="14.85546875" style="360" customWidth="1"/>
    <col min="6" max="6" width="8.5703125" style="360" customWidth="1"/>
    <col min="7" max="7" width="2.85546875" style="360" customWidth="1"/>
    <col min="8" max="8" width="19.5703125" style="360" customWidth="1"/>
    <col min="9" max="12" width="9.140625" style="360" customWidth="1"/>
    <col min="13" max="13" width="2.5703125" style="360" customWidth="1"/>
    <col min="14" max="14" width="16.7109375" style="360" customWidth="1"/>
    <col min="15" max="15" width="13.7109375" style="360" customWidth="1"/>
    <col min="16" max="16384" width="8.85546875" style="361"/>
  </cols>
  <sheetData>
    <row r="1" spans="1:15" ht="102" customHeight="1" x14ac:dyDescent="0.2"/>
    <row r="2" spans="1:15" ht="27.75" customHeight="1" x14ac:dyDescent="0.25">
      <c r="A2" s="362" t="s">
        <v>950</v>
      </c>
      <c r="B2" s="363"/>
      <c r="C2" s="364"/>
      <c r="D2" s="364"/>
      <c r="E2" s="364"/>
      <c r="F2" s="364"/>
      <c r="G2" s="364"/>
      <c r="H2" s="366"/>
      <c r="I2" s="367"/>
      <c r="J2" s="368"/>
      <c r="K2" s="369"/>
      <c r="L2" s="370"/>
      <c r="M2" s="367"/>
      <c r="N2" s="367"/>
      <c r="O2" s="371" t="str">
        <f>About!D2</f>
        <v>Version 4d for Testing</v>
      </c>
    </row>
    <row r="3" spans="1:15" ht="27.75" customHeight="1" x14ac:dyDescent="0.25">
      <c r="A3" s="372" t="s">
        <v>1050</v>
      </c>
      <c r="B3" s="373"/>
      <c r="C3" s="374"/>
      <c r="D3" s="374"/>
      <c r="E3" s="373"/>
      <c r="F3" s="373"/>
      <c r="G3" s="373"/>
      <c r="H3" s="375"/>
      <c r="I3" s="376"/>
      <c r="J3" s="377"/>
      <c r="K3" s="378"/>
      <c r="L3" s="377"/>
      <c r="M3" s="377"/>
      <c r="N3" s="379"/>
      <c r="O3" s="378"/>
    </row>
    <row r="4" spans="1:15" ht="16.5" customHeight="1" x14ac:dyDescent="0.25">
      <c r="A4" s="380" t="s">
        <v>861</v>
      </c>
      <c r="B4" s="381" t="s">
        <v>854</v>
      </c>
      <c r="C4" s="381" t="s">
        <v>1057</v>
      </c>
      <c r="D4" s="381" t="s">
        <v>852</v>
      </c>
      <c r="E4" s="382" t="s">
        <v>1047</v>
      </c>
      <c r="F4" s="383" t="s">
        <v>1125</v>
      </c>
      <c r="G4" s="384"/>
      <c r="H4" s="385" t="s">
        <v>869</v>
      </c>
      <c r="I4" s="386"/>
      <c r="J4" s="387" t="s">
        <v>1063</v>
      </c>
      <c r="K4" s="388"/>
      <c r="L4" s="389"/>
      <c r="M4" s="390"/>
      <c r="N4" s="387" t="s">
        <v>391</v>
      </c>
      <c r="O4" s="391"/>
    </row>
    <row r="5" spans="1:15" ht="16.5" customHeight="1" x14ac:dyDescent="0.25">
      <c r="A5" s="392" t="s">
        <v>863</v>
      </c>
      <c r="B5" s="393" t="s">
        <v>853</v>
      </c>
      <c r="C5" s="393" t="s">
        <v>1062</v>
      </c>
      <c r="D5" s="393" t="s">
        <v>853</v>
      </c>
      <c r="E5" s="394"/>
      <c r="F5" s="395" t="s">
        <v>1126</v>
      </c>
      <c r="G5" s="396"/>
      <c r="H5" s="397" t="s">
        <v>866</v>
      </c>
      <c r="I5" s="390"/>
      <c r="J5" s="398" t="str">
        <f>A56</f>
        <v>Ethanol plant</v>
      </c>
      <c r="K5" s="399"/>
      <c r="L5" s="400"/>
      <c r="M5" s="390"/>
      <c r="N5" s="398" t="s">
        <v>392</v>
      </c>
      <c r="O5" s="400"/>
    </row>
    <row r="6" spans="1:15" ht="16.5" customHeight="1" x14ac:dyDescent="0.35">
      <c r="A6" s="401" t="s">
        <v>170</v>
      </c>
      <c r="B6" s="402"/>
      <c r="C6" s="403"/>
      <c r="D6" s="404"/>
      <c r="E6" s="405">
        <f>IF(F6="A",D7,H6)</f>
        <v>20.167712876062701</v>
      </c>
      <c r="F6" s="406" t="s">
        <v>1127</v>
      </c>
      <c r="G6" s="407"/>
      <c r="H6" s="408">
        <v>20</v>
      </c>
      <c r="I6" s="390"/>
      <c r="J6" s="409">
        <f>F87/F89</f>
        <v>0.54615664300320521</v>
      </c>
      <c r="K6" s="410" t="s">
        <v>1032</v>
      </c>
      <c r="L6" s="411"/>
      <c r="M6" s="390"/>
      <c r="N6" s="412">
        <v>83.8</v>
      </c>
      <c r="O6" s="413" t="s">
        <v>394</v>
      </c>
    </row>
    <row r="7" spans="1:15" ht="12" customHeight="1" x14ac:dyDescent="0.2">
      <c r="A7" s="398" t="str">
        <f>A20</f>
        <v>Cultivation of corn</v>
      </c>
      <c r="B7" s="414">
        <f>L43</f>
        <v>36.92660912291484</v>
      </c>
      <c r="C7" s="415">
        <f>J6</f>
        <v>0.54615664300320521</v>
      </c>
      <c r="D7" s="416">
        <f>C7*B7</f>
        <v>20.167712876062701</v>
      </c>
      <c r="E7" s="1215"/>
      <c r="F7" s="418"/>
      <c r="G7" s="418"/>
      <c r="H7" s="419">
        <f>20.18</f>
        <v>20.18</v>
      </c>
      <c r="I7" s="390"/>
      <c r="J7" s="420">
        <f>1-J6</f>
        <v>0.45384335699679479</v>
      </c>
      <c r="K7" s="421" t="s">
        <v>1033</v>
      </c>
      <c r="L7" s="422"/>
      <c r="M7" s="390"/>
      <c r="N7" s="398" t="s">
        <v>393</v>
      </c>
      <c r="O7" s="400"/>
    </row>
    <row r="8" spans="1:15" ht="16.5" customHeight="1" x14ac:dyDescent="0.35">
      <c r="A8" s="401" t="s">
        <v>544</v>
      </c>
      <c r="B8" s="423"/>
      <c r="C8" s="423"/>
      <c r="D8" s="424"/>
      <c r="E8" s="425">
        <f>IF(F8="A",D9,H8)</f>
        <v>21.577369228799142</v>
      </c>
      <c r="F8" s="406" t="s">
        <v>1127</v>
      </c>
      <c r="G8" s="407"/>
      <c r="H8" s="408">
        <v>21</v>
      </c>
      <c r="I8" s="390"/>
      <c r="J8" s="390"/>
      <c r="K8" s="390"/>
      <c r="L8" s="390"/>
      <c r="M8" s="390"/>
      <c r="N8" s="426">
        <f>(N6-E17)/N6</f>
        <v>0.48016777963378232</v>
      </c>
      <c r="O8" s="427"/>
    </row>
    <row r="9" spans="1:15" ht="12" customHeight="1" x14ac:dyDescent="0.2">
      <c r="A9" s="398" t="str">
        <f>A56</f>
        <v>Ethanol plant</v>
      </c>
      <c r="B9" s="414">
        <f>L81</f>
        <v>39.50765683293632</v>
      </c>
      <c r="C9" s="415">
        <f>J6</f>
        <v>0.54615664300320521</v>
      </c>
      <c r="D9" s="416">
        <f>C9*B9</f>
        <v>21.577369228799142</v>
      </c>
      <c r="E9" s="417"/>
      <c r="F9" s="418"/>
      <c r="G9" s="418"/>
      <c r="H9" s="419">
        <f>1.4*14.97</f>
        <v>20.957999999999998</v>
      </c>
      <c r="I9" s="390"/>
      <c r="J9" s="390"/>
      <c r="K9" s="390"/>
      <c r="L9" s="390"/>
      <c r="M9" s="390"/>
      <c r="N9" s="390"/>
      <c r="O9" s="441"/>
    </row>
    <row r="10" spans="1:15" ht="16.5" customHeight="1" thickBot="1" x14ac:dyDescent="0.4">
      <c r="A10" s="401" t="s">
        <v>545</v>
      </c>
      <c r="B10" s="423"/>
      <c r="C10" s="423"/>
      <c r="D10" s="424"/>
      <c r="E10" s="425">
        <f>IF(F10="A",D11+D12+D13, H10)</f>
        <v>1.8168579618271976</v>
      </c>
      <c r="F10" s="406" t="s">
        <v>1127</v>
      </c>
      <c r="G10" s="407"/>
      <c r="H10" s="408">
        <v>2</v>
      </c>
      <c r="I10" s="390"/>
      <c r="J10" s="390"/>
      <c r="K10" s="390"/>
      <c r="L10" s="390"/>
      <c r="M10" s="390"/>
      <c r="N10" s="390"/>
      <c r="O10" s="430"/>
    </row>
    <row r="11" spans="1:15" ht="12" customHeight="1" x14ac:dyDescent="0.2">
      <c r="A11" s="398" t="str">
        <f>A46</f>
        <v>Transport of corn</v>
      </c>
      <c r="B11" s="414">
        <f>L53</f>
        <v>0.50651897885324026</v>
      </c>
      <c r="C11" s="415">
        <f>J6</f>
        <v>0.54615664300320521</v>
      </c>
      <c r="D11" s="416">
        <f t="shared" ref="D11:D16" si="0">C11*B11</f>
        <v>0.27663870510789718</v>
      </c>
      <c r="E11" s="1215"/>
      <c r="F11" s="418"/>
      <c r="G11" s="418"/>
      <c r="H11" s="419">
        <f>0.28</f>
        <v>0.28000000000000003</v>
      </c>
      <c r="I11" s="390"/>
      <c r="J11" s="432" t="s">
        <v>140</v>
      </c>
      <c r="K11" s="433"/>
      <c r="L11" s="433"/>
      <c r="M11" s="433"/>
      <c r="N11" s="434"/>
      <c r="O11" s="435"/>
    </row>
    <row r="12" spans="1:15" ht="12" customHeight="1" x14ac:dyDescent="0.2">
      <c r="A12" s="398" t="str">
        <f>A93</f>
        <v>Transport of ethanol to depot</v>
      </c>
      <c r="B12" s="414">
        <f>L102</f>
        <v>0.60397867724853915</v>
      </c>
      <c r="C12" s="415">
        <v>1</v>
      </c>
      <c r="D12" s="416">
        <f t="shared" si="0"/>
        <v>0.60397867724853915</v>
      </c>
      <c r="E12" s="436"/>
      <c r="F12" s="437"/>
      <c r="G12" s="437"/>
      <c r="H12" s="419">
        <f>1.1</f>
        <v>1.1000000000000001</v>
      </c>
      <c r="I12" s="390"/>
      <c r="J12" s="438"/>
      <c r="K12" s="439"/>
      <c r="L12" s="439"/>
      <c r="M12" s="439"/>
      <c r="N12" s="440"/>
      <c r="O12" s="441"/>
    </row>
    <row r="13" spans="1:15" ht="12" customHeight="1" x14ac:dyDescent="0.2">
      <c r="A13" s="398" t="str">
        <f>A105</f>
        <v>Transport to filling station</v>
      </c>
      <c r="B13" s="414">
        <f>L114</f>
        <v>0.93624057947076134</v>
      </c>
      <c r="C13" s="415">
        <v>1</v>
      </c>
      <c r="D13" s="416">
        <f t="shared" si="0"/>
        <v>0.93624057947076134</v>
      </c>
      <c r="E13" s="436"/>
      <c r="F13" s="437"/>
      <c r="G13" s="437"/>
      <c r="H13" s="419">
        <f>0.44</f>
        <v>0.44</v>
      </c>
      <c r="I13" s="390"/>
      <c r="J13" s="438"/>
      <c r="K13" s="439"/>
      <c r="L13" s="439"/>
      <c r="M13" s="442"/>
      <c r="N13" s="443"/>
      <c r="O13" s="441"/>
    </row>
    <row r="14" spans="1:15" ht="17.25" customHeight="1" x14ac:dyDescent="0.35">
      <c r="A14" s="444" t="s">
        <v>551</v>
      </c>
      <c r="B14" s="445">
        <f>L126</f>
        <v>0</v>
      </c>
      <c r="C14" s="446">
        <f>J6</f>
        <v>0.54615664300320521</v>
      </c>
      <c r="D14" s="445">
        <f t="shared" si="0"/>
        <v>0</v>
      </c>
      <c r="E14" s="425">
        <f>D14</f>
        <v>0</v>
      </c>
      <c r="F14" s="451"/>
      <c r="G14" s="451"/>
      <c r="H14" s="447">
        <v>0</v>
      </c>
      <c r="I14" s="390"/>
      <c r="J14" s="438"/>
      <c r="K14" s="439"/>
      <c r="L14" s="439"/>
      <c r="M14" s="448"/>
      <c r="N14" s="449"/>
      <c r="O14" s="450"/>
    </row>
    <row r="15" spans="1:15" ht="16.5" customHeight="1" x14ac:dyDescent="0.35">
      <c r="A15" s="444" t="s">
        <v>724</v>
      </c>
      <c r="B15" s="445">
        <f>L145-L129</f>
        <v>0</v>
      </c>
      <c r="C15" s="446">
        <v>1</v>
      </c>
      <c r="D15" s="445">
        <f t="shared" si="0"/>
        <v>0</v>
      </c>
      <c r="E15" s="425">
        <f>D15</f>
        <v>0</v>
      </c>
      <c r="F15" s="451"/>
      <c r="G15" s="451"/>
      <c r="H15" s="447">
        <v>0</v>
      </c>
      <c r="I15" s="390"/>
      <c r="J15" s="438"/>
      <c r="K15" s="439"/>
      <c r="L15" s="439"/>
      <c r="M15" s="448"/>
      <c r="N15" s="449"/>
      <c r="O15" s="450"/>
    </row>
    <row r="16" spans="1:15" ht="16.5" customHeight="1" thickBot="1" x14ac:dyDescent="0.4">
      <c r="A16" s="444" t="s">
        <v>725</v>
      </c>
      <c r="B16" s="445">
        <f>L151+L157</f>
        <v>0</v>
      </c>
      <c r="C16" s="446">
        <v>1</v>
      </c>
      <c r="D16" s="445">
        <f t="shared" si="0"/>
        <v>0</v>
      </c>
      <c r="E16" s="425">
        <f>D16</f>
        <v>0</v>
      </c>
      <c r="F16" s="451"/>
      <c r="G16" s="451"/>
      <c r="H16" s="447">
        <v>0</v>
      </c>
      <c r="I16" s="390"/>
      <c r="J16" s="459" t="s">
        <v>1</v>
      </c>
      <c r="K16" s="460"/>
      <c r="L16" s="460"/>
      <c r="M16" s="461"/>
      <c r="N16" s="462"/>
      <c r="O16" s="450"/>
    </row>
    <row r="17" spans="1:15" ht="16.5" customHeight="1" thickBot="1" x14ac:dyDescent="0.3">
      <c r="A17" s="452" t="s">
        <v>1049</v>
      </c>
      <c r="B17" s="453">
        <f>SUM(B7:B14)-SUM(B15:B16)</f>
        <v>78.481004191423693</v>
      </c>
      <c r="C17" s="454"/>
      <c r="D17" s="454"/>
      <c r="E17" s="456">
        <f>SUM(E6:E14)-SUM(E15:E16)</f>
        <v>43.56194006668904</v>
      </c>
      <c r="F17" s="457"/>
      <c r="G17" s="457"/>
      <c r="H17" s="458">
        <v>43</v>
      </c>
      <c r="I17" s="379"/>
      <c r="J17" s="650"/>
      <c r="K17" s="651"/>
      <c r="L17" s="651"/>
      <c r="M17" s="652"/>
      <c r="N17" s="652"/>
      <c r="O17" s="463"/>
    </row>
    <row r="18" spans="1:15" ht="16.5" customHeight="1" x14ac:dyDescent="0.25">
      <c r="A18" s="464"/>
      <c r="B18" s="465"/>
      <c r="E18" s="466" t="s">
        <v>859</v>
      </c>
      <c r="F18" s="467"/>
      <c r="G18" s="467"/>
      <c r="H18" s="468"/>
      <c r="I18" s="469"/>
      <c r="J18" s="470"/>
      <c r="K18" s="433"/>
      <c r="L18" s="471"/>
      <c r="M18" s="433"/>
      <c r="N18" s="433"/>
      <c r="O18" s="472"/>
    </row>
    <row r="19" spans="1:15" ht="22.5" customHeight="1" thickBot="1" x14ac:dyDescent="0.25">
      <c r="A19" s="473" t="s">
        <v>1051</v>
      </c>
      <c r="B19" s="379"/>
      <c r="E19" s="474" t="s">
        <v>860</v>
      </c>
      <c r="F19" s="442"/>
      <c r="G19" s="442"/>
      <c r="H19" s="442"/>
      <c r="I19" s="439"/>
      <c r="J19" s="475"/>
      <c r="K19" s="475"/>
      <c r="L19" s="476"/>
      <c r="M19" s="477"/>
      <c r="N19" s="477"/>
      <c r="O19" s="478"/>
    </row>
    <row r="20" spans="1:15" ht="15.75" x14ac:dyDescent="0.25">
      <c r="A20" s="530" t="s">
        <v>814</v>
      </c>
      <c r="B20" s="480"/>
      <c r="C20" s="480"/>
      <c r="D20" s="480"/>
      <c r="E20" s="479" t="s">
        <v>513</v>
      </c>
      <c r="F20" s="481"/>
      <c r="G20" s="481"/>
      <c r="H20" s="480"/>
      <c r="I20" s="482" t="s">
        <v>532</v>
      </c>
      <c r="J20" s="481"/>
      <c r="K20" s="481"/>
      <c r="L20" s="483"/>
      <c r="M20" s="715"/>
      <c r="N20" s="479" t="s">
        <v>162</v>
      </c>
      <c r="O20" s="757"/>
    </row>
    <row r="21" spans="1:15" ht="15.75" x14ac:dyDescent="0.25">
      <c r="A21" s="486"/>
      <c r="B21" s="487" t="s">
        <v>524</v>
      </c>
      <c r="C21" s="488"/>
      <c r="D21" s="488"/>
      <c r="E21" s="489" t="s">
        <v>524</v>
      </c>
      <c r="F21" s="490"/>
      <c r="G21" s="490"/>
      <c r="H21" s="491"/>
      <c r="I21" s="492" t="s">
        <v>138</v>
      </c>
      <c r="J21" s="490"/>
      <c r="K21" s="490"/>
      <c r="L21" s="493"/>
      <c r="M21" s="484"/>
      <c r="N21" s="538" t="s">
        <v>818</v>
      </c>
      <c r="O21" s="749" t="s">
        <v>139</v>
      </c>
    </row>
    <row r="22" spans="1:15" ht="16.5" x14ac:dyDescent="0.3">
      <c r="A22" s="494"/>
      <c r="B22" s="495" t="s">
        <v>535</v>
      </c>
      <c r="C22" s="496">
        <v>3883.306836248013</v>
      </c>
      <c r="D22" s="497" t="s">
        <v>527</v>
      </c>
      <c r="E22" s="656">
        <f>C22*(1-C23)*VLOOKUP($B22,'Standard values'!$C$9:$S$162,14, FALSE)</f>
        <v>61065</v>
      </c>
      <c r="F22" s="495" t="s">
        <v>815</v>
      </c>
      <c r="G22" s="495"/>
      <c r="H22" s="499"/>
      <c r="I22" s="500" t="s">
        <v>1053</v>
      </c>
      <c r="J22" s="500" t="s">
        <v>1054</v>
      </c>
      <c r="K22" s="500" t="s">
        <v>1055</v>
      </c>
      <c r="L22" s="501" t="s">
        <v>1056</v>
      </c>
      <c r="M22" s="379"/>
      <c r="N22" s="540" t="s">
        <v>1056</v>
      </c>
      <c r="O22" s="540" t="s">
        <v>550</v>
      </c>
    </row>
    <row r="23" spans="1:15" ht="15.75" x14ac:dyDescent="0.3">
      <c r="A23" s="503"/>
      <c r="B23" s="495" t="s">
        <v>521</v>
      </c>
      <c r="C23" s="504">
        <v>0.15</v>
      </c>
      <c r="D23" s="497"/>
      <c r="E23" s="505">
        <v>1</v>
      </c>
      <c r="F23" s="506" t="s">
        <v>816</v>
      </c>
      <c r="G23" s="506"/>
      <c r="H23" s="495"/>
      <c r="I23" s="507"/>
      <c r="J23" s="508"/>
      <c r="K23" s="508"/>
      <c r="L23" s="509"/>
      <c r="M23" s="379"/>
      <c r="N23" s="541"/>
      <c r="O23" s="541"/>
    </row>
    <row r="24" spans="1:15" ht="15.75" x14ac:dyDescent="0.3">
      <c r="A24" s="503"/>
      <c r="B24" s="495" t="s">
        <v>124</v>
      </c>
      <c r="C24" s="723"/>
      <c r="D24" s="497" t="s">
        <v>527</v>
      </c>
      <c r="E24" s="510">
        <f>C22/E162</f>
        <v>0.12454121322908471</v>
      </c>
      <c r="F24" s="506" t="s">
        <v>817</v>
      </c>
      <c r="G24" s="506"/>
      <c r="H24" s="495"/>
      <c r="I24" s="546"/>
      <c r="J24" s="546"/>
      <c r="K24" s="546"/>
      <c r="L24" s="661"/>
      <c r="M24" s="379"/>
      <c r="N24" s="541"/>
      <c r="O24" s="541"/>
    </row>
    <row r="25" spans="1:15" x14ac:dyDescent="0.2">
      <c r="A25" s="503"/>
      <c r="B25" s="495"/>
      <c r="C25" s="660"/>
      <c r="D25" s="497"/>
      <c r="E25" s="510"/>
      <c r="F25" s="506"/>
      <c r="G25" s="506"/>
      <c r="H25" s="495"/>
      <c r="I25" s="546"/>
      <c r="J25" s="546"/>
      <c r="K25" s="546"/>
      <c r="L25" s="661"/>
      <c r="M25" s="379"/>
      <c r="N25" s="541"/>
      <c r="O25" s="541"/>
    </row>
    <row r="26" spans="1:15" x14ac:dyDescent="0.2">
      <c r="A26" s="503"/>
      <c r="B26" s="511" t="s">
        <v>525</v>
      </c>
      <c r="C26" s="660"/>
      <c r="D26" s="497"/>
      <c r="E26" s="503"/>
      <c r="F26" s="495"/>
      <c r="G26" s="495"/>
      <c r="H26" s="495"/>
      <c r="I26" s="546"/>
      <c r="J26" s="546"/>
      <c r="K26" s="546"/>
      <c r="L26" s="661"/>
      <c r="M26" s="379"/>
      <c r="N26" s="541"/>
      <c r="O26" s="541"/>
    </row>
    <row r="27" spans="1:15" ht="14.25" x14ac:dyDescent="0.2">
      <c r="A27" s="503"/>
      <c r="B27" s="495" t="s">
        <v>509</v>
      </c>
      <c r="C27" s="771">
        <v>3600</v>
      </c>
      <c r="D27" s="497" t="s">
        <v>528</v>
      </c>
      <c r="E27" s="513"/>
      <c r="F27" s="495"/>
      <c r="G27" s="495"/>
      <c r="H27" s="495"/>
      <c r="I27" s="508">
        <f>$C27*VLOOKUP($B27,'Standard values'!$C$9:$S$162,7, FALSE)/$E$162</f>
        <v>10.118374475847558</v>
      </c>
      <c r="J27" s="508">
        <f>$C27*VLOOKUP($B27,'Standard values'!$C$9:$S$162,8, FALSE)/$E$162</f>
        <v>0</v>
      </c>
      <c r="K27" s="508">
        <f>$C27*VLOOKUP($B27,'Standard values'!$C$9:$S$162,9, FALSE)/$E$162</f>
        <v>0</v>
      </c>
      <c r="L27" s="509">
        <f>I27*'Standard values'!$D$10+J27*'Standard values'!$D$11+K27*'Standard values'!$D$12</f>
        <v>10.118374475847558</v>
      </c>
      <c r="M27" s="379"/>
      <c r="N27" s="562">
        <f>+L27/E$24</f>
        <v>81.245189552116599</v>
      </c>
      <c r="O27" s="750">
        <f>L27*$E$162/1000</f>
        <v>315.5</v>
      </c>
    </row>
    <row r="28" spans="1:15" x14ac:dyDescent="0.2">
      <c r="A28" s="503"/>
      <c r="B28" s="495"/>
      <c r="C28" s="660"/>
      <c r="D28" s="497"/>
      <c r="E28" s="513"/>
      <c r="F28" s="495"/>
      <c r="G28" s="495"/>
      <c r="H28" s="495"/>
      <c r="I28" s="508"/>
      <c r="J28" s="508"/>
      <c r="K28" s="508"/>
      <c r="L28" s="509"/>
      <c r="M28" s="379"/>
      <c r="N28" s="562"/>
      <c r="O28" s="750"/>
    </row>
    <row r="29" spans="1:15" x14ac:dyDescent="0.2">
      <c r="A29" s="503"/>
      <c r="B29" s="511" t="s">
        <v>1045</v>
      </c>
      <c r="C29" s="660"/>
      <c r="D29" s="497"/>
      <c r="E29" s="513"/>
      <c r="F29" s="495"/>
      <c r="G29" s="495"/>
      <c r="H29" s="495"/>
      <c r="I29" s="508"/>
      <c r="J29" s="508"/>
      <c r="K29" s="508"/>
      <c r="L29" s="509"/>
      <c r="M29" s="379"/>
      <c r="N29" s="562"/>
      <c r="O29" s="750"/>
    </row>
    <row r="30" spans="1:15" ht="14.25" x14ac:dyDescent="0.2">
      <c r="A30" s="503"/>
      <c r="B30" s="495" t="s">
        <v>231</v>
      </c>
      <c r="C30" s="556">
        <v>51.7</v>
      </c>
      <c r="D30" s="497" t="s">
        <v>529</v>
      </c>
      <c r="E30" s="513"/>
      <c r="F30" s="495"/>
      <c r="G30" s="495"/>
      <c r="H30" s="495"/>
      <c r="I30" s="508">
        <f>$C30*VLOOKUP($B30,'Standard values'!$C$9:$S$162,3, FALSE)/$E$162</f>
        <v>4.68736193769361</v>
      </c>
      <c r="J30" s="508">
        <f>$C30*VLOOKUP($B30,'Standard values'!$C$9:$S$162,4, FALSE)/$E$162</f>
        <v>1.43900269804468E-2</v>
      </c>
      <c r="K30" s="508">
        <f>$C30*VLOOKUP($B30,'Standard values'!$C$9:$S$162,5, FALSE)/$E$162</f>
        <v>1.5986744957836561E-2</v>
      </c>
      <c r="L30" s="509">
        <f>I30*'Standard values'!$D$10+J30*'Standard values'!$D$11+K30*'Standard values'!$D$12</f>
        <v>9.8111626096400748</v>
      </c>
      <c r="M30" s="379"/>
      <c r="N30" s="562">
        <f t="shared" ref="N30:N35" si="1">+L30/E$24</f>
        <v>78.778440929374426</v>
      </c>
      <c r="O30" s="750">
        <f t="shared" ref="O30:O35" si="2">L30*$E$162/1000</f>
        <v>305.92085820999995</v>
      </c>
    </row>
    <row r="31" spans="1:15" ht="14.25" x14ac:dyDescent="0.2">
      <c r="A31" s="503"/>
      <c r="B31" s="495" t="s">
        <v>504</v>
      </c>
      <c r="C31" s="556">
        <v>0</v>
      </c>
      <c r="D31" s="497" t="s">
        <v>529</v>
      </c>
      <c r="E31" s="513"/>
      <c r="F31" s="495"/>
      <c r="G31" s="495"/>
      <c r="H31" s="495"/>
      <c r="I31" s="508">
        <f>$C31*VLOOKUP($B31,'Standard values'!$C$9:$S$162,3, FALSE)/$E$162</f>
        <v>0</v>
      </c>
      <c r="J31" s="508">
        <f>$C31*VLOOKUP($B31,'Standard values'!$C$9:$S$162,4, FALSE)/$E$162</f>
        <v>0</v>
      </c>
      <c r="K31" s="508">
        <f>$C31*VLOOKUP($B31,'Standard values'!$C$9:$S$162,5, FALSE)/$E$162</f>
        <v>0</v>
      </c>
      <c r="L31" s="509">
        <f>I31*'Standard values'!$D$10+J31*'Standard values'!$D$11+K31*'Standard values'!$D$12</f>
        <v>0</v>
      </c>
      <c r="M31" s="379"/>
      <c r="N31" s="562">
        <f t="shared" si="1"/>
        <v>0</v>
      </c>
      <c r="O31" s="750">
        <f t="shared" si="2"/>
        <v>0</v>
      </c>
    </row>
    <row r="32" spans="1:15" ht="14.25" x14ac:dyDescent="0.2">
      <c r="A32" s="503"/>
      <c r="B32" s="495" t="s">
        <v>234</v>
      </c>
      <c r="C32" s="726">
        <v>1600</v>
      </c>
      <c r="D32" s="497" t="s">
        <v>745</v>
      </c>
      <c r="E32" s="513"/>
      <c r="F32" s="495"/>
      <c r="G32" s="495"/>
      <c r="H32" s="495"/>
      <c r="I32" s="508">
        <f>$C32*VLOOKUP($B32,'Standard values'!$C$9:$S$162,3, FALSE)/$E$162</f>
        <v>6.1122550570652692</v>
      </c>
      <c r="J32" s="508">
        <f>$C32*VLOOKUP($B32,'Standard values'!$C$9:$S$162,4, FALSE)/$E$162</f>
        <v>1.1078577746233852E-2</v>
      </c>
      <c r="K32" s="508">
        <f>$C32*VLOOKUP($B32,'Standard values'!$C$9:$S$162,5, FALSE)/$E$162</f>
        <v>9.3903646482667669E-4</v>
      </c>
      <c r="L32" s="509">
        <f>I32*'Standard values'!$D$10+J32*'Standard values'!$D$11+K32*'Standard values'!$D$12</f>
        <v>6.6690523672394644</v>
      </c>
      <c r="M32" s="379"/>
      <c r="N32" s="562">
        <f t="shared" si="1"/>
        <v>53.548959371161871</v>
      </c>
      <c r="O32" s="750">
        <f t="shared" si="2"/>
        <v>207.94703999999999</v>
      </c>
    </row>
    <row r="33" spans="1:15" ht="15.75" x14ac:dyDescent="0.3">
      <c r="A33" s="503"/>
      <c r="B33" s="495" t="s">
        <v>233</v>
      </c>
      <c r="C33" s="556">
        <v>25.8</v>
      </c>
      <c r="D33" s="497" t="s">
        <v>530</v>
      </c>
      <c r="E33" s="513"/>
      <c r="F33" s="495"/>
      <c r="G33" s="495"/>
      <c r="H33" s="495"/>
      <c r="I33" s="508">
        <f>$C33*VLOOKUP($B33,'Standard values'!$C$9:$S$162,3, FALSE)/$E$162</f>
        <v>0.44375955201050354</v>
      </c>
      <c r="J33" s="508">
        <f>$C33*VLOOKUP($B33,'Standard values'!$C$9:$S$162,4, FALSE)/$E$162</f>
        <v>1.2998092715499536E-3</v>
      </c>
      <c r="K33" s="508">
        <f>$C33*VLOOKUP($B33,'Standard values'!$C$9:$S$162,5, FALSE)/$E$162</f>
        <v>1.0177384964074371E-5</v>
      </c>
      <c r="L33" s="509">
        <f>I33*'Standard values'!$D$10+J33*'Standard values'!$D$11+K33*'Standard values'!$D$12</f>
        <v>0.47928764451854655</v>
      </c>
      <c r="M33" s="379"/>
      <c r="N33" s="562">
        <f t="shared" si="1"/>
        <v>3.8484260116924589</v>
      </c>
      <c r="O33" s="750">
        <f t="shared" si="2"/>
        <v>14.944619040000001</v>
      </c>
    </row>
    <row r="34" spans="1:15" ht="15.75" x14ac:dyDescent="0.3">
      <c r="A34" s="503"/>
      <c r="B34" s="495" t="s">
        <v>232</v>
      </c>
      <c r="C34" s="556">
        <v>34.5</v>
      </c>
      <c r="D34" s="497" t="s">
        <v>531</v>
      </c>
      <c r="E34" s="513"/>
      <c r="F34" s="495"/>
      <c r="G34" s="495"/>
      <c r="H34" s="495"/>
      <c r="I34" s="508">
        <f>$C34*VLOOKUP($B34,'Standard values'!$C$9:$S$162,3, FALSE)/$E$162</f>
        <v>1.0675954396586402</v>
      </c>
      <c r="J34" s="508">
        <f>$C34*VLOOKUP($B34,'Standard values'!$C$9:$S$162,4, FALSE)/$E$162</f>
        <v>1.4726804968104024E-3</v>
      </c>
      <c r="K34" s="508">
        <f>$C34*VLOOKUP($B34,'Standard values'!$C$9:$S$162,5, FALSE)/$E$162</f>
        <v>5.6982002694016313E-5</v>
      </c>
      <c r="L34" s="509">
        <f>I34*'Standard values'!$D$10+J34*'Standard values'!$D$11+K34*'Standard values'!$D$12</f>
        <v>1.1213930888817172</v>
      </c>
      <c r="M34" s="379"/>
      <c r="N34" s="562">
        <f t="shared" si="1"/>
        <v>9.0041927471751411</v>
      </c>
      <c r="O34" s="750">
        <f t="shared" si="2"/>
        <v>34.966043249999998</v>
      </c>
    </row>
    <row r="35" spans="1:15" ht="14.25" x14ac:dyDescent="0.2">
      <c r="A35" s="503"/>
      <c r="B35" s="495" t="s">
        <v>502</v>
      </c>
      <c r="C35" s="556">
        <v>2.4</v>
      </c>
      <c r="D35" s="497" t="s">
        <v>527</v>
      </c>
      <c r="E35" s="513"/>
      <c r="F35" s="665"/>
      <c r="G35" s="665"/>
      <c r="H35" s="665"/>
      <c r="I35" s="508">
        <f>$C35*VLOOKUP($B35,'Standard values'!$C$9:$S$162,3, FALSE)/$E$162</f>
        <v>0.76096605635916958</v>
      </c>
      <c r="J35" s="508">
        <f>$C35*VLOOKUP($B35,'Standard values'!$C$9:$S$162,4, FALSE)/$E$162</f>
        <v>1.9648260443669721E-3</v>
      </c>
      <c r="K35" s="508">
        <f>$C35*VLOOKUP($B35,'Standard values'!$C$9:$S$162,5, FALSE)/$E$162</f>
        <v>1.2941769770160444E-4</v>
      </c>
      <c r="L35" s="509">
        <f>I35*'Standard values'!$D$10+J35*'Standard values'!$D$11+K35*'Standard values'!$D$12</f>
        <v>0.84865318138342205</v>
      </c>
      <c r="M35" s="379"/>
      <c r="N35" s="562">
        <f t="shared" si="1"/>
        <v>6.8142357006141001</v>
      </c>
      <c r="O35" s="750">
        <f t="shared" si="2"/>
        <v>26.461768080000002</v>
      </c>
    </row>
    <row r="36" spans="1:15" x14ac:dyDescent="0.2">
      <c r="A36" s="503"/>
      <c r="B36" s="495"/>
      <c r="C36" s="666"/>
      <c r="D36" s="497"/>
      <c r="E36" s="513"/>
      <c r="F36" s="665"/>
      <c r="G36" s="665"/>
      <c r="H36" s="665"/>
      <c r="I36" s="508"/>
      <c r="J36" s="508"/>
      <c r="K36" s="508"/>
      <c r="L36" s="509"/>
      <c r="M36" s="379"/>
      <c r="N36" s="562"/>
      <c r="O36" s="750"/>
    </row>
    <row r="37" spans="1:15" x14ac:dyDescent="0.2">
      <c r="A37" s="503"/>
      <c r="B37" s="511" t="s">
        <v>511</v>
      </c>
      <c r="C37" s="666"/>
      <c r="D37" s="497"/>
      <c r="E37" s="513"/>
      <c r="F37" s="495"/>
      <c r="G37" s="495"/>
      <c r="H37" s="665"/>
      <c r="I37" s="508"/>
      <c r="J37" s="508"/>
      <c r="K37" s="508"/>
      <c r="L37" s="509"/>
      <c r="M37" s="379"/>
      <c r="N37" s="562"/>
      <c r="O37" s="750"/>
    </row>
    <row r="38" spans="1:15" ht="14.25" x14ac:dyDescent="0.2">
      <c r="A38" s="503"/>
      <c r="B38" s="499" t="s">
        <v>1074</v>
      </c>
      <c r="C38" s="726"/>
      <c r="D38" s="497" t="s">
        <v>527</v>
      </c>
      <c r="E38" s="513"/>
      <c r="F38" s="495"/>
      <c r="G38" s="495"/>
      <c r="H38" s="495"/>
      <c r="I38" s="508">
        <f>$C38*VLOOKUP($B38,'Standard values'!$C$9:$S$162,3, FALSE)/$E$162</f>
        <v>0</v>
      </c>
      <c r="J38" s="508">
        <f>$C38*VLOOKUP($B38,'Standard values'!$C$9:$S$162,4, FALSE)/$E$162</f>
        <v>0</v>
      </c>
      <c r="K38" s="508">
        <f>$C38*VLOOKUP($B38,'Standard values'!$C$9:$S$162,5, FALSE)/$E$162</f>
        <v>0</v>
      </c>
      <c r="L38" s="509">
        <f>I38*'Standard values'!$D$10+J38*'Standard values'!$D$11+K38*'Standard values'!$D$12</f>
        <v>0</v>
      </c>
      <c r="M38" s="379"/>
      <c r="N38" s="562">
        <f>+L38/E$24</f>
        <v>0</v>
      </c>
      <c r="O38" s="750">
        <f>L38*$E$162/1000</f>
        <v>0</v>
      </c>
    </row>
    <row r="39" spans="1:15" x14ac:dyDescent="0.2">
      <c r="A39" s="503"/>
      <c r="B39" s="511"/>
      <c r="C39" s="666"/>
      <c r="D39" s="497"/>
      <c r="E39" s="513"/>
      <c r="F39" s="495"/>
      <c r="G39" s="495"/>
      <c r="H39" s="495"/>
      <c r="I39" s="508"/>
      <c r="J39" s="508"/>
      <c r="K39" s="508"/>
      <c r="L39" s="509"/>
      <c r="M39" s="379"/>
      <c r="N39" s="562"/>
      <c r="O39" s="750"/>
    </row>
    <row r="40" spans="1:15" ht="15" x14ac:dyDescent="0.25">
      <c r="A40" s="503"/>
      <c r="B40" s="511" t="s">
        <v>1046</v>
      </c>
      <c r="C40" s="728">
        <v>0.82437749999999999</v>
      </c>
      <c r="D40" s="497" t="s">
        <v>527</v>
      </c>
      <c r="E40" s="513"/>
      <c r="F40" s="495"/>
      <c r="G40" s="495"/>
      <c r="H40" s="495"/>
      <c r="I40" s="508">
        <v>0</v>
      </c>
      <c r="J40" s="508">
        <v>0</v>
      </c>
      <c r="K40" s="508">
        <f>1000*$C40/$E$162</f>
        <v>2.6438542803369318E-2</v>
      </c>
      <c r="L40" s="509">
        <f>I40*'Standard values'!$D$10+J40*'Standard values'!$D$11+K40*'Standard values'!$D$12</f>
        <v>7.8786857554040566</v>
      </c>
      <c r="M40" s="379"/>
      <c r="N40" s="562">
        <f>+L40/E$24</f>
        <v>63.261674999999997</v>
      </c>
      <c r="O40" s="750">
        <f>L40*$E$162/1000</f>
        <v>245.66449499999999</v>
      </c>
    </row>
    <row r="41" spans="1:15" ht="15.75" x14ac:dyDescent="0.3">
      <c r="A41" s="503"/>
      <c r="B41" s="511"/>
      <c r="C41" s="670" t="s">
        <v>664</v>
      </c>
      <c r="D41" s="495"/>
      <c r="E41" s="513"/>
      <c r="F41" s="514"/>
      <c r="G41" s="514"/>
      <c r="H41" s="514" t="s">
        <v>1047</v>
      </c>
      <c r="I41" s="515">
        <f>SUM(I23:I40)</f>
        <v>23.190312518634752</v>
      </c>
      <c r="J41" s="515">
        <f>SUM(J23:J40)</f>
        <v>3.0205920539407981E-2</v>
      </c>
      <c r="K41" s="515">
        <f>SUM(K23:K40)</f>
        <v>4.3560901311392251E-2</v>
      </c>
      <c r="L41" s="516">
        <f>I41*'Standard values'!$D$10+J41*'Standard values'!$D$11+K41*'Standard values'!$D$12</f>
        <v>36.92660912291484</v>
      </c>
      <c r="M41" s="379"/>
      <c r="N41" s="1201">
        <f>+L41/E$24</f>
        <v>296.50111931213462</v>
      </c>
      <c r="O41" s="1202">
        <f>L41*$E$162/1000</f>
        <v>1151.4048235800001</v>
      </c>
    </row>
    <row r="42" spans="1:15" x14ac:dyDescent="0.2">
      <c r="A42" s="503"/>
      <c r="B42" s="511"/>
      <c r="C42" s="671" t="s">
        <v>665</v>
      </c>
      <c r="D42" s="495"/>
      <c r="E42" s="513"/>
      <c r="F42" s="514"/>
      <c r="G42" s="514"/>
      <c r="H42" s="514"/>
      <c r="I42" s="416"/>
      <c r="J42" s="416"/>
      <c r="K42" s="416"/>
      <c r="L42" s="436"/>
      <c r="M42" s="379"/>
      <c r="N42" s="1203"/>
      <c r="O42" s="1204"/>
    </row>
    <row r="43" spans="1:15" ht="14.25" x14ac:dyDescent="0.25">
      <c r="A43" s="519"/>
      <c r="B43" s="520"/>
      <c r="C43" s="520"/>
      <c r="D43" s="520"/>
      <c r="E43" s="519"/>
      <c r="F43" s="521"/>
      <c r="G43" s="521"/>
      <c r="H43" s="521" t="s">
        <v>534</v>
      </c>
      <c r="I43" s="522"/>
      <c r="J43" s="523" t="s">
        <v>1048</v>
      </c>
      <c r="K43" s="524"/>
      <c r="L43" s="525">
        <f>N41*E$24</f>
        <v>36.92660912291484</v>
      </c>
      <c r="M43" s="379"/>
      <c r="N43" s="379"/>
      <c r="O43" s="379"/>
    </row>
    <row r="44" spans="1:15" x14ac:dyDescent="0.2">
      <c r="A44" s="379"/>
      <c r="B44" s="379"/>
      <c r="C44" s="379"/>
      <c r="D44" s="379"/>
      <c r="E44" s="379"/>
      <c r="F44" s="526"/>
      <c r="G44" s="526"/>
      <c r="H44" s="526"/>
      <c r="I44" s="527"/>
      <c r="J44" s="528"/>
      <c r="K44" s="484"/>
      <c r="L44" s="430"/>
      <c r="M44" s="379"/>
      <c r="N44" s="390"/>
      <c r="O44" s="390"/>
    </row>
    <row r="45" spans="1:15" x14ac:dyDescent="0.2">
      <c r="A45" s="390"/>
      <c r="B45" s="390"/>
      <c r="C45" s="390"/>
      <c r="D45" s="390"/>
      <c r="E45" s="390"/>
      <c r="F45" s="390"/>
      <c r="G45" s="390"/>
      <c r="H45" s="390"/>
      <c r="I45" s="529"/>
      <c r="J45" s="529"/>
      <c r="K45" s="529"/>
      <c r="L45" s="529"/>
      <c r="M45" s="379"/>
      <c r="N45" s="390"/>
      <c r="O45" s="390"/>
    </row>
    <row r="46" spans="1:15" ht="15.75" x14ac:dyDescent="0.25">
      <c r="A46" s="530" t="s">
        <v>819</v>
      </c>
      <c r="B46" s="531"/>
      <c r="C46" s="531"/>
      <c r="D46" s="531"/>
      <c r="E46" s="530" t="s">
        <v>513</v>
      </c>
      <c r="F46" s="532"/>
      <c r="G46" s="532"/>
      <c r="H46" s="531"/>
      <c r="I46" s="532" t="s">
        <v>532</v>
      </c>
      <c r="J46" s="533"/>
      <c r="K46" s="533"/>
      <c r="L46" s="534"/>
      <c r="M46" s="379"/>
      <c r="N46" s="535" t="s">
        <v>162</v>
      </c>
      <c r="O46" s="390"/>
    </row>
    <row r="47" spans="1:15" ht="15.75" x14ac:dyDescent="0.3">
      <c r="A47" s="503"/>
      <c r="B47" s="511" t="s">
        <v>535</v>
      </c>
      <c r="C47" s="772">
        <v>0.99009900990099009</v>
      </c>
      <c r="D47" s="495" t="s">
        <v>754</v>
      </c>
      <c r="E47" s="553">
        <f>E22*C47</f>
        <v>60460.396039603962</v>
      </c>
      <c r="F47" s="674" t="s">
        <v>815</v>
      </c>
      <c r="G47" s="674"/>
      <c r="H47" s="495"/>
      <c r="I47" s="492" t="s">
        <v>138</v>
      </c>
      <c r="J47" s="514"/>
      <c r="K47" s="514"/>
      <c r="L47" s="537"/>
      <c r="M47" s="379"/>
      <c r="N47" s="554" t="s">
        <v>818</v>
      </c>
      <c r="O47" s="390"/>
    </row>
    <row r="48" spans="1:15" ht="15.75" x14ac:dyDescent="0.3">
      <c r="A48" s="503"/>
      <c r="B48" s="495"/>
      <c r="C48" s="495"/>
      <c r="D48" s="495"/>
      <c r="E48" s="505">
        <f>E23*C47</f>
        <v>0.99009900990099009</v>
      </c>
      <c r="F48" s="506" t="s">
        <v>816</v>
      </c>
      <c r="G48" s="506"/>
      <c r="H48" s="495"/>
      <c r="I48" s="539" t="s">
        <v>1053</v>
      </c>
      <c r="J48" s="539" t="s">
        <v>1054</v>
      </c>
      <c r="K48" s="539" t="s">
        <v>1055</v>
      </c>
      <c r="L48" s="540" t="s">
        <v>1056</v>
      </c>
      <c r="M48" s="379"/>
      <c r="N48" s="540" t="s">
        <v>1056</v>
      </c>
      <c r="O48" s="390"/>
    </row>
    <row r="49" spans="1:15" x14ac:dyDescent="0.2">
      <c r="A49" s="503"/>
      <c r="B49" s="511" t="s">
        <v>498</v>
      </c>
      <c r="C49" s="495"/>
      <c r="D49" s="495"/>
      <c r="E49" s="505"/>
      <c r="F49" s="506"/>
      <c r="G49" s="506"/>
      <c r="H49" s="495"/>
      <c r="I49" s="539"/>
      <c r="J49" s="539"/>
      <c r="K49" s="539"/>
      <c r="L49" s="540"/>
      <c r="M49" s="379"/>
      <c r="N49" s="541"/>
      <c r="O49" s="390"/>
    </row>
    <row r="50" spans="1:15" ht="15.75" x14ac:dyDescent="0.3">
      <c r="A50" s="503"/>
      <c r="B50" s="495" t="s">
        <v>1111</v>
      </c>
      <c r="C50" s="542">
        <v>50</v>
      </c>
      <c r="D50" s="495" t="s">
        <v>510</v>
      </c>
      <c r="E50" s="543">
        <f>(C50*E48)/(VLOOKUP($B47,'Standard values'!$C$9:$S$162,14, FALSE))/(1-$C$23)/1000</f>
        <v>3.1481685529443247E-3</v>
      </c>
      <c r="F50" s="495" t="s">
        <v>100</v>
      </c>
      <c r="G50" s="495"/>
      <c r="H50" s="495"/>
      <c r="I50" s="544">
        <f>$E50*VLOOKUP($B50,'Standard values'!$C$9:$S$162,15, FALSE)*VLOOKUP(C51,'Standard values'!$C$9:$S$162,7, FALSE)/$E$163</f>
        <v>0.50574830302880291</v>
      </c>
      <c r="J50" s="544">
        <f>$E50*((VLOOKUP($B50,'Standard values'!$C$9:$S$162,15, FALSE)*VLOOKUP(C51,'Standard values'!$C$9:$S$162,8, FALSE))+VLOOKUP($B50,'Standard values'!$C$9:$S$162,16, FALSE))/$E$163</f>
        <v>3.0827032977496217E-5</v>
      </c>
      <c r="K50" s="544">
        <f>$E50*((VLOOKUP($B50,'Standard values'!$C$9:$S$162,15, FALSE)*VLOOKUP(C51,'Standard values'!$C$9:$S$162,9, FALSE))+VLOOKUP($B50,'Standard values'!$C$9:$S$162,17, FALSE))/$E$163</f>
        <v>0</v>
      </c>
      <c r="L50" s="516">
        <f>I50*'Standard values'!$D$10+J50*'Standard values'!$D$11+K50*'Standard values'!$D$12</f>
        <v>0.50651897885324026</v>
      </c>
      <c r="M50" s="379"/>
      <c r="N50" s="1201">
        <f>+L50/E$24</f>
        <v>4.0670792079207914</v>
      </c>
      <c r="O50" s="390"/>
    </row>
    <row r="51" spans="1:15" x14ac:dyDescent="0.2">
      <c r="A51" s="503"/>
      <c r="B51" s="546" t="s">
        <v>54</v>
      </c>
      <c r="C51" s="547" t="s">
        <v>509</v>
      </c>
      <c r="D51" s="495"/>
      <c r="E51" s="543"/>
      <c r="F51" s="495"/>
      <c r="G51" s="495"/>
      <c r="H51" s="495"/>
      <c r="I51" s="544"/>
      <c r="J51" s="544"/>
      <c r="K51" s="544"/>
      <c r="L51" s="516"/>
      <c r="M51" s="379"/>
      <c r="N51" s="1203"/>
      <c r="O51" s="390"/>
    </row>
    <row r="52" spans="1:15" x14ac:dyDescent="0.2">
      <c r="A52" s="503"/>
      <c r="B52" s="495"/>
      <c r="C52" s="495"/>
      <c r="D52" s="495"/>
      <c r="E52" s="503"/>
      <c r="F52" s="495"/>
      <c r="G52" s="495"/>
      <c r="H52" s="548"/>
      <c r="I52" s="544"/>
      <c r="J52" s="544"/>
      <c r="K52" s="544"/>
      <c r="L52" s="516"/>
      <c r="M52" s="379"/>
      <c r="N52" s="390"/>
      <c r="O52" s="390"/>
    </row>
    <row r="53" spans="1:15" ht="14.25" x14ac:dyDescent="0.25">
      <c r="A53" s="519"/>
      <c r="B53" s="520"/>
      <c r="C53" s="520"/>
      <c r="D53" s="520"/>
      <c r="E53" s="519"/>
      <c r="F53" s="521"/>
      <c r="G53" s="521"/>
      <c r="H53" s="521" t="s">
        <v>534</v>
      </c>
      <c r="I53" s="520"/>
      <c r="J53" s="523" t="s">
        <v>1048</v>
      </c>
      <c r="K53" s="549"/>
      <c r="L53" s="525">
        <f>N50*E$24</f>
        <v>0.50651897885324026</v>
      </c>
      <c r="M53" s="379"/>
      <c r="N53" s="390"/>
      <c r="O53" s="390"/>
    </row>
    <row r="54" spans="1:15" x14ac:dyDescent="0.2">
      <c r="A54" s="390"/>
      <c r="B54" s="390"/>
      <c r="C54" s="390"/>
      <c r="D54" s="390"/>
      <c r="E54" s="390"/>
      <c r="F54" s="376"/>
      <c r="G54" s="376"/>
      <c r="H54" s="376"/>
      <c r="I54" s="390"/>
      <c r="J54" s="550"/>
      <c r="K54" s="551"/>
      <c r="L54" s="552"/>
      <c r="M54" s="379"/>
      <c r="N54" s="379"/>
      <c r="O54" s="379"/>
    </row>
    <row r="55" spans="1:15" x14ac:dyDescent="0.2">
      <c r="A55" s="390"/>
      <c r="B55" s="390"/>
      <c r="C55" s="390"/>
      <c r="D55" s="390"/>
      <c r="E55" s="390"/>
      <c r="F55" s="390"/>
      <c r="G55" s="390"/>
      <c r="H55" s="390"/>
      <c r="I55" s="390"/>
      <c r="J55" s="390"/>
      <c r="K55" s="390"/>
      <c r="L55" s="375"/>
      <c r="M55" s="379"/>
      <c r="N55" s="379"/>
      <c r="O55" s="379"/>
    </row>
    <row r="56" spans="1:15" ht="15.75" x14ac:dyDescent="0.25">
      <c r="A56" s="530" t="s">
        <v>536</v>
      </c>
      <c r="B56" s="531"/>
      <c r="C56" s="531"/>
      <c r="D56" s="531"/>
      <c r="E56" s="530" t="s">
        <v>513</v>
      </c>
      <c r="F56" s="532"/>
      <c r="G56" s="532"/>
      <c r="H56" s="531"/>
      <c r="I56" s="532" t="s">
        <v>532</v>
      </c>
      <c r="J56" s="533"/>
      <c r="K56" s="533"/>
      <c r="L56" s="534"/>
      <c r="M56" s="379"/>
      <c r="N56" s="535" t="s">
        <v>162</v>
      </c>
      <c r="O56" s="379"/>
    </row>
    <row r="57" spans="1:15" x14ac:dyDescent="0.2">
      <c r="A57" s="503"/>
      <c r="B57" s="511" t="s">
        <v>524</v>
      </c>
      <c r="C57" s="495"/>
      <c r="D57" s="495"/>
      <c r="E57" s="553"/>
      <c r="F57" s="495"/>
      <c r="G57" s="495"/>
      <c r="H57" s="495"/>
      <c r="I57" s="492" t="s">
        <v>138</v>
      </c>
      <c r="J57" s="514"/>
      <c r="K57" s="514"/>
      <c r="L57" s="537"/>
      <c r="M57" s="379"/>
      <c r="N57" s="554" t="s">
        <v>1010</v>
      </c>
      <c r="O57" s="379"/>
    </row>
    <row r="58" spans="1:15" ht="15.75" x14ac:dyDescent="0.3">
      <c r="A58" s="503"/>
      <c r="B58" s="495" t="s">
        <v>499</v>
      </c>
      <c r="C58" s="536">
        <v>0.51572433856915745</v>
      </c>
      <c r="D58" s="495" t="s">
        <v>101</v>
      </c>
      <c r="E58" s="553">
        <f>E47*C58</f>
        <v>31180.89775715406</v>
      </c>
      <c r="F58" s="495" t="s">
        <v>1030</v>
      </c>
      <c r="G58" s="495"/>
      <c r="H58" s="495"/>
      <c r="I58" s="539" t="s">
        <v>1053</v>
      </c>
      <c r="J58" s="539" t="s">
        <v>1054</v>
      </c>
      <c r="K58" s="539" t="s">
        <v>1055</v>
      </c>
      <c r="L58" s="540" t="s">
        <v>1056</v>
      </c>
      <c r="M58" s="379"/>
      <c r="N58" s="540" t="s">
        <v>1056</v>
      </c>
      <c r="O58" s="379"/>
    </row>
    <row r="59" spans="1:15" ht="15.75" x14ac:dyDescent="0.3">
      <c r="A59" s="563"/>
      <c r="B59" s="506" t="s">
        <v>125</v>
      </c>
      <c r="C59" s="536">
        <v>1.3924050632911393</v>
      </c>
      <c r="D59" s="506" t="s">
        <v>489</v>
      </c>
      <c r="E59" s="505">
        <f>E48*C58</f>
        <v>0.5106181569991658</v>
      </c>
      <c r="F59" s="506" t="s">
        <v>816</v>
      </c>
      <c r="G59" s="506"/>
      <c r="H59" s="495"/>
      <c r="I59" s="495"/>
      <c r="J59" s="495"/>
      <c r="K59" s="495"/>
      <c r="L59" s="541"/>
      <c r="M59" s="379"/>
      <c r="N59" s="541"/>
      <c r="O59" s="379"/>
    </row>
    <row r="60" spans="1:15" ht="15.75" x14ac:dyDescent="0.3">
      <c r="A60" s="563"/>
      <c r="B60" s="506"/>
      <c r="C60" s="564"/>
      <c r="D60" s="506"/>
      <c r="E60" s="762">
        <f>E58/$E$162/VLOOKUP($B58,'Standard values'!$C$9:$S$162,14, FALSE)</f>
        <v>3.7299515106303617E-2</v>
      </c>
      <c r="F60" s="495" t="s">
        <v>1009</v>
      </c>
      <c r="G60" s="495"/>
      <c r="H60" s="495"/>
      <c r="I60" s="495"/>
      <c r="J60" s="495"/>
      <c r="K60" s="495"/>
      <c r="L60" s="541"/>
      <c r="M60" s="379"/>
      <c r="N60" s="562"/>
      <c r="O60" s="379"/>
    </row>
    <row r="61" spans="1:15" x14ac:dyDescent="0.2">
      <c r="A61" s="503"/>
      <c r="B61" s="511" t="s">
        <v>525</v>
      </c>
      <c r="C61" s="495"/>
      <c r="D61" s="495"/>
      <c r="E61" s="513"/>
      <c r="F61" s="495"/>
      <c r="G61" s="495"/>
      <c r="H61" s="495"/>
      <c r="I61" s="495"/>
      <c r="J61" s="495"/>
      <c r="K61" s="495"/>
      <c r="L61" s="541"/>
      <c r="M61" s="379"/>
      <c r="N61" s="562"/>
      <c r="O61" s="379"/>
    </row>
    <row r="62" spans="1:15" ht="15.75" x14ac:dyDescent="0.3">
      <c r="A62" s="503"/>
      <c r="B62" s="495" t="s">
        <v>239</v>
      </c>
      <c r="C62" s="536">
        <f>1.4*0.0539083423409348</f>
        <v>7.5471679277308718E-2</v>
      </c>
      <c r="D62" s="495" t="s">
        <v>495</v>
      </c>
      <c r="E62" s="503" t="s">
        <v>750</v>
      </c>
      <c r="F62" s="495"/>
      <c r="G62" s="495"/>
      <c r="H62" s="495"/>
      <c r="I62" s="544"/>
      <c r="J62" s="544"/>
      <c r="K62" s="544"/>
      <c r="L62" s="419"/>
      <c r="M62" s="379"/>
      <c r="N62" s="562"/>
      <c r="O62" s="379"/>
    </row>
    <row r="63" spans="1:15" ht="15.75" x14ac:dyDescent="0.3">
      <c r="A63" s="503"/>
      <c r="B63" s="495" t="s">
        <v>71</v>
      </c>
      <c r="C63" s="536">
        <f>1.4*0.487016949431729</f>
        <v>0.68182372920442058</v>
      </c>
      <c r="D63" s="495" t="s">
        <v>495</v>
      </c>
      <c r="E63" s="503"/>
      <c r="F63" s="495"/>
      <c r="G63" s="495"/>
      <c r="H63" s="495"/>
      <c r="I63" s="544"/>
      <c r="J63" s="544"/>
      <c r="K63" s="544"/>
      <c r="L63" s="419"/>
      <c r="M63" s="379"/>
      <c r="N63" s="562"/>
      <c r="O63" s="379"/>
    </row>
    <row r="64" spans="1:15" x14ac:dyDescent="0.2">
      <c r="A64" s="503"/>
      <c r="B64" s="565" t="s">
        <v>731</v>
      </c>
      <c r="C64" s="566"/>
      <c r="D64" s="566"/>
      <c r="E64" s="567"/>
      <c r="F64" s="568"/>
      <c r="G64" s="568"/>
      <c r="H64" s="568"/>
      <c r="I64" s="569"/>
      <c r="J64" s="568"/>
      <c r="K64" s="568"/>
      <c r="L64" s="570"/>
      <c r="M64" s="379"/>
      <c r="N64" s="562"/>
      <c r="O64" s="379"/>
    </row>
    <row r="65" spans="1:15" x14ac:dyDescent="0.2">
      <c r="A65" s="503"/>
      <c r="B65" s="571" t="s">
        <v>377</v>
      </c>
      <c r="C65" s="566"/>
      <c r="D65" s="566"/>
      <c r="E65" s="567" t="s">
        <v>799</v>
      </c>
      <c r="F65" s="568"/>
      <c r="G65" s="568"/>
      <c r="H65" s="568"/>
      <c r="I65" s="569"/>
      <c r="J65" s="568"/>
      <c r="K65" s="568"/>
      <c r="L65" s="570"/>
      <c r="M65" s="379"/>
      <c r="N65" s="562"/>
      <c r="O65" s="379"/>
    </row>
    <row r="66" spans="1:15" ht="15.75" x14ac:dyDescent="0.3">
      <c r="A66" s="503"/>
      <c r="B66" s="572" t="s">
        <v>380</v>
      </c>
      <c r="C66" s="573">
        <f>C63</f>
        <v>0.68182372920442058</v>
      </c>
      <c r="D66" s="568" t="s">
        <v>495</v>
      </c>
      <c r="E66" s="567" t="s">
        <v>768</v>
      </c>
      <c r="F66" s="568"/>
      <c r="G66" s="568"/>
      <c r="H66" s="568"/>
      <c r="I66" s="574"/>
      <c r="J66" s="574"/>
      <c r="K66" s="574"/>
      <c r="L66" s="575"/>
      <c r="M66" s="379"/>
      <c r="N66" s="562"/>
      <c r="O66" s="379"/>
    </row>
    <row r="67" spans="1:15" x14ac:dyDescent="0.2">
      <c r="A67" s="503"/>
      <c r="B67" s="571" t="s">
        <v>378</v>
      </c>
      <c r="C67" s="573"/>
      <c r="D67" s="566"/>
      <c r="E67" s="576"/>
      <c r="F67" s="568"/>
      <c r="G67" s="568"/>
      <c r="H67" s="568"/>
      <c r="I67" s="574"/>
      <c r="J67" s="574"/>
      <c r="K67" s="574"/>
      <c r="L67" s="575"/>
      <c r="M67" s="379"/>
      <c r="N67" s="562"/>
      <c r="O67" s="379"/>
    </row>
    <row r="68" spans="1:15" ht="14.25" x14ac:dyDescent="0.25">
      <c r="A68" s="503"/>
      <c r="B68" s="577" t="s">
        <v>733</v>
      </c>
      <c r="C68" s="536">
        <v>1.8664000000000001</v>
      </c>
      <c r="D68" s="568" t="s">
        <v>419</v>
      </c>
      <c r="E68" s="578"/>
      <c r="F68" s="568"/>
      <c r="G68" s="568"/>
      <c r="H68" s="568"/>
      <c r="I68" s="574"/>
      <c r="J68" s="574"/>
      <c r="K68" s="574"/>
      <c r="L68" s="575"/>
      <c r="M68" s="379"/>
      <c r="N68" s="562"/>
      <c r="O68" s="379"/>
    </row>
    <row r="69" spans="1:15" ht="15.75" x14ac:dyDescent="0.3">
      <c r="A69" s="503"/>
      <c r="B69" s="572" t="s">
        <v>379</v>
      </c>
      <c r="C69" s="573">
        <f>C68*C63</f>
        <v>1.2725558081871307</v>
      </c>
      <c r="D69" s="568" t="s">
        <v>495</v>
      </c>
      <c r="E69" s="578"/>
      <c r="F69" s="568"/>
      <c r="G69" s="568"/>
      <c r="H69" s="568"/>
      <c r="I69" s="574"/>
      <c r="J69" s="574"/>
      <c r="K69" s="574"/>
      <c r="L69" s="575"/>
      <c r="M69" s="379"/>
      <c r="N69" s="562"/>
      <c r="O69" s="379"/>
    </row>
    <row r="70" spans="1:15" x14ac:dyDescent="0.2">
      <c r="A70" s="503"/>
      <c r="B70" s="571" t="s">
        <v>935</v>
      </c>
      <c r="C70" s="573"/>
      <c r="D70" s="566"/>
      <c r="E70" s="567"/>
      <c r="F70" s="568"/>
      <c r="G70" s="568"/>
      <c r="H70" s="568"/>
      <c r="I70" s="569" t="s">
        <v>532</v>
      </c>
      <c r="J70" s="574"/>
      <c r="K70" s="574"/>
      <c r="L70" s="575"/>
      <c r="M70" s="379"/>
      <c r="N70" s="562"/>
      <c r="O70" s="379"/>
    </row>
    <row r="71" spans="1:15" ht="15.75" x14ac:dyDescent="0.3">
      <c r="A71" s="503"/>
      <c r="B71" s="572" t="s">
        <v>732</v>
      </c>
      <c r="C71" s="573"/>
      <c r="D71" s="566"/>
      <c r="E71" s="567"/>
      <c r="F71" s="568"/>
      <c r="G71" s="568"/>
      <c r="H71" s="568"/>
      <c r="I71" s="574">
        <f>$C63*$E$59*VLOOKUP($B71,'Standard values'!$C$9:$S$159,7, FALSE)/$E$163</f>
        <v>0</v>
      </c>
      <c r="J71" s="574">
        <f>$C63*$E$59*VLOOKUP($B71,'Standard values'!$C$9:$S$159,8, FALSE)/$E$163</f>
        <v>0</v>
      </c>
      <c r="K71" s="574">
        <f>$C63*$E$59*VLOOKUP($B71,'Standard values'!$C$9:$S$159,9, FALSE)/$E$163</f>
        <v>0</v>
      </c>
      <c r="L71" s="575">
        <f>I71*'Standard values'!$D$10+J71*'Standard values'!$D$11+K71*'Standard values'!$D$12</f>
        <v>0</v>
      </c>
      <c r="M71" s="379"/>
      <c r="N71" s="562">
        <f>+L71/$E$60</f>
        <v>0</v>
      </c>
      <c r="O71" s="379"/>
    </row>
    <row r="72" spans="1:15" ht="27" x14ac:dyDescent="0.3">
      <c r="A72" s="503"/>
      <c r="B72" s="579" t="s">
        <v>158</v>
      </c>
      <c r="C72" s="573">
        <f>C68*C63</f>
        <v>1.2725558081871307</v>
      </c>
      <c r="D72" s="568" t="s">
        <v>495</v>
      </c>
      <c r="E72" s="567"/>
      <c r="F72" s="568"/>
      <c r="G72" s="568"/>
      <c r="H72" s="568"/>
      <c r="I72" s="574">
        <f>$C72*$E$59*VLOOKUP($B72,'Standard values'!$C$9:$S$162,7, FALSE)/$E$163</f>
        <v>80.125203906694495</v>
      </c>
      <c r="J72" s="574">
        <f>$C72*$E$59*VLOOKUP($B72,'Standard values'!$C$9:$S$162,8, FALSE)/$E$163</f>
        <v>0.25214279388330013</v>
      </c>
      <c r="K72" s="574">
        <f>$C72*$E$59*VLOOKUP($B72,'Standard values'!$C$9:$S$162,9, FALSE)/$E$163</f>
        <v>2.8279017959714016E-4</v>
      </c>
      <c r="L72" s="575">
        <f>I72*'Standard values'!$D$10+J72*'Standard values'!$D$11+K72*'Standard values'!$D$12</f>
        <v>86.513045227296942</v>
      </c>
      <c r="M72" s="379"/>
      <c r="N72" s="562">
        <f>+L72/$E$60</f>
        <v>2319.4147425438309</v>
      </c>
      <c r="O72" s="379"/>
    </row>
    <row r="73" spans="1:15" x14ac:dyDescent="0.2">
      <c r="A73" s="503"/>
      <c r="B73" s="580" t="s">
        <v>801</v>
      </c>
      <c r="C73" s="573"/>
      <c r="D73" s="568"/>
      <c r="E73" s="567"/>
      <c r="F73" s="568"/>
      <c r="G73" s="568"/>
      <c r="H73" s="568"/>
      <c r="I73" s="574"/>
      <c r="J73" s="574"/>
      <c r="K73" s="574"/>
      <c r="L73" s="575"/>
      <c r="M73" s="379"/>
      <c r="N73" s="562"/>
      <c r="O73" s="379"/>
    </row>
    <row r="74" spans="1:15" ht="14.25" x14ac:dyDescent="0.25">
      <c r="A74" s="503"/>
      <c r="B74" s="577" t="s">
        <v>348</v>
      </c>
      <c r="C74" s="536">
        <v>0.66149999999999998</v>
      </c>
      <c r="D74" s="568" t="s">
        <v>419</v>
      </c>
      <c r="E74" s="567"/>
      <c r="F74" s="568"/>
      <c r="G74" s="568"/>
      <c r="H74" s="568"/>
      <c r="I74" s="574"/>
      <c r="J74" s="581"/>
      <c r="K74" s="581"/>
      <c r="L74" s="575"/>
      <c r="M74" s="379"/>
      <c r="N74" s="562"/>
      <c r="O74" s="379"/>
    </row>
    <row r="75" spans="1:15" ht="15.75" x14ac:dyDescent="0.3">
      <c r="A75" s="503"/>
      <c r="B75" s="577" t="s">
        <v>454</v>
      </c>
      <c r="C75" s="573">
        <f>C74*C63</f>
        <v>0.4510263968687242</v>
      </c>
      <c r="D75" s="568" t="s">
        <v>495</v>
      </c>
      <c r="E75" s="567" t="s">
        <v>381</v>
      </c>
      <c r="F75" s="568"/>
      <c r="G75" s="568"/>
      <c r="H75" s="568"/>
      <c r="I75" s="574"/>
      <c r="J75" s="581"/>
      <c r="K75" s="581"/>
      <c r="L75" s="575"/>
      <c r="M75" s="379"/>
      <c r="N75" s="562"/>
      <c r="O75" s="379"/>
    </row>
    <row r="76" spans="1:15" ht="27" x14ac:dyDescent="0.3">
      <c r="A76" s="503"/>
      <c r="B76" s="579" t="s">
        <v>347</v>
      </c>
      <c r="C76" s="573">
        <f>C62-C75</f>
        <v>-0.37555471759141545</v>
      </c>
      <c r="D76" s="568" t="s">
        <v>495</v>
      </c>
      <c r="E76" s="567"/>
      <c r="F76" s="568"/>
      <c r="G76" s="568"/>
      <c r="H76" s="568"/>
      <c r="I76" s="574"/>
      <c r="J76" s="581"/>
      <c r="K76" s="581"/>
      <c r="L76" s="575"/>
      <c r="M76" s="379"/>
      <c r="N76" s="562"/>
      <c r="O76" s="379"/>
    </row>
    <row r="77" spans="1:15" ht="15.75" x14ac:dyDescent="0.3">
      <c r="A77" s="503"/>
      <c r="B77" s="577" t="str">
        <f>IF(C76&gt;0, "Specify national electricity mix", "Electricity credit (NG CCGT)")</f>
        <v>Electricity credit (NG CCGT)</v>
      </c>
      <c r="C77" s="573">
        <f>ABS(C62-C75)</f>
        <v>0.37555471759141545</v>
      </c>
      <c r="D77" s="568" t="s">
        <v>495</v>
      </c>
      <c r="E77" s="567" t="str">
        <f>IF(C76&gt;0, "Electricity use in ethanol plant larger than generation", "Surplus electricity. Credit is calculated following")</f>
        <v>Surplus electricity. Credit is calculated following</v>
      </c>
      <c r="F77" s="568"/>
      <c r="G77" s="568"/>
      <c r="H77" s="568"/>
      <c r="I77" s="574">
        <f>$C77*$E$59*VLOOKUP($B77,'Standard values'!$C$9:$S$162,7, FALSE)/$E$163</f>
        <v>-42.993504069865246</v>
      </c>
      <c r="J77" s="574">
        <f>$C77*$E$59*VLOOKUP($B77,'Standard values'!$C$9:$S$162,8, FALSE)/$E$163</f>
        <v>-0.1381612697270877</v>
      </c>
      <c r="K77" s="574">
        <f>$C77*$E$59*VLOOKUP($B77,'Standard values'!$C$9:$S$162,9, FALSE)/$E$163</f>
        <v>-1.8719885279133712E-3</v>
      </c>
      <c r="L77" s="575">
        <f>I77*'Standard values'!$D$10+J77*'Standard values'!$D$11+K77*'Standard values'!$D$12</f>
        <v>-47.005388394360622</v>
      </c>
      <c r="M77" s="379"/>
      <c r="N77" s="562">
        <f>+L77/$E$60</f>
        <v>-1260.2144628528083</v>
      </c>
      <c r="O77" s="379"/>
    </row>
    <row r="78" spans="1:15" x14ac:dyDescent="0.2">
      <c r="A78" s="503"/>
      <c r="B78" s="582"/>
      <c r="C78" s="573"/>
      <c r="D78" s="568"/>
      <c r="E78" s="567" t="str">
        <f>IF(C76&gt;0, "   in NG CHP. Therefore calculated as national electricity mix", "   RED Annex V.C.16")</f>
        <v xml:space="preserve">   RED Annex V.C.16</v>
      </c>
      <c r="F78" s="568"/>
      <c r="G78" s="568"/>
      <c r="H78" s="568"/>
      <c r="I78" s="574"/>
      <c r="J78" s="574"/>
      <c r="K78" s="574"/>
      <c r="L78" s="575"/>
      <c r="M78" s="379"/>
      <c r="N78" s="562"/>
      <c r="O78" s="379"/>
    </row>
    <row r="79" spans="1:15" x14ac:dyDescent="0.2">
      <c r="A79" s="503"/>
      <c r="B79" s="511"/>
      <c r="C79" s="495"/>
      <c r="D79" s="495"/>
      <c r="E79" s="503"/>
      <c r="F79" s="495"/>
      <c r="G79" s="495"/>
      <c r="H79" s="514" t="s">
        <v>1047</v>
      </c>
      <c r="I79" s="583">
        <f>SUM(I62:I78)</f>
        <v>37.131699836829249</v>
      </c>
      <c r="J79" s="583">
        <f>SUM(J62:J78)</f>
        <v>0.11398152415621243</v>
      </c>
      <c r="K79" s="583">
        <f>SUM(K62:K78)</f>
        <v>-1.5891983483162311E-3</v>
      </c>
      <c r="L79" s="516">
        <f>I79*'Standard values'!$D$10+J79*'Standard values'!$D$11+K79*'Standard values'!$D$12</f>
        <v>39.50765683293632</v>
      </c>
      <c r="M79" s="379"/>
      <c r="N79" s="545">
        <f>+L79/$E$60</f>
        <v>1059.2002796910228</v>
      </c>
      <c r="O79" s="379"/>
    </row>
    <row r="80" spans="1:15" x14ac:dyDescent="0.2">
      <c r="A80" s="503"/>
      <c r="B80" s="495"/>
      <c r="C80" s="499"/>
      <c r="D80" s="499"/>
      <c r="E80" s="503"/>
      <c r="F80" s="495"/>
      <c r="G80" s="495"/>
      <c r="H80" s="495"/>
      <c r="I80" s="495"/>
      <c r="J80" s="495"/>
      <c r="K80" s="495"/>
      <c r="L80" s="541"/>
      <c r="M80" s="379"/>
      <c r="N80" s="390"/>
      <c r="O80" s="379"/>
    </row>
    <row r="81" spans="1:15" ht="14.25" x14ac:dyDescent="0.25">
      <c r="A81" s="519"/>
      <c r="B81" s="520"/>
      <c r="C81" s="520"/>
      <c r="D81" s="520"/>
      <c r="E81" s="519"/>
      <c r="F81" s="521"/>
      <c r="G81" s="521"/>
      <c r="H81" s="521" t="s">
        <v>534</v>
      </c>
      <c r="I81" s="520"/>
      <c r="J81" s="523" t="s">
        <v>1048</v>
      </c>
      <c r="K81" s="549"/>
      <c r="L81" s="525">
        <f>L79</f>
        <v>39.50765683293632</v>
      </c>
      <c r="M81" s="379"/>
      <c r="N81" s="390"/>
      <c r="O81" s="379"/>
    </row>
    <row r="82" spans="1:15" x14ac:dyDescent="0.2">
      <c r="A82" s="390"/>
      <c r="B82" s="390"/>
      <c r="C82" s="390"/>
      <c r="D82" s="390"/>
      <c r="E82" s="390"/>
      <c r="F82" s="376"/>
      <c r="G82" s="376"/>
      <c r="H82" s="376"/>
      <c r="I82" s="390"/>
      <c r="J82" s="550"/>
      <c r="K82" s="551"/>
      <c r="L82" s="585"/>
      <c r="M82" s="379"/>
      <c r="N82" s="390"/>
      <c r="O82" s="390"/>
    </row>
    <row r="83" spans="1:15" x14ac:dyDescent="0.2">
      <c r="A83" s="390"/>
      <c r="B83" s="390"/>
      <c r="C83" s="390"/>
      <c r="D83" s="390"/>
      <c r="E83" s="390"/>
      <c r="F83" s="376"/>
      <c r="G83" s="376"/>
      <c r="H83" s="376"/>
      <c r="I83" s="390"/>
      <c r="J83" s="550"/>
      <c r="K83" s="551"/>
      <c r="L83" s="585"/>
      <c r="M83" s="379"/>
      <c r="N83" s="390"/>
      <c r="O83" s="390"/>
    </row>
    <row r="84" spans="1:15" ht="15.75" x14ac:dyDescent="0.25">
      <c r="A84" s="530" t="s">
        <v>1057</v>
      </c>
      <c r="B84" s="531"/>
      <c r="C84" s="531"/>
      <c r="D84" s="531"/>
      <c r="E84" s="608" t="s">
        <v>526</v>
      </c>
      <c r="F84" s="606"/>
      <c r="G84" s="606"/>
      <c r="H84" s="606"/>
      <c r="I84" s="607"/>
      <c r="J84" s="608" t="s">
        <v>1048</v>
      </c>
      <c r="K84" s="607"/>
      <c r="L84" s="609">
        <f>L43+L53+L81</f>
        <v>76.940784934704396</v>
      </c>
      <c r="M84" s="379"/>
      <c r="N84" s="535" t="s">
        <v>162</v>
      </c>
      <c r="O84" s="390"/>
    </row>
    <row r="85" spans="1:15" ht="15.75" x14ac:dyDescent="0.25">
      <c r="A85" s="610" t="s">
        <v>937</v>
      </c>
      <c r="B85" s="611"/>
      <c r="C85" s="611"/>
      <c r="D85" s="611"/>
      <c r="E85" s="613"/>
      <c r="F85" s="613"/>
      <c r="G85" s="613"/>
      <c r="H85" s="613"/>
      <c r="I85" s="613"/>
      <c r="J85" s="613"/>
      <c r="K85" s="613"/>
      <c r="L85" s="614"/>
      <c r="M85" s="379"/>
      <c r="N85" s="554" t="s">
        <v>1010</v>
      </c>
      <c r="O85" s="390"/>
    </row>
    <row r="86" spans="1:15" ht="15.75" x14ac:dyDescent="0.3">
      <c r="A86" s="567"/>
      <c r="B86" s="568"/>
      <c r="C86" s="568"/>
      <c r="D86" s="683"/>
      <c r="E86" s="683"/>
      <c r="F86" s="683"/>
      <c r="G86" s="683"/>
      <c r="H86" s="683" t="s">
        <v>667</v>
      </c>
      <c r="I86" s="684">
        <f>L84</f>
        <v>76.940784934704396</v>
      </c>
      <c r="J86" s="568" t="s">
        <v>137</v>
      </c>
      <c r="K86" s="568"/>
      <c r="L86" s="685"/>
      <c r="M86" s="379"/>
      <c r="N86" s="540" t="s">
        <v>1056</v>
      </c>
      <c r="O86" s="390"/>
    </row>
    <row r="87" spans="1:15" ht="15.75" x14ac:dyDescent="0.3">
      <c r="A87" s="567"/>
      <c r="B87" s="568" t="s">
        <v>51</v>
      </c>
      <c r="C87" s="568" t="s">
        <v>499</v>
      </c>
      <c r="D87" s="568"/>
      <c r="E87" s="683" t="s">
        <v>118</v>
      </c>
      <c r="F87" s="747">
        <f>1*1000*VLOOKUP($C87,'Standard values'!$C$9:$S$162,14, FALSE)</f>
        <v>26810</v>
      </c>
      <c r="G87" s="747"/>
      <c r="H87" s="568" t="s">
        <v>501</v>
      </c>
      <c r="I87" s="574">
        <f>$I$86*F87/F$89</f>
        <v>42.021720809969743</v>
      </c>
      <c r="J87" s="568" t="s">
        <v>137</v>
      </c>
      <c r="K87" s="568"/>
      <c r="L87" s="685"/>
      <c r="M87" s="379"/>
      <c r="N87" s="541"/>
      <c r="O87" s="390"/>
    </row>
    <row r="88" spans="1:15" ht="15.75" x14ac:dyDescent="0.3">
      <c r="A88" s="567"/>
      <c r="B88" s="568" t="s">
        <v>123</v>
      </c>
      <c r="C88" s="568" t="s">
        <v>121</v>
      </c>
      <c r="D88" s="568"/>
      <c r="E88" s="683" t="s">
        <v>120</v>
      </c>
      <c r="F88" s="747">
        <f>C59*1000*VLOOKUP($C88,'Standard values'!$C$9:$S$162,14, FALSE)</f>
        <v>22278.481012658231</v>
      </c>
      <c r="G88" s="747"/>
      <c r="H88" s="568" t="s">
        <v>501</v>
      </c>
      <c r="I88" s="574">
        <f>$I$86*F88/F$89</f>
        <v>34.91906412473466</v>
      </c>
      <c r="J88" s="568" t="s">
        <v>137</v>
      </c>
      <c r="K88" s="568"/>
      <c r="L88" s="685"/>
      <c r="M88" s="379"/>
      <c r="N88" s="562"/>
      <c r="O88" s="390"/>
    </row>
    <row r="89" spans="1:15" x14ac:dyDescent="0.2">
      <c r="A89" s="567"/>
      <c r="B89" s="568"/>
      <c r="C89" s="568"/>
      <c r="D89" s="568"/>
      <c r="E89" s="568" t="s">
        <v>533</v>
      </c>
      <c r="F89" s="747">
        <f>SUM(F87:F88)</f>
        <v>49088.481012658231</v>
      </c>
      <c r="G89" s="747"/>
      <c r="H89" s="568" t="s">
        <v>501</v>
      </c>
      <c r="I89" s="568"/>
      <c r="J89" s="568"/>
      <c r="K89" s="568"/>
      <c r="L89" s="685"/>
      <c r="M89" s="379"/>
      <c r="N89" s="562"/>
      <c r="O89" s="390"/>
    </row>
    <row r="90" spans="1:15" ht="14.25" x14ac:dyDescent="0.25">
      <c r="A90" s="519"/>
      <c r="B90" s="520"/>
      <c r="C90" s="520"/>
      <c r="D90" s="520"/>
      <c r="E90" s="523" t="s">
        <v>1058</v>
      </c>
      <c r="F90" s="521"/>
      <c r="G90" s="521"/>
      <c r="H90" s="687"/>
      <c r="I90" s="520"/>
      <c r="J90" s="523" t="s">
        <v>1048</v>
      </c>
      <c r="K90" s="687"/>
      <c r="L90" s="525">
        <f>I87</f>
        <v>42.021720809969743</v>
      </c>
      <c r="M90" s="379"/>
      <c r="N90" s="545">
        <f>+L90/$E$60</f>
        <v>1126.6023349152888</v>
      </c>
      <c r="O90" s="379"/>
    </row>
    <row r="91" spans="1:15" x14ac:dyDescent="0.2">
      <c r="A91" s="390"/>
      <c r="B91" s="390"/>
      <c r="C91" s="390"/>
      <c r="D91" s="379"/>
      <c r="E91" s="379"/>
      <c r="F91" s="551"/>
      <c r="G91" s="551"/>
      <c r="H91" s="437"/>
      <c r="I91" s="378"/>
      <c r="J91" s="379"/>
      <c r="K91" s="379"/>
      <c r="L91" s="586"/>
      <c r="M91" s="379"/>
      <c r="N91" s="379"/>
      <c r="O91" s="379"/>
    </row>
    <row r="92" spans="1:15" x14ac:dyDescent="0.2">
      <c r="A92" s="375"/>
      <c r="B92" s="585"/>
      <c r="C92" s="386"/>
      <c r="D92" s="390"/>
      <c r="E92" s="379"/>
      <c r="F92" s="379"/>
      <c r="G92" s="379"/>
      <c r="H92" s="379"/>
      <c r="I92" s="379"/>
      <c r="J92" s="591"/>
      <c r="K92" s="379"/>
      <c r="L92" s="379"/>
      <c r="M92" s="379"/>
      <c r="N92" s="379"/>
      <c r="O92" s="379"/>
    </row>
    <row r="93" spans="1:15" ht="15.75" x14ac:dyDescent="0.25">
      <c r="A93" s="530" t="s">
        <v>809</v>
      </c>
      <c r="B93" s="532"/>
      <c r="C93" s="531"/>
      <c r="D93" s="531"/>
      <c r="E93" s="530" t="s">
        <v>513</v>
      </c>
      <c r="F93" s="532"/>
      <c r="G93" s="532"/>
      <c r="H93" s="531"/>
      <c r="I93" s="532" t="s">
        <v>532</v>
      </c>
      <c r="J93" s="533"/>
      <c r="K93" s="533"/>
      <c r="L93" s="534"/>
      <c r="M93" s="379"/>
      <c r="N93" s="535" t="s">
        <v>162</v>
      </c>
      <c r="O93" s="379"/>
    </row>
    <row r="94" spans="1:15" ht="15.75" x14ac:dyDescent="0.3">
      <c r="A94" s="503"/>
      <c r="B94" s="511" t="s">
        <v>499</v>
      </c>
      <c r="C94" s="536">
        <v>1</v>
      </c>
      <c r="D94" s="495" t="s">
        <v>497</v>
      </c>
      <c r="E94" s="513">
        <f>E58*C94</f>
        <v>31180.89775715406</v>
      </c>
      <c r="F94" s="495" t="s">
        <v>1030</v>
      </c>
      <c r="G94" s="495"/>
      <c r="H94" s="594"/>
      <c r="I94" s="492" t="s">
        <v>138</v>
      </c>
      <c r="J94" s="514"/>
      <c r="K94" s="514"/>
      <c r="L94" s="537"/>
      <c r="M94" s="379"/>
      <c r="N94" s="538" t="s">
        <v>1010</v>
      </c>
      <c r="O94" s="379"/>
    </row>
    <row r="95" spans="1:15" ht="15.75" x14ac:dyDescent="0.3">
      <c r="A95" s="503"/>
      <c r="B95" s="495"/>
      <c r="C95" s="495"/>
      <c r="D95" s="495"/>
      <c r="E95" s="505">
        <f>E59*C94</f>
        <v>0.5106181569991658</v>
      </c>
      <c r="F95" s="506" t="s">
        <v>816</v>
      </c>
      <c r="G95" s="506"/>
      <c r="H95" s="594"/>
      <c r="I95" s="539" t="s">
        <v>1053</v>
      </c>
      <c r="J95" s="539" t="s">
        <v>1054</v>
      </c>
      <c r="K95" s="539" t="s">
        <v>1055</v>
      </c>
      <c r="L95" s="540" t="s">
        <v>1056</v>
      </c>
      <c r="M95" s="379"/>
      <c r="N95" s="501" t="s">
        <v>1056</v>
      </c>
      <c r="O95" s="379"/>
    </row>
    <row r="96" spans="1:15" x14ac:dyDescent="0.2">
      <c r="A96" s="503"/>
      <c r="B96" s="511" t="s">
        <v>498</v>
      </c>
      <c r="C96" s="495"/>
      <c r="D96" s="495"/>
      <c r="E96" s="513"/>
      <c r="F96" s="495"/>
      <c r="G96" s="495"/>
      <c r="H96" s="495"/>
      <c r="I96" s="495"/>
      <c r="J96" s="495"/>
      <c r="K96" s="495"/>
      <c r="L96" s="541"/>
      <c r="M96" s="379"/>
      <c r="N96" s="541"/>
      <c r="O96" s="379"/>
    </row>
    <row r="97" spans="1:15" ht="15.75" x14ac:dyDescent="0.3">
      <c r="A97" s="503"/>
      <c r="B97" s="495" t="s">
        <v>159</v>
      </c>
      <c r="C97" s="542">
        <v>150</v>
      </c>
      <c r="D97" s="495" t="s">
        <v>510</v>
      </c>
      <c r="E97" s="543">
        <f>(C97*E95/VLOOKUP($B94,'Standard values'!$C$9:$S$162,14, FALSE))/1000</f>
        <v>2.8568714490814951E-3</v>
      </c>
      <c r="F97" s="495" t="s">
        <v>100</v>
      </c>
      <c r="G97" s="495"/>
      <c r="H97" s="495"/>
      <c r="I97" s="544">
        <f>$E97*VLOOKUP($B97,'Standard values'!$C$9:$S$162,15, FALSE)*VLOOKUP(C98,'Standard values'!$C$9:$S$162,7, FALSE)/$E$163</f>
        <v>0.4942558746736293</v>
      </c>
      <c r="J97" s="544">
        <f>$E97*((VLOOKUP($B97,'Standard values'!$C$9:$S$162,15, FALSE)*VLOOKUP(C98,'Standard values'!$C$9:$S$162,8, FALSE))+VLOOKUP($B97,'Standard values'!$C$9:$S$162,16, FALSE))/$E$163</f>
        <v>2.7974636329727717E-5</v>
      </c>
      <c r="K97" s="544">
        <f>$E97*((VLOOKUP($B97,'Standard values'!$C$9:$S$162,15, FALSE)*VLOOKUP(C98,'Standard values'!$C$9:$S$162,9, FALSE))+VLOOKUP($B97,'Standard values'!$C$9:$S$162,17, FALSE))/$E$163</f>
        <v>0</v>
      </c>
      <c r="L97" s="516">
        <f>I97*'Standard values'!$D$10+J97*'Standard values'!$D$11+K97*'Standard values'!$D$12</f>
        <v>0.49495524058187251</v>
      </c>
      <c r="M97" s="379"/>
      <c r="N97" s="562">
        <f>+L97/E$60</f>
        <v>13.269750000000002</v>
      </c>
      <c r="O97" s="379"/>
    </row>
    <row r="98" spans="1:15" x14ac:dyDescent="0.2">
      <c r="A98" s="503"/>
      <c r="B98" s="546" t="s">
        <v>54</v>
      </c>
      <c r="C98" s="547" t="s">
        <v>509</v>
      </c>
      <c r="D98" s="495"/>
      <c r="E98" s="503"/>
      <c r="F98" s="495"/>
      <c r="G98" s="495"/>
      <c r="H98" s="495"/>
      <c r="I98" s="544"/>
      <c r="J98" s="544"/>
      <c r="K98" s="544"/>
      <c r="L98" s="516"/>
      <c r="M98" s="379"/>
      <c r="N98" s="562"/>
      <c r="O98" s="379"/>
    </row>
    <row r="99" spans="1:15" x14ac:dyDescent="0.2">
      <c r="A99" s="503"/>
      <c r="B99" s="495"/>
      <c r="C99" s="668"/>
      <c r="D99" s="495"/>
      <c r="E99" s="543"/>
      <c r="F99" s="495"/>
      <c r="G99" s="495"/>
      <c r="H99" s="495"/>
      <c r="I99" s="544"/>
      <c r="J99" s="544"/>
      <c r="K99" s="544"/>
      <c r="L99" s="516"/>
      <c r="M99" s="379"/>
      <c r="N99" s="562"/>
      <c r="O99" s="379"/>
    </row>
    <row r="100" spans="1:15" x14ac:dyDescent="0.2">
      <c r="A100" s="503"/>
      <c r="B100" s="511" t="s">
        <v>444</v>
      </c>
      <c r="C100" s="495"/>
      <c r="D100" s="495"/>
      <c r="E100" s="503"/>
      <c r="F100" s="495"/>
      <c r="G100" s="495"/>
      <c r="H100" s="495"/>
      <c r="I100" s="544"/>
      <c r="J100" s="544"/>
      <c r="K100" s="544"/>
      <c r="L100" s="584"/>
      <c r="M100" s="379"/>
      <c r="N100" s="562"/>
      <c r="O100" s="379"/>
    </row>
    <row r="101" spans="1:15" ht="15.75" x14ac:dyDescent="0.3">
      <c r="A101" s="590"/>
      <c r="B101" s="1301" t="s">
        <v>49</v>
      </c>
      <c r="C101" s="542">
        <v>8.4000000000000003E-4</v>
      </c>
      <c r="D101" s="495" t="s">
        <v>495</v>
      </c>
      <c r="E101" s="503"/>
      <c r="F101" s="495"/>
      <c r="G101" s="495"/>
      <c r="H101" s="495"/>
      <c r="I101" s="544">
        <f>$C101*$E$95*VLOOKUP($B101,'Standard values'!$C$9:$S$162,7, FALSE)/$E$163</f>
        <v>0.10146738000000001</v>
      </c>
      <c r="J101" s="544">
        <f>$C101*$E$95*VLOOKUP($B101,'Standard values'!$C$9:$S$162,8, FALSE)/$E$163</f>
        <v>2.4745000000000002E-4</v>
      </c>
      <c r="K101" s="544">
        <f>$C101*$E$95*VLOOKUP($B101,'Standard values'!$C$9:$S$162,9, FALSE)/$E$163</f>
        <v>4.596666666666667E-6</v>
      </c>
      <c r="L101" s="516">
        <f>I101*'Standard values'!$D$10+J101*'Standard values'!$D$11+K101*'Standard values'!$D$12</f>
        <v>0.10902343666666668</v>
      </c>
      <c r="M101" s="379"/>
      <c r="N101" s="562">
        <f>+L101/E$60</f>
        <v>2.9229183370333338</v>
      </c>
      <c r="O101" s="379"/>
    </row>
    <row r="102" spans="1:15" ht="14.25" x14ac:dyDescent="0.25">
      <c r="A102" s="519"/>
      <c r="B102" s="520"/>
      <c r="C102" s="520"/>
      <c r="D102" s="520"/>
      <c r="E102" s="519"/>
      <c r="F102" s="521"/>
      <c r="G102" s="521"/>
      <c r="H102" s="521" t="s">
        <v>534</v>
      </c>
      <c r="I102" s="520"/>
      <c r="J102" s="523" t="s">
        <v>1048</v>
      </c>
      <c r="K102" s="549"/>
      <c r="L102" s="525">
        <f>L101+L97</f>
        <v>0.60397867724853915</v>
      </c>
      <c r="M102" s="379"/>
      <c r="N102" s="545">
        <f>+L102/E$60</f>
        <v>16.192668337033336</v>
      </c>
      <c r="O102" s="379"/>
    </row>
    <row r="103" spans="1:15" x14ac:dyDescent="0.2">
      <c r="A103" s="390"/>
      <c r="B103" s="390"/>
      <c r="C103" s="390"/>
      <c r="D103" s="390"/>
      <c r="E103" s="390"/>
      <c r="F103" s="376"/>
      <c r="G103" s="376"/>
      <c r="H103" s="376"/>
      <c r="I103" s="390"/>
      <c r="J103" s="550"/>
      <c r="K103" s="551"/>
      <c r="L103" s="552"/>
      <c r="M103" s="379"/>
      <c r="N103" s="390"/>
      <c r="O103" s="379"/>
    </row>
    <row r="104" spans="1:15" x14ac:dyDescent="0.2">
      <c r="A104" s="390"/>
      <c r="B104" s="390"/>
      <c r="C104" s="390"/>
      <c r="D104" s="390"/>
      <c r="E104" s="390"/>
      <c r="F104" s="376"/>
      <c r="G104" s="376"/>
      <c r="H104" s="376"/>
      <c r="I104" s="390"/>
      <c r="J104" s="550"/>
      <c r="K104" s="551"/>
      <c r="L104" s="552"/>
      <c r="M104" s="379"/>
      <c r="N104" s="379"/>
      <c r="O104" s="379"/>
    </row>
    <row r="105" spans="1:15" ht="15.75" x14ac:dyDescent="0.25">
      <c r="A105" s="530" t="s">
        <v>810</v>
      </c>
      <c r="B105" s="531"/>
      <c r="C105" s="531"/>
      <c r="D105" s="531"/>
      <c r="E105" s="530" t="s">
        <v>513</v>
      </c>
      <c r="F105" s="531"/>
      <c r="G105" s="531"/>
      <c r="H105" s="531"/>
      <c r="I105" s="531"/>
      <c r="J105" s="531"/>
      <c r="K105" s="531"/>
      <c r="L105" s="596"/>
      <c r="M105" s="379"/>
      <c r="N105" s="535" t="s">
        <v>162</v>
      </c>
      <c r="O105" s="379"/>
    </row>
    <row r="106" spans="1:15" ht="15.75" x14ac:dyDescent="0.3">
      <c r="A106" s="503"/>
      <c r="B106" s="511" t="s">
        <v>499</v>
      </c>
      <c r="C106" s="593">
        <v>1</v>
      </c>
      <c r="D106" s="495" t="s">
        <v>497</v>
      </c>
      <c r="E106" s="513">
        <f>E94*C106</f>
        <v>31180.89775715406</v>
      </c>
      <c r="F106" s="495" t="s">
        <v>1030</v>
      </c>
      <c r="G106" s="495"/>
      <c r="H106" s="495"/>
      <c r="I106" s="492" t="s">
        <v>138</v>
      </c>
      <c r="J106" s="514"/>
      <c r="K106" s="514"/>
      <c r="L106" s="537"/>
      <c r="M106" s="379"/>
      <c r="N106" s="554" t="s">
        <v>1010</v>
      </c>
      <c r="O106" s="379"/>
    </row>
    <row r="107" spans="1:15" ht="15.75" x14ac:dyDescent="0.3">
      <c r="A107" s="503"/>
      <c r="B107" s="495"/>
      <c r="C107" s="495"/>
      <c r="D107" s="495"/>
      <c r="E107" s="505">
        <f>E95*C106</f>
        <v>0.5106181569991658</v>
      </c>
      <c r="F107" s="506" t="s">
        <v>816</v>
      </c>
      <c r="G107" s="506"/>
      <c r="H107" s="495"/>
      <c r="I107" s="539" t="s">
        <v>1053</v>
      </c>
      <c r="J107" s="539" t="s">
        <v>1054</v>
      </c>
      <c r="K107" s="539" t="s">
        <v>1055</v>
      </c>
      <c r="L107" s="540" t="s">
        <v>1056</v>
      </c>
      <c r="M107" s="379"/>
      <c r="N107" s="540" t="s">
        <v>1056</v>
      </c>
      <c r="O107" s="379"/>
    </row>
    <row r="108" spans="1:15" x14ac:dyDescent="0.2">
      <c r="A108" s="503"/>
      <c r="B108" s="511" t="s">
        <v>498</v>
      </c>
      <c r="C108" s="495"/>
      <c r="D108" s="495"/>
      <c r="E108" s="513"/>
      <c r="F108" s="495"/>
      <c r="G108" s="495"/>
      <c r="H108" s="495"/>
      <c r="I108" s="495"/>
      <c r="J108" s="495"/>
      <c r="K108" s="495"/>
      <c r="L108" s="541"/>
      <c r="M108" s="379"/>
      <c r="N108" s="541"/>
      <c r="O108" s="379"/>
    </row>
    <row r="109" spans="1:15" ht="15.75" x14ac:dyDescent="0.3">
      <c r="A109" s="503"/>
      <c r="B109" s="495" t="s">
        <v>159</v>
      </c>
      <c r="C109" s="542">
        <v>150</v>
      </c>
      <c r="D109" s="495" t="s">
        <v>510</v>
      </c>
      <c r="E109" s="543">
        <f>(C109*E107/VLOOKUP($B106,'Standard values'!$C$9:$S$162,14, FALSE))/1000</f>
        <v>2.8568714490814951E-3</v>
      </c>
      <c r="F109" s="495" t="s">
        <v>100</v>
      </c>
      <c r="G109" s="495"/>
      <c r="H109" s="495"/>
      <c r="I109" s="544">
        <f>$E109*VLOOKUP($B109,'Standard values'!$C$9:$S$162,15, FALSE)*VLOOKUP(C110,'Standard values'!$C$9:$S$162,7, FALSE)/$E$163</f>
        <v>0.4942558746736293</v>
      </c>
      <c r="J109" s="544">
        <f>$E109*((VLOOKUP($B109,'Standard values'!$C$9:$S$162,15, FALSE)*VLOOKUP(C110,'Standard values'!$C$9:$S$162,8, FALSE))+VLOOKUP($B109,'Standard values'!$C$9:$S$162,16, FALSE))/$E$163</f>
        <v>2.7974636329727717E-5</v>
      </c>
      <c r="K109" s="544">
        <f>$E109*((VLOOKUP($B109,'Standard values'!$C$9:$S$162,15, FALSE)*VLOOKUP(C110,'Standard values'!$C$9:$S$162,9, FALSE))+VLOOKUP($B109,'Standard values'!$C$9:$S$162,17, FALSE))/$E$163</f>
        <v>0</v>
      </c>
      <c r="L109" s="516">
        <f>I109*'Standard values'!$D$10+J109*'Standard values'!$D$11+K109*'Standard values'!$D$12</f>
        <v>0.49495524058187251</v>
      </c>
      <c r="M109" s="379"/>
      <c r="N109" s="562">
        <f>+L109/E$60</f>
        <v>13.269750000000002</v>
      </c>
      <c r="O109" s="379"/>
    </row>
    <row r="110" spans="1:15" x14ac:dyDescent="0.2">
      <c r="A110" s="503"/>
      <c r="B110" s="546" t="s">
        <v>54</v>
      </c>
      <c r="C110" s="547" t="s">
        <v>509</v>
      </c>
      <c r="D110" s="495"/>
      <c r="E110" s="503"/>
      <c r="F110" s="495"/>
      <c r="G110" s="495"/>
      <c r="H110" s="495"/>
      <c r="I110" s="544"/>
      <c r="J110" s="544"/>
      <c r="K110" s="544"/>
      <c r="L110" s="516"/>
      <c r="M110" s="379"/>
      <c r="N110" s="562"/>
      <c r="O110" s="379"/>
    </row>
    <row r="111" spans="1:15" x14ac:dyDescent="0.2">
      <c r="A111" s="503"/>
      <c r="B111" s="495"/>
      <c r="C111" s="495"/>
      <c r="D111" s="495"/>
      <c r="E111" s="505"/>
      <c r="F111" s="506"/>
      <c r="G111" s="506"/>
      <c r="H111" s="495"/>
      <c r="I111" s="539"/>
      <c r="J111" s="539"/>
      <c r="K111" s="539"/>
      <c r="L111" s="690"/>
      <c r="M111" s="379"/>
      <c r="N111" s="540"/>
      <c r="O111" s="379"/>
    </row>
    <row r="112" spans="1:15" x14ac:dyDescent="0.2">
      <c r="A112" s="503"/>
      <c r="B112" s="511" t="s">
        <v>441</v>
      </c>
      <c r="C112" s="495"/>
      <c r="D112" s="495"/>
      <c r="E112" s="503"/>
      <c r="F112" s="495"/>
      <c r="G112" s="495"/>
      <c r="H112" s="495"/>
      <c r="I112" s="544"/>
      <c r="J112" s="544"/>
      <c r="K112" s="544"/>
      <c r="L112" s="584"/>
      <c r="M112" s="379"/>
      <c r="N112" s="541"/>
      <c r="O112" s="379"/>
    </row>
    <row r="113" spans="1:15" ht="15.75" x14ac:dyDescent="0.3">
      <c r="A113" s="503"/>
      <c r="B113" s="1301" t="s">
        <v>49</v>
      </c>
      <c r="C113" s="542">
        <v>3.3999999999999998E-3</v>
      </c>
      <c r="D113" s="495" t="s">
        <v>495</v>
      </c>
      <c r="E113" s="503"/>
      <c r="F113" s="495"/>
      <c r="G113" s="495"/>
      <c r="H113" s="495"/>
      <c r="I113" s="544">
        <f>$C113*$E$107*VLOOKUP($B113,'Standard values'!$C$9:$S$162,7, FALSE)/$E$163</f>
        <v>0.41070129999999994</v>
      </c>
      <c r="J113" s="544">
        <f>$C113*$E$107*VLOOKUP($B113,'Standard values'!$C$9:$S$162,8, FALSE)/$E$163</f>
        <v>1.0015833333333331E-3</v>
      </c>
      <c r="K113" s="544">
        <f>$C113*$E$107*VLOOKUP($B113,'Standard values'!$C$9:$S$162,9, FALSE)/$E$163</f>
        <v>1.8605555555555555E-5</v>
      </c>
      <c r="L113" s="516">
        <f>I113*'Standard values'!$D$10+J113*'Standard values'!$D$11+K113*'Standard values'!$D$12</f>
        <v>0.44128533888888882</v>
      </c>
      <c r="M113" s="379"/>
      <c r="N113" s="562">
        <f>+L113/$E$60</f>
        <v>11.830859935611109</v>
      </c>
      <c r="O113" s="379"/>
    </row>
    <row r="114" spans="1:15" ht="14.25" x14ac:dyDescent="0.25">
      <c r="A114" s="519"/>
      <c r="B114" s="520"/>
      <c r="C114" s="520"/>
      <c r="D114" s="520"/>
      <c r="E114" s="519"/>
      <c r="F114" s="521"/>
      <c r="G114" s="521"/>
      <c r="H114" s="521" t="s">
        <v>534</v>
      </c>
      <c r="I114" s="520"/>
      <c r="J114" s="523" t="s">
        <v>1048</v>
      </c>
      <c r="K114" s="549"/>
      <c r="L114" s="525">
        <f>L109+L113</f>
        <v>0.93624057947076134</v>
      </c>
      <c r="M114" s="379"/>
      <c r="N114" s="545">
        <f>+L114/$E$60</f>
        <v>25.100609935611111</v>
      </c>
      <c r="O114" s="379"/>
    </row>
    <row r="115" spans="1:15" x14ac:dyDescent="0.2">
      <c r="A115" s="390"/>
      <c r="B115" s="390"/>
      <c r="C115" s="390"/>
      <c r="D115" s="390"/>
      <c r="E115" s="390"/>
      <c r="F115" s="376"/>
      <c r="G115" s="376"/>
      <c r="H115" s="376"/>
      <c r="I115" s="390"/>
      <c r="J115" s="550"/>
      <c r="K115" s="551"/>
      <c r="L115" s="597"/>
      <c r="M115" s="379"/>
      <c r="N115" s="390"/>
      <c r="O115" s="379"/>
    </row>
    <row r="116" spans="1:15" x14ac:dyDescent="0.2">
      <c r="A116" s="390"/>
      <c r="B116" s="390"/>
      <c r="C116" s="390"/>
      <c r="D116" s="390"/>
      <c r="E116" s="390"/>
      <c r="F116" s="376"/>
      <c r="G116" s="376"/>
      <c r="H116" s="376"/>
      <c r="I116" s="390"/>
      <c r="J116" s="550"/>
      <c r="K116" s="551"/>
      <c r="L116" s="597"/>
      <c r="M116" s="379"/>
      <c r="N116" s="379"/>
      <c r="O116" s="379"/>
    </row>
    <row r="117" spans="1:15" ht="15.75" x14ac:dyDescent="0.25">
      <c r="A117" s="530" t="s">
        <v>546</v>
      </c>
      <c r="B117" s="598"/>
      <c r="C117" s="599"/>
      <c r="D117" s="531"/>
      <c r="E117" s="600"/>
      <c r="F117" s="531"/>
      <c r="G117" s="531"/>
      <c r="H117" s="531"/>
      <c r="I117" s="531"/>
      <c r="J117" s="531"/>
      <c r="K117" s="531"/>
      <c r="L117" s="601"/>
      <c r="M117" s="379"/>
      <c r="N117" s="379"/>
      <c r="O117" s="379"/>
    </row>
    <row r="118" spans="1:15" ht="15.75" x14ac:dyDescent="0.25">
      <c r="A118" s="602"/>
      <c r="B118" s="603" t="s">
        <v>549</v>
      </c>
      <c r="C118" s="511" t="s">
        <v>908</v>
      </c>
      <c r="D118" s="495"/>
      <c r="E118" s="503"/>
      <c r="F118" s="495"/>
      <c r="G118" s="495"/>
      <c r="H118" s="495"/>
      <c r="I118" s="495"/>
      <c r="J118" s="495"/>
      <c r="K118" s="495"/>
      <c r="L118" s="537"/>
      <c r="M118" s="379"/>
      <c r="N118" s="390"/>
      <c r="O118" s="390"/>
    </row>
    <row r="119" spans="1:15" ht="15.75" x14ac:dyDescent="0.25">
      <c r="A119" s="602"/>
      <c r="B119" s="511"/>
      <c r="C119" s="668"/>
      <c r="D119" s="691" t="s">
        <v>431</v>
      </c>
      <c r="E119" s="692" t="str">
        <f>IF(D121="Yes","From :  ", " ")</f>
        <v xml:space="preserve"> </v>
      </c>
      <c r="F119" s="1422" t="str">
        <f>IF(D121="Yes",LUC!H$35 &amp; " ; " &amp; LUC!H$36 &amp; " ; " &amp; LUC!H$39 &amp; " ; " &amp; LUC!H$40 &amp; " ; " &amp; LUC!H$45 &amp; " ; " &amp; LUC!H$46 &amp; " ; " &amp; LUC!H$47, " ")</f>
        <v xml:space="preserve"> </v>
      </c>
      <c r="G119" s="1422"/>
      <c r="H119" s="1422"/>
      <c r="I119" s="1422"/>
      <c r="J119" s="1422"/>
      <c r="K119" s="1422"/>
      <c r="L119" s="1423"/>
      <c r="M119" s="379"/>
      <c r="N119" s="390"/>
      <c r="O119" s="390"/>
    </row>
    <row r="120" spans="1:15" ht="15.75" x14ac:dyDescent="0.25">
      <c r="A120" s="602"/>
      <c r="B120" s="539" t="s">
        <v>450</v>
      </c>
      <c r="C120" s="693" t="s">
        <v>431</v>
      </c>
      <c r="D120" s="691" t="s">
        <v>432</v>
      </c>
      <c r="E120" s="513"/>
      <c r="F120" s="1422"/>
      <c r="G120" s="1422"/>
      <c r="H120" s="1422"/>
      <c r="I120" s="1422"/>
      <c r="J120" s="1422"/>
      <c r="K120" s="1422"/>
      <c r="L120" s="1423"/>
      <c r="M120" s="379"/>
      <c r="N120" s="390"/>
      <c r="O120" s="390"/>
    </row>
    <row r="121" spans="1:15" ht="15.75" x14ac:dyDescent="0.25">
      <c r="A121" s="602"/>
      <c r="B121" s="511"/>
      <c r="C121" s="670" t="str">
        <f>IF(D121="Yes","Go to", " ")</f>
        <v xml:space="preserve"> </v>
      </c>
      <c r="D121" s="691" t="s">
        <v>432</v>
      </c>
      <c r="E121" s="692" t="str">
        <f>IF(D121="Yes","To    :   ", " ")</f>
        <v xml:space="preserve"> </v>
      </c>
      <c r="F121" s="1424" t="str">
        <f>IF(D121="Yes", LUC!D$35 &amp; " ; " &amp; LUC!D$36 &amp; " ; " &amp; LUC!D$39 &amp; " ; " &amp; LUC!D$40 &amp; " ; " &amp; LUC!D$45 &amp; " ; " &amp; LUC!D$46 &amp; " ; " &amp; LUC!D$47, " ")</f>
        <v xml:space="preserve"> </v>
      </c>
      <c r="G121" s="1424"/>
      <c r="H121" s="1424"/>
      <c r="I121" s="1424"/>
      <c r="J121" s="1424"/>
      <c r="K121" s="1424"/>
      <c r="L121" s="1425"/>
      <c r="M121" s="379"/>
      <c r="N121" s="390"/>
      <c r="O121" s="390"/>
    </row>
    <row r="122" spans="1:15" ht="15.75" x14ac:dyDescent="0.25">
      <c r="A122" s="602"/>
      <c r="B122" s="416"/>
      <c r="C122" s="671" t="str">
        <f>IF(D121="Yes","sheet 'LUC' ", " ")</f>
        <v xml:space="preserve"> </v>
      </c>
      <c r="D122" s="495"/>
      <c r="E122" s="696"/>
      <c r="F122" s="1424"/>
      <c r="G122" s="1424"/>
      <c r="H122" s="1424"/>
      <c r="I122" s="1424"/>
      <c r="J122" s="1424"/>
      <c r="K122" s="1424"/>
      <c r="L122" s="1425"/>
      <c r="M122" s="379"/>
      <c r="N122" s="390"/>
      <c r="O122" s="390"/>
    </row>
    <row r="123" spans="1:15" ht="15.75" x14ac:dyDescent="0.25">
      <c r="A123" s="602"/>
      <c r="B123" s="416"/>
      <c r="C123" s="670" t="str">
        <f>IF(D121="Yes","to calculate the land use change", " ")</f>
        <v xml:space="preserve"> </v>
      </c>
      <c r="D123" s="495"/>
      <c r="E123" s="696"/>
      <c r="F123" s="694"/>
      <c r="G123" s="694"/>
      <c r="H123" s="694"/>
      <c r="I123" s="492" t="s">
        <v>138</v>
      </c>
      <c r="J123" s="514"/>
      <c r="K123" s="694"/>
      <c r="L123" s="695"/>
      <c r="M123" s="379"/>
      <c r="N123" s="390"/>
      <c r="O123" s="390"/>
    </row>
    <row r="124" spans="1:15" ht="16.5" x14ac:dyDescent="0.3">
      <c r="A124" s="602"/>
      <c r="B124" s="416"/>
      <c r="C124" s="670"/>
      <c r="D124" s="495"/>
      <c r="E124" s="696"/>
      <c r="F124" s="694"/>
      <c r="G124" s="694"/>
      <c r="H124" s="694"/>
      <c r="I124" s="539" t="s">
        <v>1053</v>
      </c>
      <c r="J124" s="539" t="s">
        <v>1054</v>
      </c>
      <c r="K124" s="539" t="s">
        <v>1055</v>
      </c>
      <c r="L124" s="540" t="s">
        <v>1056</v>
      </c>
      <c r="M124" s="379"/>
      <c r="N124" s="390"/>
      <c r="O124" s="390"/>
    </row>
    <row r="125" spans="1:15" ht="16.5" x14ac:dyDescent="0.3">
      <c r="A125" s="602"/>
      <c r="B125" s="507" t="s">
        <v>451</v>
      </c>
      <c r="C125" s="697">
        <f>IF(D121="Yes",LUC!$J$86,0)</f>
        <v>0</v>
      </c>
      <c r="D125" s="497" t="s">
        <v>449</v>
      </c>
      <c r="E125" s="503"/>
      <c r="F125" s="495"/>
      <c r="G125" s="495"/>
      <c r="H125" s="495"/>
      <c r="I125" s="544">
        <f>$C125*1000000/$E$162</f>
        <v>0</v>
      </c>
      <c r="J125" s="544">
        <v>0</v>
      </c>
      <c r="K125" s="544">
        <v>0</v>
      </c>
      <c r="L125" s="419">
        <f>I125*'Standard values'!$D$10+J125*'Standard values'!$D$11+K125*'Standard values'!$D$12</f>
        <v>0</v>
      </c>
      <c r="M125" s="379"/>
      <c r="N125" s="390"/>
      <c r="O125" s="390"/>
    </row>
    <row r="126" spans="1:15" ht="15.75" x14ac:dyDescent="0.25">
      <c r="A126" s="602"/>
      <c r="B126" s="507"/>
      <c r="C126" s="698"/>
      <c r="D126" s="497"/>
      <c r="E126" s="503"/>
      <c r="F126" s="495"/>
      <c r="G126" s="495"/>
      <c r="H126" s="495"/>
      <c r="I126" s="544"/>
      <c r="J126" s="544"/>
      <c r="K126" s="544"/>
      <c r="L126" s="516">
        <f>SUM(L125:L125)</f>
        <v>0</v>
      </c>
      <c r="M126" s="379"/>
      <c r="N126" s="390"/>
      <c r="O126" s="390"/>
    </row>
    <row r="127" spans="1:15" ht="15.75" x14ac:dyDescent="0.25">
      <c r="A127" s="602"/>
      <c r="B127" s="416"/>
      <c r="C127" s="492"/>
      <c r="D127" s="495"/>
      <c r="E127" s="503"/>
      <c r="F127" s="495"/>
      <c r="G127" s="495"/>
      <c r="H127" s="495"/>
      <c r="I127" s="544"/>
      <c r="J127" s="544"/>
      <c r="K127" s="544"/>
      <c r="L127" s="516"/>
      <c r="M127" s="379"/>
      <c r="N127" s="390"/>
      <c r="O127" s="390"/>
    </row>
    <row r="128" spans="1:15" ht="15.75" x14ac:dyDescent="0.3">
      <c r="A128" s="503"/>
      <c r="B128" s="539" t="s">
        <v>452</v>
      </c>
      <c r="C128" s="595">
        <v>0</v>
      </c>
      <c r="D128" s="605" t="s">
        <v>1036</v>
      </c>
      <c r="E128" s="699"/>
      <c r="F128" s="495"/>
      <c r="G128" s="495"/>
      <c r="H128" s="495"/>
      <c r="I128" s="544">
        <f>-C128</f>
        <v>0</v>
      </c>
      <c r="J128" s="544">
        <v>0</v>
      </c>
      <c r="K128" s="544">
        <v>0</v>
      </c>
      <c r="L128" s="419">
        <f>I128*'Standard values'!$D$10+J128*'Standard values'!$D$11+K128*'Standard values'!$D$12</f>
        <v>0</v>
      </c>
      <c r="M128" s="379"/>
      <c r="N128" s="390"/>
      <c r="O128" s="390"/>
    </row>
    <row r="129" spans="1:15" x14ac:dyDescent="0.2">
      <c r="A129" s="503"/>
      <c r="B129" s="539" t="str">
        <f>IF(C128=-29,"Year of conversion:","")</f>
        <v/>
      </c>
      <c r="C129" s="539" t="str">
        <f>IF(D128=-29,"Year of conversion:","")</f>
        <v/>
      </c>
      <c r="D129" s="605" t="str">
        <f>IF(C128=-29,"Fill in the year of conversion","")</f>
        <v/>
      </c>
      <c r="E129" s="503"/>
      <c r="F129" s="495"/>
      <c r="G129" s="495"/>
      <c r="H129" s="495"/>
      <c r="I129" s="495"/>
      <c r="J129" s="495"/>
      <c r="K129" s="544"/>
      <c r="L129" s="516">
        <f>SUM(L128:L128)</f>
        <v>0</v>
      </c>
      <c r="M129" s="379"/>
      <c r="N129" s="390"/>
      <c r="O129" s="390"/>
    </row>
    <row r="130" spans="1:15" x14ac:dyDescent="0.2">
      <c r="A130" s="503"/>
      <c r="B130" s="539"/>
      <c r="C130" s="539"/>
      <c r="D130" s="605"/>
      <c r="E130" s="503"/>
      <c r="F130" s="495"/>
      <c r="G130" s="495"/>
      <c r="H130" s="495"/>
      <c r="I130" s="495"/>
      <c r="J130" s="495"/>
      <c r="K130" s="544"/>
      <c r="L130" s="700"/>
      <c r="M130" s="379"/>
      <c r="N130" s="390"/>
      <c r="O130" s="390"/>
    </row>
    <row r="131" spans="1:15" ht="14.25" x14ac:dyDescent="0.25">
      <c r="A131" s="519"/>
      <c r="B131" s="520"/>
      <c r="C131" s="520"/>
      <c r="D131" s="520"/>
      <c r="E131" s="519"/>
      <c r="F131" s="521"/>
      <c r="G131" s="521"/>
      <c r="H131" s="521" t="s">
        <v>534</v>
      </c>
      <c r="I131" s="520"/>
      <c r="J131" s="523" t="s">
        <v>1048</v>
      </c>
      <c r="K131" s="549"/>
      <c r="L131" s="525">
        <f>L126+L129</f>
        <v>0</v>
      </c>
      <c r="M131" s="379"/>
      <c r="N131" s="390"/>
      <c r="O131" s="390"/>
    </row>
    <row r="132" spans="1:15" x14ac:dyDescent="0.2">
      <c r="A132" s="390"/>
      <c r="B132" s="390"/>
      <c r="C132" s="390"/>
      <c r="D132" s="390"/>
      <c r="E132" s="390"/>
      <c r="F132" s="376"/>
      <c r="G132" s="376"/>
      <c r="H132" s="376"/>
      <c r="I132" s="390"/>
      <c r="J132" s="550"/>
      <c r="K132" s="551"/>
      <c r="L132" s="604"/>
      <c r="M132" s="379"/>
      <c r="N132" s="390"/>
      <c r="O132" s="390"/>
    </row>
    <row r="133" spans="1:15" x14ac:dyDescent="0.2">
      <c r="A133" s="390"/>
      <c r="B133" s="390"/>
      <c r="C133" s="390"/>
      <c r="D133" s="390"/>
      <c r="E133" s="390"/>
      <c r="F133" s="376"/>
      <c r="G133" s="376"/>
      <c r="H133" s="376"/>
      <c r="I133" s="390"/>
      <c r="J133" s="550"/>
      <c r="K133" s="551"/>
      <c r="L133" s="604"/>
      <c r="M133" s="379"/>
      <c r="N133" s="390"/>
      <c r="O133" s="390"/>
    </row>
    <row r="134" spans="1:15" ht="15.75" x14ac:dyDescent="0.25">
      <c r="A134" s="530" t="s">
        <v>547</v>
      </c>
      <c r="B134" s="598"/>
      <c r="C134" s="599"/>
      <c r="D134" s="531"/>
      <c r="E134" s="600"/>
      <c r="F134" s="531"/>
      <c r="G134" s="531"/>
      <c r="H134" s="531"/>
      <c r="I134" s="531"/>
      <c r="J134" s="531"/>
      <c r="K134" s="531"/>
      <c r="L134" s="601"/>
      <c r="M134" s="379"/>
      <c r="N134" s="390"/>
      <c r="O134" s="390"/>
    </row>
    <row r="135" spans="1:15" ht="15.75" x14ac:dyDescent="0.25">
      <c r="A135" s="602"/>
      <c r="B135" s="416" t="s">
        <v>548</v>
      </c>
      <c r="C135" s="492" t="s">
        <v>429</v>
      </c>
      <c r="D135" s="616"/>
      <c r="E135" s="503"/>
      <c r="F135" s="495"/>
      <c r="G135" s="495"/>
      <c r="H135" s="495"/>
      <c r="I135" s="492" t="s">
        <v>138</v>
      </c>
      <c r="J135" s="514"/>
      <c r="K135" s="514"/>
      <c r="L135" s="537"/>
      <c r="M135" s="379"/>
      <c r="N135" s="390"/>
      <c r="O135" s="390"/>
    </row>
    <row r="136" spans="1:15" ht="15.75" customHeight="1" x14ac:dyDescent="0.25">
      <c r="A136" s="602"/>
      <c r="B136" s="511"/>
      <c r="C136" s="668"/>
      <c r="D136" s="691" t="s">
        <v>431</v>
      </c>
      <c r="E136" s="692" t="str">
        <f>IF(D138="Yes","From :  ", " ")</f>
        <v xml:space="preserve"> </v>
      </c>
      <c r="F136" s="1422" t="str">
        <f>IF(D138="Yes",Esca!H$42 &amp; ", " &amp; Esca!H$43 &amp; " input ","")</f>
        <v/>
      </c>
      <c r="G136" s="1422"/>
      <c r="H136" s="1422"/>
      <c r="I136" s="1422"/>
      <c r="J136" s="1422"/>
      <c r="K136" s="1422"/>
      <c r="L136" s="1423"/>
      <c r="M136" s="379"/>
      <c r="N136" s="390"/>
      <c r="O136" s="390"/>
    </row>
    <row r="137" spans="1:15" ht="15.75" x14ac:dyDescent="0.25">
      <c r="A137" s="602"/>
      <c r="B137" s="539" t="s">
        <v>430</v>
      </c>
      <c r="C137" s="668"/>
      <c r="D137" s="691" t="s">
        <v>432</v>
      </c>
      <c r="E137" s="513"/>
      <c r="F137" s="1422"/>
      <c r="G137" s="1422"/>
      <c r="H137" s="1422"/>
      <c r="I137" s="1422"/>
      <c r="J137" s="1422"/>
      <c r="K137" s="1422"/>
      <c r="L137" s="1423"/>
      <c r="M137" s="379"/>
      <c r="N137" s="390"/>
      <c r="O137" s="390"/>
    </row>
    <row r="138" spans="1:15" ht="15.75" customHeight="1" x14ac:dyDescent="0.25">
      <c r="A138" s="602"/>
      <c r="B138" s="511"/>
      <c r="C138" s="670" t="str">
        <f>IF(D138="Yes","Go to", " ")</f>
        <v xml:space="preserve"> </v>
      </c>
      <c r="D138" s="691" t="s">
        <v>432</v>
      </c>
      <c r="E138" s="692" t="str">
        <f>IF(D138="Yes","To    :   ", " ")</f>
        <v xml:space="preserve"> </v>
      </c>
      <c r="F138" s="1422" t="str">
        <f>IF(D138="Yes",Esca!D$42 &amp; ", " &amp; Esca!D$43 &amp; " input ","")</f>
        <v/>
      </c>
      <c r="G138" s="1422"/>
      <c r="H138" s="1422"/>
      <c r="I138" s="1422"/>
      <c r="J138" s="1422"/>
      <c r="K138" s="1422"/>
      <c r="L138" s="1423"/>
      <c r="M138" s="379"/>
      <c r="N138" s="390"/>
      <c r="O138" s="390"/>
    </row>
    <row r="139" spans="1:15" ht="15.75" x14ac:dyDescent="0.25">
      <c r="A139" s="602"/>
      <c r="B139" s="416"/>
      <c r="C139" s="671" t="str">
        <f>IF(D138="Yes","sheet 'Esca' ", " ")</f>
        <v xml:space="preserve"> </v>
      </c>
      <c r="D139" s="495"/>
      <c r="E139" s="696"/>
      <c r="F139" s="1422"/>
      <c r="G139" s="1422"/>
      <c r="H139" s="1422"/>
      <c r="I139" s="1422"/>
      <c r="J139" s="1422"/>
      <c r="K139" s="1422"/>
      <c r="L139" s="1423"/>
      <c r="M139" s="379"/>
      <c r="N139" s="390"/>
      <c r="O139" s="390"/>
    </row>
    <row r="140" spans="1:15" ht="15.75" x14ac:dyDescent="0.25">
      <c r="A140" s="602"/>
      <c r="B140" s="416"/>
      <c r="C140" s="670" t="str">
        <f>IF(D138="Yes","to calculate the soil carbon accumulation", " ")</f>
        <v xml:space="preserve"> </v>
      </c>
      <c r="D140" s="495"/>
      <c r="E140" s="696"/>
      <c r="F140" s="694"/>
      <c r="G140" s="694"/>
      <c r="H140" s="694"/>
      <c r="I140" s="492" t="s">
        <v>138</v>
      </c>
      <c r="J140" s="514"/>
      <c r="K140" s="694"/>
      <c r="L140" s="695"/>
      <c r="M140" s="379"/>
      <c r="N140" s="390"/>
      <c r="O140" s="390"/>
    </row>
    <row r="141" spans="1:15" ht="16.5" x14ac:dyDescent="0.3">
      <c r="A141" s="602"/>
      <c r="B141" s="416"/>
      <c r="C141" s="670"/>
      <c r="D141" s="495"/>
      <c r="E141" s="696"/>
      <c r="F141" s="694"/>
      <c r="G141" s="694"/>
      <c r="H141" s="694"/>
      <c r="I141" s="539" t="s">
        <v>1053</v>
      </c>
      <c r="J141" s="539" t="s">
        <v>1054</v>
      </c>
      <c r="K141" s="539" t="s">
        <v>1055</v>
      </c>
      <c r="L141" s="540" t="s">
        <v>1056</v>
      </c>
      <c r="M141" s="379"/>
      <c r="N141" s="390"/>
      <c r="O141" s="390"/>
    </row>
    <row r="142" spans="1:15" ht="16.5" x14ac:dyDescent="0.3">
      <c r="A142" s="602"/>
      <c r="B142" s="507" t="s">
        <v>807</v>
      </c>
      <c r="C142" s="697">
        <f>IF(D138="yes",Esca!$J$81,0)</f>
        <v>0</v>
      </c>
      <c r="D142" s="497" t="s">
        <v>449</v>
      </c>
      <c r="E142" s="503"/>
      <c r="F142" s="495"/>
      <c r="G142" s="495"/>
      <c r="H142" s="495"/>
      <c r="I142" s="544">
        <f>$C142*1000000/$E$162</f>
        <v>0</v>
      </c>
      <c r="J142" s="544">
        <v>0</v>
      </c>
      <c r="K142" s="544">
        <v>0</v>
      </c>
      <c r="L142" s="419">
        <f>I142*'Standard values'!$D$10+J142*'Standard values'!$D$11+K142*'Standard values'!$D$12</f>
        <v>0</v>
      </c>
      <c r="M142" s="379"/>
      <c r="N142" s="390"/>
      <c r="O142" s="390"/>
    </row>
    <row r="143" spans="1:15" x14ac:dyDescent="0.2">
      <c r="A143" s="503"/>
      <c r="B143" s="539"/>
      <c r="C143" s="539"/>
      <c r="D143" s="605"/>
      <c r="E143" s="503"/>
      <c r="F143" s="495"/>
      <c r="G143" s="495"/>
      <c r="H143" s="495"/>
      <c r="I143" s="495"/>
      <c r="J143" s="495"/>
      <c r="K143" s="544"/>
      <c r="L143" s="516">
        <f>SUM(L142:L142)</f>
        <v>0</v>
      </c>
      <c r="M143" s="379"/>
      <c r="N143" s="390"/>
      <c r="O143" s="390"/>
    </row>
    <row r="144" spans="1:15" x14ac:dyDescent="0.2">
      <c r="A144" s="503"/>
      <c r="B144" s="539"/>
      <c r="C144" s="539"/>
      <c r="D144" s="605"/>
      <c r="E144" s="503"/>
      <c r="F144" s="495"/>
      <c r="G144" s="495"/>
      <c r="H144" s="495"/>
      <c r="I144" s="495"/>
      <c r="J144" s="495"/>
      <c r="K144" s="544"/>
      <c r="L144" s="700"/>
      <c r="M144" s="379"/>
      <c r="N144" s="390"/>
      <c r="O144" s="390"/>
    </row>
    <row r="145" spans="1:15" ht="14.25" x14ac:dyDescent="0.25">
      <c r="A145" s="519"/>
      <c r="B145" s="520"/>
      <c r="C145" s="520"/>
      <c r="D145" s="520"/>
      <c r="E145" s="519"/>
      <c r="F145" s="521"/>
      <c r="G145" s="521"/>
      <c r="H145" s="521" t="s">
        <v>534</v>
      </c>
      <c r="I145" s="520"/>
      <c r="J145" s="523" t="s">
        <v>1048</v>
      </c>
      <c r="K145" s="549"/>
      <c r="L145" s="525">
        <f>L143</f>
        <v>0</v>
      </c>
      <c r="M145" s="379"/>
      <c r="N145" s="390"/>
      <c r="O145" s="390"/>
    </row>
    <row r="146" spans="1:15" x14ac:dyDescent="0.2">
      <c r="A146" s="390"/>
      <c r="B146" s="390"/>
      <c r="C146" s="390"/>
      <c r="D146" s="390"/>
      <c r="E146" s="390"/>
      <c r="F146" s="376"/>
      <c r="G146" s="376"/>
      <c r="H146" s="376"/>
      <c r="I146" s="390"/>
      <c r="J146" s="550"/>
      <c r="K146" s="551"/>
      <c r="L146" s="604"/>
      <c r="M146" s="379"/>
      <c r="N146" s="390"/>
      <c r="O146" s="390"/>
    </row>
    <row r="147" spans="1:15" x14ac:dyDescent="0.2">
      <c r="A147" s="390"/>
      <c r="B147" s="390"/>
      <c r="C147" s="390"/>
      <c r="D147" s="390" t="s">
        <v>432</v>
      </c>
      <c r="E147" s="390"/>
      <c r="F147" s="376"/>
      <c r="G147" s="376"/>
      <c r="H147" s="376"/>
      <c r="I147" s="390"/>
      <c r="J147" s="550"/>
      <c r="K147" s="551"/>
      <c r="L147" s="604"/>
      <c r="M147" s="379"/>
      <c r="N147" s="390"/>
      <c r="O147" s="390"/>
    </row>
    <row r="148" spans="1:15" ht="18.75" x14ac:dyDescent="0.35">
      <c r="A148" s="530" t="s">
        <v>168</v>
      </c>
      <c r="B148" s="598"/>
      <c r="C148" s="599"/>
      <c r="D148" s="531"/>
      <c r="E148" s="600"/>
      <c r="F148" s="531"/>
      <c r="G148" s="531"/>
      <c r="H148" s="531"/>
      <c r="I148" s="531"/>
      <c r="J148" s="531"/>
      <c r="K148" s="531"/>
      <c r="L148" s="601"/>
      <c r="M148" s="379"/>
      <c r="N148" s="390"/>
      <c r="O148" s="390"/>
    </row>
    <row r="149" spans="1:15" ht="15.75" x14ac:dyDescent="0.25">
      <c r="A149" s="602"/>
      <c r="B149" s="416" t="s">
        <v>166</v>
      </c>
      <c r="C149" s="492"/>
      <c r="D149" s="495"/>
      <c r="E149" s="503"/>
      <c r="F149" s="495"/>
      <c r="G149" s="495"/>
      <c r="H149" s="495"/>
      <c r="I149" s="492" t="s">
        <v>138</v>
      </c>
      <c r="J149" s="514"/>
      <c r="K149" s="514"/>
      <c r="L149" s="537"/>
      <c r="M149" s="379"/>
      <c r="N149" s="390"/>
      <c r="O149" s="390"/>
    </row>
    <row r="150" spans="1:15" ht="15.75" x14ac:dyDescent="0.3">
      <c r="A150" s="503"/>
      <c r="B150" s="539"/>
      <c r="C150" s="595">
        <v>0</v>
      </c>
      <c r="D150" s="605" t="s">
        <v>1036</v>
      </c>
      <c r="E150" s="503"/>
      <c r="F150" s="495"/>
      <c r="G150" s="495"/>
      <c r="H150" s="495"/>
      <c r="I150" s="495"/>
      <c r="J150" s="495"/>
      <c r="K150" s="544"/>
      <c r="L150" s="516">
        <f>C150</f>
        <v>0</v>
      </c>
      <c r="M150" s="379"/>
      <c r="N150" s="390"/>
      <c r="O150" s="390"/>
    </row>
    <row r="151" spans="1:15" ht="14.25" x14ac:dyDescent="0.25">
      <c r="A151" s="519"/>
      <c r="B151" s="520"/>
      <c r="C151" s="770"/>
      <c r="D151" s="520"/>
      <c r="E151" s="519"/>
      <c r="F151" s="521"/>
      <c r="G151" s="521"/>
      <c r="H151" s="521" t="s">
        <v>534</v>
      </c>
      <c r="I151" s="520"/>
      <c r="J151" s="523" t="s">
        <v>1048</v>
      </c>
      <c r="K151" s="549"/>
      <c r="L151" s="525">
        <f>C150</f>
        <v>0</v>
      </c>
      <c r="M151" s="379"/>
      <c r="N151" s="390"/>
      <c r="O151" s="390"/>
    </row>
    <row r="152" spans="1:15" x14ac:dyDescent="0.2">
      <c r="A152" s="390"/>
      <c r="B152" s="390"/>
      <c r="C152" s="390"/>
      <c r="D152" s="390"/>
      <c r="E152" s="390"/>
      <c r="F152" s="376"/>
      <c r="G152" s="376"/>
      <c r="H152" s="376"/>
      <c r="I152" s="390"/>
      <c r="J152" s="550"/>
      <c r="K152" s="551"/>
      <c r="L152" s="604"/>
      <c r="M152" s="379"/>
      <c r="N152" s="390"/>
      <c r="O152" s="390"/>
    </row>
    <row r="153" spans="1:15" x14ac:dyDescent="0.2">
      <c r="A153" s="390"/>
      <c r="B153" s="390"/>
      <c r="C153" s="390"/>
      <c r="D153" s="390"/>
      <c r="E153" s="390"/>
      <c r="F153" s="376"/>
      <c r="G153" s="376"/>
      <c r="H153" s="376"/>
      <c r="I153" s="390"/>
      <c r="J153" s="550"/>
      <c r="K153" s="551"/>
      <c r="L153" s="604"/>
      <c r="M153" s="379"/>
      <c r="N153" s="390"/>
      <c r="O153" s="390"/>
    </row>
    <row r="154" spans="1:15" ht="18.75" x14ac:dyDescent="0.35">
      <c r="A154" s="530" t="s">
        <v>169</v>
      </c>
      <c r="B154" s="598"/>
      <c r="C154" s="599"/>
      <c r="D154" s="531"/>
      <c r="E154" s="600"/>
      <c r="F154" s="531"/>
      <c r="G154" s="531"/>
      <c r="H154" s="531"/>
      <c r="I154" s="531"/>
      <c r="J154" s="531"/>
      <c r="K154" s="531"/>
      <c r="L154" s="601"/>
      <c r="M154" s="379"/>
      <c r="N154" s="390"/>
      <c r="O154" s="390"/>
    </row>
    <row r="155" spans="1:15" ht="15.75" x14ac:dyDescent="0.25">
      <c r="A155" s="602"/>
      <c r="B155" s="416" t="s">
        <v>167</v>
      </c>
      <c r="C155" s="492"/>
      <c r="D155" s="495"/>
      <c r="E155" s="503"/>
      <c r="F155" s="495"/>
      <c r="G155" s="495"/>
      <c r="H155" s="495"/>
      <c r="I155" s="492" t="s">
        <v>138</v>
      </c>
      <c r="J155" s="514"/>
      <c r="K155" s="514"/>
      <c r="L155" s="537"/>
      <c r="M155" s="379"/>
      <c r="N155" s="390"/>
      <c r="O155" s="390"/>
    </row>
    <row r="156" spans="1:15" ht="15.75" x14ac:dyDescent="0.3">
      <c r="A156" s="503"/>
      <c r="B156" s="539"/>
      <c r="C156" s="595">
        <v>0</v>
      </c>
      <c r="D156" s="605" t="s">
        <v>1036</v>
      </c>
      <c r="E156" s="503"/>
      <c r="F156" s="495"/>
      <c r="G156" s="495"/>
      <c r="H156" s="495"/>
      <c r="I156" s="495"/>
      <c r="J156" s="495"/>
      <c r="K156" s="544"/>
      <c r="L156" s="516">
        <f>C156</f>
        <v>0</v>
      </c>
      <c r="M156" s="379"/>
      <c r="N156" s="390"/>
      <c r="O156" s="390"/>
    </row>
    <row r="157" spans="1:15" ht="14.25" x14ac:dyDescent="0.25">
      <c r="A157" s="519"/>
      <c r="B157" s="520"/>
      <c r="C157" s="520"/>
      <c r="D157" s="520"/>
      <c r="E157" s="519"/>
      <c r="F157" s="521"/>
      <c r="G157" s="521"/>
      <c r="H157" s="521" t="s">
        <v>534</v>
      </c>
      <c r="I157" s="520"/>
      <c r="J157" s="523" t="s">
        <v>1048</v>
      </c>
      <c r="K157" s="549"/>
      <c r="L157" s="525">
        <f>C156</f>
        <v>0</v>
      </c>
      <c r="M157" s="379"/>
      <c r="N157" s="390"/>
      <c r="O157" s="390"/>
    </row>
    <row r="158" spans="1:15" x14ac:dyDescent="0.2">
      <c r="A158" s="390"/>
      <c r="B158" s="390"/>
      <c r="C158" s="390"/>
      <c r="D158" s="390"/>
      <c r="E158" s="390"/>
      <c r="F158" s="376"/>
      <c r="G158" s="376"/>
      <c r="H158" s="376"/>
      <c r="I158" s="390"/>
      <c r="J158" s="550"/>
      <c r="K158" s="551"/>
      <c r="L158" s="604"/>
      <c r="M158" s="379"/>
      <c r="N158" s="390"/>
      <c r="O158" s="390"/>
    </row>
    <row r="159" spans="1:15" x14ac:dyDescent="0.2">
      <c r="A159" s="390"/>
      <c r="B159" s="390"/>
      <c r="C159" s="390"/>
      <c r="D159" s="390"/>
      <c r="E159" s="390"/>
      <c r="F159" s="376"/>
      <c r="G159" s="376"/>
      <c r="H159" s="376"/>
      <c r="I159" s="390"/>
      <c r="J159" s="550"/>
      <c r="K159" s="551"/>
      <c r="L159" s="604"/>
      <c r="M159" s="379"/>
      <c r="N159" s="390"/>
      <c r="O159" s="390"/>
    </row>
    <row r="160" spans="1:15" ht="15.75" x14ac:dyDescent="0.25">
      <c r="A160" s="530" t="s">
        <v>457</v>
      </c>
      <c r="B160" s="531"/>
      <c r="C160" s="531"/>
      <c r="D160" s="531"/>
      <c r="E160" s="532"/>
      <c r="F160" s="606"/>
      <c r="G160" s="606"/>
      <c r="H160" s="606"/>
      <c r="I160" s="607"/>
      <c r="J160" s="608"/>
      <c r="K160" s="607"/>
      <c r="L160" s="609"/>
      <c r="M160" s="379"/>
      <c r="N160" s="390"/>
      <c r="O160" s="390"/>
    </row>
    <row r="161" spans="1:15" ht="15.75" x14ac:dyDescent="0.25">
      <c r="A161" s="610"/>
      <c r="B161" s="611"/>
      <c r="C161" s="611"/>
      <c r="D161" s="611"/>
      <c r="E161" s="612"/>
      <c r="F161" s="613"/>
      <c r="G161" s="613"/>
      <c r="H161" s="613"/>
      <c r="I161" s="613"/>
      <c r="J161" s="613"/>
      <c r="K161" s="613"/>
      <c r="L161" s="614"/>
      <c r="M161" s="379"/>
      <c r="N161" s="390"/>
      <c r="O161" s="390"/>
    </row>
    <row r="162" spans="1:15" ht="15.75" x14ac:dyDescent="0.3">
      <c r="A162" s="503"/>
      <c r="B162" s="495"/>
      <c r="C162" s="495"/>
      <c r="D162" s="546" t="s">
        <v>300</v>
      </c>
      <c r="E162" s="702">
        <f>E22*C47*C58*C94*C106</f>
        <v>31180.89775715406</v>
      </c>
      <c r="F162" s="495" t="s">
        <v>1030</v>
      </c>
      <c r="G162" s="495"/>
      <c r="H162" s="495"/>
      <c r="I162" s="495"/>
      <c r="J162" s="495"/>
      <c r="K162" s="495"/>
      <c r="L162" s="616"/>
      <c r="M162" s="379"/>
      <c r="N162" s="390"/>
      <c r="O162" s="390"/>
    </row>
    <row r="163" spans="1:15" ht="15.75" x14ac:dyDescent="0.3">
      <c r="A163" s="503"/>
      <c r="B163" s="495"/>
      <c r="C163" s="495"/>
      <c r="D163" s="546" t="s">
        <v>299</v>
      </c>
      <c r="E163" s="615">
        <f>E162/E22</f>
        <v>0.5106181569991658</v>
      </c>
      <c r="F163" s="495" t="s">
        <v>102</v>
      </c>
      <c r="G163" s="495"/>
      <c r="H163" s="495"/>
      <c r="I163" s="544"/>
      <c r="J163" s="495"/>
      <c r="K163" s="495"/>
      <c r="L163" s="616"/>
      <c r="M163" s="379"/>
      <c r="N163" s="390"/>
      <c r="O163" s="390"/>
    </row>
    <row r="164" spans="1:15" x14ac:dyDescent="0.2">
      <c r="A164" s="503"/>
      <c r="B164" s="495"/>
      <c r="C164" s="495"/>
      <c r="D164" s="495"/>
      <c r="E164" s="495"/>
      <c r="F164" s="617"/>
      <c r="G164" s="617"/>
      <c r="H164" s="495"/>
      <c r="I164" s="544"/>
      <c r="J164" s="495"/>
      <c r="K164" s="495"/>
      <c r="L164" s="616"/>
      <c r="M164" s="379"/>
      <c r="N164" s="390"/>
      <c r="O164" s="390"/>
    </row>
    <row r="165" spans="1:15" x14ac:dyDescent="0.2">
      <c r="A165" s="503"/>
      <c r="B165" s="495"/>
      <c r="C165" s="495"/>
      <c r="D165" s="495"/>
      <c r="E165" s="495"/>
      <c r="F165" s="617"/>
      <c r="G165" s="617"/>
      <c r="H165" s="495"/>
      <c r="I165" s="495"/>
      <c r="J165" s="495"/>
      <c r="K165" s="495"/>
      <c r="L165" s="616"/>
      <c r="M165" s="379"/>
      <c r="N165" s="390"/>
      <c r="O165" s="390"/>
    </row>
    <row r="166" spans="1:15" ht="14.25" x14ac:dyDescent="0.25">
      <c r="A166" s="618"/>
      <c r="B166" s="619"/>
      <c r="C166" s="619"/>
      <c r="D166" s="619"/>
      <c r="E166" s="620" t="s">
        <v>1059</v>
      </c>
      <c r="F166" s="621"/>
      <c r="G166" s="621"/>
      <c r="H166" s="622"/>
      <c r="I166" s="622"/>
      <c r="J166" s="620" t="s">
        <v>885</v>
      </c>
      <c r="K166" s="622"/>
      <c r="L166" s="623">
        <f>L43+L53+L81+L102+L114+L131-L145-L151-L157</f>
        <v>78.481004191423693</v>
      </c>
      <c r="M166" s="379"/>
      <c r="N166" s="390"/>
      <c r="O166" s="390"/>
    </row>
    <row r="167" spans="1:15" ht="14.25" x14ac:dyDescent="0.25">
      <c r="A167" s="624"/>
      <c r="B167" s="625"/>
      <c r="C167" s="626"/>
      <c r="D167" s="619"/>
      <c r="E167" s="620" t="s">
        <v>1060</v>
      </c>
      <c r="F167" s="622"/>
      <c r="G167" s="622"/>
      <c r="H167" s="622"/>
      <c r="I167" s="622"/>
      <c r="J167" s="620" t="s">
        <v>885</v>
      </c>
      <c r="K167" s="622"/>
      <c r="L167" s="627">
        <f>L90+L102+L114+(L126*J6)+L129-L145-L151-L157</f>
        <v>43.561940066689047</v>
      </c>
      <c r="M167" s="379"/>
      <c r="N167" s="390"/>
      <c r="O167" s="390"/>
    </row>
    <row r="168" spans="1:15" x14ac:dyDescent="0.2">
      <c r="A168" s="618"/>
      <c r="B168" s="619"/>
      <c r="C168" s="619"/>
      <c r="D168" s="619"/>
      <c r="E168" s="622"/>
      <c r="F168" s="622"/>
      <c r="G168" s="622"/>
      <c r="H168" s="622"/>
      <c r="I168" s="622"/>
      <c r="J168" s="622"/>
      <c r="K168" s="622"/>
      <c r="L168" s="628"/>
      <c r="M168" s="379"/>
      <c r="N168" s="390"/>
      <c r="O168" s="390"/>
    </row>
    <row r="169" spans="1:15" x14ac:dyDescent="0.2">
      <c r="A169" s="629"/>
      <c r="B169" s="630"/>
      <c r="C169" s="630"/>
      <c r="D169" s="630"/>
      <c r="E169" s="631" t="s">
        <v>1061</v>
      </c>
      <c r="F169" s="632"/>
      <c r="G169" s="632"/>
      <c r="H169" s="632"/>
      <c r="I169" s="632"/>
      <c r="J169" s="632"/>
      <c r="K169" s="632"/>
      <c r="L169" s="633">
        <f>(83.8-L167)/83.8</f>
        <v>0.48016777963378221</v>
      </c>
      <c r="M169" s="379"/>
      <c r="N169" s="390"/>
      <c r="O169" s="390"/>
    </row>
    <row r="170" spans="1:15" x14ac:dyDescent="0.2">
      <c r="M170" s="361"/>
    </row>
    <row r="171" spans="1:15" x14ac:dyDescent="0.2">
      <c r="E171" s="634"/>
      <c r="F171" s="634"/>
      <c r="G171" s="634"/>
      <c r="H171" s="635"/>
      <c r="I171" s="634"/>
      <c r="J171" s="634"/>
      <c r="K171" s="634"/>
      <c r="L171" s="636"/>
      <c r="M171" s="361"/>
    </row>
    <row r="172" spans="1:15" x14ac:dyDescent="0.2">
      <c r="F172" s="634"/>
      <c r="G172" s="634"/>
      <c r="H172" s="634"/>
      <c r="I172" s="637"/>
      <c r="J172" s="634"/>
      <c r="K172" s="634"/>
      <c r="L172" s="638"/>
      <c r="M172" s="639"/>
      <c r="N172" s="361"/>
    </row>
    <row r="173" spans="1:15" x14ac:dyDescent="0.2">
      <c r="F173" s="634"/>
      <c r="G173" s="634"/>
      <c r="H173" s="634"/>
      <c r="I173" s="637"/>
      <c r="J173" s="634"/>
      <c r="K173" s="634"/>
      <c r="L173" s="638"/>
      <c r="M173" s="639"/>
      <c r="N173" s="361"/>
    </row>
    <row r="174" spans="1:15" ht="15.75" x14ac:dyDescent="0.25">
      <c r="F174" s="640"/>
      <c r="G174" s="640"/>
      <c r="H174" s="634"/>
      <c r="I174" s="634"/>
      <c r="J174" s="634"/>
      <c r="K174" s="634"/>
      <c r="L174" s="634"/>
      <c r="M174" s="634"/>
      <c r="N174" s="361"/>
    </row>
    <row r="175" spans="1:15" x14ac:dyDescent="0.2">
      <c r="F175" s="634"/>
      <c r="G175" s="634"/>
      <c r="H175" s="637"/>
      <c r="I175" s="634"/>
      <c r="J175" s="634"/>
      <c r="K175" s="634"/>
      <c r="L175" s="634"/>
      <c r="M175" s="634"/>
      <c r="N175" s="634"/>
    </row>
    <row r="176" spans="1:15" x14ac:dyDescent="0.2">
      <c r="F176" s="637"/>
      <c r="G176" s="637"/>
      <c r="H176" s="634"/>
      <c r="I176" s="641"/>
      <c r="J176" s="634"/>
      <c r="K176" s="634"/>
      <c r="L176" s="634"/>
      <c r="M176" s="634"/>
      <c r="N176" s="634"/>
    </row>
    <row r="177" spans="6:14" x14ac:dyDescent="0.2">
      <c r="F177" s="637"/>
      <c r="G177" s="637"/>
      <c r="H177" s="634"/>
      <c r="I177" s="641"/>
      <c r="J177" s="634"/>
      <c r="K177" s="634"/>
      <c r="L177" s="634"/>
      <c r="M177" s="634"/>
      <c r="N177" s="634"/>
    </row>
    <row r="178" spans="6:14" x14ac:dyDescent="0.2">
      <c r="F178" s="634"/>
      <c r="G178" s="634"/>
      <c r="H178" s="639"/>
      <c r="I178" s="634"/>
      <c r="J178" s="634"/>
      <c r="K178" s="634"/>
      <c r="L178" s="634"/>
      <c r="M178" s="634"/>
      <c r="N178" s="634"/>
    </row>
    <row r="179" spans="6:14" x14ac:dyDescent="0.2">
      <c r="F179" s="634"/>
      <c r="G179" s="634"/>
      <c r="H179" s="634"/>
      <c r="I179" s="634"/>
      <c r="J179" s="634"/>
      <c r="K179" s="634"/>
      <c r="L179" s="634"/>
      <c r="M179" s="634"/>
      <c r="N179" s="634"/>
    </row>
    <row r="180" spans="6:14" x14ac:dyDescent="0.2">
      <c r="F180" s="634"/>
      <c r="G180" s="634"/>
      <c r="H180" s="634"/>
      <c r="I180" s="634"/>
      <c r="J180" s="634"/>
      <c r="K180" s="634"/>
      <c r="L180" s="634"/>
      <c r="M180" s="634"/>
      <c r="N180" s="634"/>
    </row>
    <row r="181" spans="6:14" x14ac:dyDescent="0.2">
      <c r="F181" s="634"/>
      <c r="G181" s="634"/>
      <c r="H181" s="634"/>
      <c r="I181" s="634"/>
      <c r="J181" s="634"/>
      <c r="K181" s="634"/>
      <c r="L181" s="634"/>
      <c r="M181" s="634"/>
      <c r="N181" s="634"/>
    </row>
    <row r="182" spans="6:14" x14ac:dyDescent="0.2">
      <c r="F182" s="634"/>
      <c r="G182" s="634"/>
      <c r="H182" s="634"/>
      <c r="I182" s="634"/>
      <c r="J182" s="634"/>
      <c r="K182" s="634"/>
      <c r="L182" s="634"/>
      <c r="M182" s="634"/>
      <c r="N182" s="634"/>
    </row>
    <row r="183" spans="6:14" x14ac:dyDescent="0.2">
      <c r="F183" s="634"/>
      <c r="G183" s="634"/>
      <c r="H183" s="634"/>
      <c r="I183" s="634"/>
      <c r="J183" s="634"/>
      <c r="K183" s="634"/>
      <c r="L183" s="634"/>
      <c r="M183" s="634"/>
      <c r="N183" s="634"/>
    </row>
    <row r="184" spans="6:14" x14ac:dyDescent="0.2">
      <c r="F184" s="634"/>
      <c r="G184" s="634"/>
      <c r="H184" s="634"/>
      <c r="I184" s="634"/>
      <c r="J184" s="634"/>
      <c r="K184" s="634"/>
      <c r="L184" s="634"/>
      <c r="M184" s="634"/>
      <c r="N184" s="634"/>
    </row>
    <row r="185" spans="6:14" x14ac:dyDescent="0.2">
      <c r="F185" s="634"/>
      <c r="G185" s="634"/>
      <c r="H185" s="634"/>
      <c r="I185" s="634"/>
      <c r="J185" s="634"/>
      <c r="K185" s="634"/>
      <c r="L185" s="634"/>
      <c r="M185" s="634"/>
      <c r="N185" s="634"/>
    </row>
    <row r="186" spans="6:14" x14ac:dyDescent="0.2">
      <c r="F186" s="634"/>
      <c r="G186" s="634"/>
      <c r="H186" s="634"/>
      <c r="I186" s="634"/>
      <c r="J186" s="634"/>
      <c r="K186" s="634"/>
      <c r="L186" s="634"/>
      <c r="M186" s="634"/>
      <c r="N186" s="634"/>
    </row>
    <row r="187" spans="6:14" x14ac:dyDescent="0.2">
      <c r="F187" s="634"/>
      <c r="G187" s="634"/>
      <c r="H187" s="634"/>
      <c r="I187" s="634"/>
      <c r="J187" s="634"/>
      <c r="K187" s="634"/>
      <c r="L187" s="634"/>
      <c r="M187" s="634"/>
      <c r="N187" s="634"/>
    </row>
    <row r="188" spans="6:14" x14ac:dyDescent="0.2">
      <c r="F188" s="634"/>
      <c r="G188" s="634"/>
      <c r="H188" s="634"/>
      <c r="I188" s="634"/>
      <c r="J188" s="634"/>
      <c r="K188" s="634"/>
      <c r="L188" s="634"/>
      <c r="M188" s="634"/>
      <c r="N188" s="634"/>
    </row>
    <row r="189" spans="6:14" x14ac:dyDescent="0.2">
      <c r="F189" s="634"/>
      <c r="G189" s="634"/>
      <c r="H189" s="634"/>
      <c r="I189" s="634"/>
      <c r="J189" s="634"/>
      <c r="K189" s="634"/>
      <c r="L189" s="634"/>
      <c r="M189" s="634"/>
      <c r="N189" s="634"/>
    </row>
    <row r="190" spans="6:14" x14ac:dyDescent="0.2">
      <c r="F190" s="634"/>
      <c r="G190" s="634"/>
      <c r="H190" s="634"/>
      <c r="I190" s="634"/>
      <c r="J190" s="634"/>
      <c r="K190" s="634"/>
      <c r="L190" s="634"/>
      <c r="M190" s="634"/>
      <c r="N190" s="634"/>
    </row>
  </sheetData>
  <sheetProtection insertColumns="0" insertRows="0" deleteColumns="0" deleteRows="0"/>
  <customSheetViews>
    <customSheetView guid="{AD88818B-9F97-4B1E-9426-0DECE603685E}" scale="80" showGridLines="0" fitToPage="1" showRuler="0">
      <pane ySplit="18" topLeftCell="A19" activePane="bottomLeft" state="frozen"/>
      <selection pane="bottomLeft" activeCell="E3" sqref="E3"/>
      <pageMargins left="0.75" right="0.75" top="1" bottom="1" header="0.5" footer="0.5"/>
      <pageSetup paperSize="8" fitToHeight="0" orientation="landscape"/>
      <headerFooter alignWithMargins="0">
        <oddFooter>&amp;L&amp;8&amp;F&amp;C&amp;8&amp;A&amp;R&amp;8page&amp;P</oddFooter>
      </headerFooter>
    </customSheetView>
    <customSheetView guid="{7EB5D807-CE20-46E2-AEE6-2C193E010EA4}" scale="80" showGridLines="0" fitToPage="1" showRuler="0">
      <pane ySplit="18" topLeftCell="A19" activePane="bottomLeft" state="frozen"/>
      <selection pane="bottomLeft" activeCell="E3" sqref="E3"/>
      <pageMargins left="0.75" right="0.75" top="1" bottom="1" header="0.5" footer="0.5"/>
      <pageSetup paperSize="8" fitToHeight="0" orientation="landscape"/>
      <headerFooter alignWithMargins="0">
        <oddFooter>&amp;L&amp;8&amp;F&amp;C&amp;8&amp;A&amp;R&amp;8page&amp;P</oddFooter>
      </headerFooter>
    </customSheetView>
  </customSheetViews>
  <mergeCells count="4">
    <mergeCell ref="F119:L120"/>
    <mergeCell ref="F121:L122"/>
    <mergeCell ref="F136:L137"/>
    <mergeCell ref="F138:L139"/>
  </mergeCells>
  <phoneticPr fontId="0" type="noConversion"/>
  <conditionalFormatting sqref="O9:O18">
    <cfRule type="cellIs" dxfId="95" priority="1" stopIfTrue="1" operator="notBetween">
      <formula>-0.05</formula>
      <formula>0.05</formula>
    </cfRule>
  </conditionalFormatting>
  <conditionalFormatting sqref="E14">
    <cfRule type="expression" dxfId="94" priority="3" stopIfTrue="1">
      <formula>($E14="Combined result of previous calculation")</formula>
    </cfRule>
  </conditionalFormatting>
  <conditionalFormatting sqref="A14:D14 F14:G14">
    <cfRule type="expression" dxfId="93" priority="4" stopIfTrue="1">
      <formula>($E14="Combined result of previous calculation")</formula>
    </cfRule>
  </conditionalFormatting>
  <conditionalFormatting sqref="A7:G7 A11:G11">
    <cfRule type="expression" dxfId="92" priority="5" stopIfTrue="1">
      <formula>($E7&lt;&gt;"")</formula>
    </cfRule>
  </conditionalFormatting>
  <conditionalFormatting sqref="A15:D15 F15:G15">
    <cfRule type="expression" dxfId="91" priority="6" stopIfTrue="1">
      <formula>($E15="Esca included in combined result of previous calculation")</formula>
    </cfRule>
  </conditionalFormatting>
  <conditionalFormatting sqref="E15">
    <cfRule type="expression" dxfId="90" priority="7" stopIfTrue="1">
      <formula>($E15="Esca included in combined result of previous calculation")</formula>
    </cfRule>
  </conditionalFormatting>
  <dataValidations count="8">
    <dataValidation type="list" allowBlank="1" showInputMessage="1" showErrorMessage="1" sqref="F10 F8 F6" xr:uid="{00000000-0002-0000-0F00-000000000000}">
      <formula1>"A,D"</formula1>
    </dataValidation>
    <dataValidation type="list" showDropDown="1" showInputMessage="1" showErrorMessage="1" errorTitle="Wrong input" error="Only values &quot;0&quot; and &quot;29&quot; are allowed_x000a_" sqref="C128" xr:uid="{00000000-0002-0000-0F00-000001000000}">
      <formula1>"0,29"</formula1>
    </dataValidation>
    <dataValidation allowBlank="1" showInputMessage="1" showErrorMessage="1" promptTitle="Input value for manure" prompt="Use of manure will not lead to direct GHG emissions as the emission coeffient is 0 g CO2,eq/MJ._x000a_Use of manure will indirectly lead to GHG emissions. When using actual inputs, field N2O emissions must be calculated which increase due to use of manure." sqref="C31" xr:uid="{00000000-0002-0000-0F00-000002000000}"/>
    <dataValidation type="list" allowBlank="1" showInputMessage="1" showErrorMessage="1" sqref="E14" xr:uid="{00000000-0002-0000-0F00-000003000000}">
      <formula1>"- , Combined result of previous calculation"</formula1>
    </dataValidation>
    <dataValidation type="list" allowBlank="1" showInputMessage="1" showErrorMessage="1" sqref="E7 E11" xr:uid="{00000000-0002-0000-0F00-000004000000}">
      <formula1>"- ,Individual result of previous calculation, Combined result of previous calculation"</formula1>
    </dataValidation>
    <dataValidation type="list" allowBlank="1" showInputMessage="1" showErrorMessage="1" sqref="E15" xr:uid="{00000000-0002-0000-0F00-000005000000}">
      <formula1>"- , Esca included in combined result of previous calculation"</formula1>
    </dataValidation>
    <dataValidation allowBlank="1" showInputMessage="1" showErrorMessage="1" promptTitle="Please note !" prompt="When changing the value in this cell, you must indicate in column E under &quot;overview results&quot; that you have used the result of a previous calculation. Please refer to paragraph 4.2 of the user manual for further instructions and examples." sqref="N41 N50" xr:uid="{00000000-0002-0000-0F00-000006000000}"/>
    <dataValidation allowBlank="1" showInputMessage="1" showErrorMessage="1" promptTitle="Electricity mix" sqref="B113 B101" xr:uid="{00000000-0002-0000-0F00-000007000000}"/>
  </dataValidations>
  <hyperlinks>
    <hyperlink ref="C139" location="Esca!A1" display="Esca!A1" xr:uid="{00000000-0004-0000-0F00-000000000000}"/>
    <hyperlink ref="C122" location="LUC!A1" display="LUC!A1" xr:uid="{00000000-0004-0000-0F00-000001000000}"/>
    <hyperlink ref="C42" location="'N2O emissions IPCC '!A1" display="N2O emissions IPCC" xr:uid="{00000000-0004-0000-0F00-000002000000}"/>
  </hyperlinks>
  <pageMargins left="0.75" right="0.75" top="1" bottom="1" header="0.5" footer="0.5"/>
  <pageSetup paperSize="8" fitToHeight="0" orientation="landscape"/>
  <headerFooter alignWithMargins="0">
    <oddFooter>&amp;L&amp;8&amp;F&amp;C&amp;8&amp;A&amp;R&amp;8page&amp;P</oddFooter>
  </headerFooter>
  <drawing r:id="rId1"/>
  <legacyDrawing r:id="rId2"/>
  <controls>
    <mc:AlternateContent xmlns:mc="http://schemas.openxmlformats.org/markup-compatibility/2006">
      <mc:Choice Requires="x14">
        <control shapeId="18437" r:id="rId3" name="CheckBox2">
          <controlPr autoLine="0" autoPict="0" linkedCell="About!N86" r:id="rId4">
            <anchor moveWithCells="1">
              <from>
                <xdr:col>9</xdr:col>
                <xdr:colOff>38100</xdr:colOff>
                <xdr:row>13</xdr:row>
                <xdr:rowOff>47625</xdr:rowOff>
              </from>
              <to>
                <xdr:col>13</xdr:col>
                <xdr:colOff>885825</xdr:colOff>
                <xdr:row>15</xdr:row>
                <xdr:rowOff>85725</xdr:rowOff>
              </to>
            </anchor>
          </controlPr>
        </control>
      </mc:Choice>
      <mc:Fallback>
        <control shapeId="18437" r:id="rId3" name="CheckBox2"/>
      </mc:Fallback>
    </mc:AlternateContent>
    <mc:AlternateContent xmlns:mc="http://schemas.openxmlformats.org/markup-compatibility/2006">
      <mc:Choice Requires="x14">
        <control shapeId="18438" r:id="rId5" name="CheckBox1">
          <controlPr autoLine="0" autoPict="0" linkedCell="About!N88" r:id="rId6">
            <anchor moveWithCells="1">
              <from>
                <xdr:col>9</xdr:col>
                <xdr:colOff>38100</xdr:colOff>
                <xdr:row>11</xdr:row>
                <xdr:rowOff>0</xdr:rowOff>
              </from>
              <to>
                <xdr:col>13</xdr:col>
                <xdr:colOff>866775</xdr:colOff>
                <xdr:row>13</xdr:row>
                <xdr:rowOff>171450</xdr:rowOff>
              </to>
            </anchor>
          </controlPr>
        </control>
      </mc:Choice>
      <mc:Fallback>
        <control shapeId="18438" r:id="rId5" name="CheckBox1"/>
      </mc:Fallback>
    </mc:AlternateContent>
    <mc:AlternateContent xmlns:mc="http://schemas.openxmlformats.org/markup-compatibility/2006">
      <mc:Choice Requires="x14">
        <control shapeId="18469" r:id="rId7" name="ComboBox1">
          <controlPr locked="0" defaultSize="0" autoLine="0" linkedCell="D121" listFillRange="D119:D120" r:id="rId8">
            <anchor moveWithCells="1">
              <from>
                <xdr:col>2</xdr:col>
                <xdr:colOff>28575</xdr:colOff>
                <xdr:row>119</xdr:row>
                <xdr:rowOff>9525</xdr:rowOff>
              </from>
              <to>
                <xdr:col>3</xdr:col>
                <xdr:colOff>38100</xdr:colOff>
                <xdr:row>120</xdr:row>
                <xdr:rowOff>19050</xdr:rowOff>
              </to>
            </anchor>
          </controlPr>
        </control>
      </mc:Choice>
      <mc:Fallback>
        <control shapeId="18469" r:id="rId7" name="ComboBox1"/>
      </mc:Fallback>
    </mc:AlternateContent>
    <mc:AlternateContent xmlns:mc="http://schemas.openxmlformats.org/markup-compatibility/2006">
      <mc:Choice Requires="x14">
        <control shapeId="18691" r:id="rId9" name="ComboBox2">
          <controlPr locked="0" defaultSize="0" autoLine="0" linkedCell="D138" listFillRange="D136:D137" r:id="rId10">
            <anchor moveWithCells="1">
              <from>
                <xdr:col>2</xdr:col>
                <xdr:colOff>47625</xdr:colOff>
                <xdr:row>136</xdr:row>
                <xdr:rowOff>9525</xdr:rowOff>
              </from>
              <to>
                <xdr:col>3</xdr:col>
                <xdr:colOff>57150</xdr:colOff>
                <xdr:row>137</xdr:row>
                <xdr:rowOff>19050</xdr:rowOff>
              </to>
            </anchor>
          </controlPr>
        </control>
      </mc:Choice>
      <mc:Fallback>
        <control shapeId="18691" r:id="rId9" name="ComboBox2"/>
      </mc:Fallback>
    </mc:AlternateContent>
    <mc:AlternateContent xmlns:mc="http://schemas.openxmlformats.org/markup-compatibility/2006">
      <mc:Choice Requires="x14">
        <control shapeId="19024" r:id="rId11" name="cmdTrackChanges">
          <controlPr defaultSize="0" autoLine="0" r:id="rId12">
            <anchor moveWithCells="1">
              <from>
                <xdr:col>1</xdr:col>
                <xdr:colOff>1323975</xdr:colOff>
                <xdr:row>17</xdr:row>
                <xdr:rowOff>95250</xdr:rowOff>
              </from>
              <to>
                <xdr:col>3</xdr:col>
                <xdr:colOff>495300</xdr:colOff>
                <xdr:row>18</xdr:row>
                <xdr:rowOff>219075</xdr:rowOff>
              </to>
            </anchor>
          </controlPr>
        </control>
      </mc:Choice>
      <mc:Fallback>
        <control shapeId="19024" r:id="rId11" name="cmdTrackChanges"/>
      </mc:Fallback>
    </mc:AlternateContent>
    <mc:AlternateContent xmlns:mc="http://schemas.openxmlformats.org/markup-compatibility/2006">
      <mc:Choice Requires="x14">
        <control shapeId="19089" r:id="rId13" name="Label 657">
          <controlPr defaultSize="0" autoFill="0" autoLine="0" autoPict="0" macro="[0]!GoToAbout">
            <anchor moveWithCells="1" sizeWithCells="1">
              <from>
                <xdr:col>10</xdr:col>
                <xdr:colOff>428625</xdr:colOff>
                <xdr:row>0</xdr:row>
                <xdr:rowOff>800100</xdr:rowOff>
              </from>
              <to>
                <xdr:col>12</xdr:col>
                <xdr:colOff>76200</xdr:colOff>
                <xdr:row>1</xdr:row>
                <xdr:rowOff>0</xdr:rowOff>
              </to>
            </anchor>
          </controlPr>
        </control>
      </mc:Choice>
    </mc:AlternateContent>
    <mc:AlternateContent xmlns:mc="http://schemas.openxmlformats.org/markup-compatibility/2006">
      <mc:Choice Requires="x14">
        <control shapeId="19090" r:id="rId14" name="Label 658">
          <controlPr defaultSize="0" autoFill="0" autoLine="0" autoPict="0" macro="[0]!GoToDirectory">
            <anchor moveWithCells="1" sizeWithCells="1">
              <from>
                <xdr:col>12</xdr:col>
                <xdr:colOff>161925</xdr:colOff>
                <xdr:row>0</xdr:row>
                <xdr:rowOff>800100</xdr:rowOff>
              </from>
              <to>
                <xdr:col>13</xdr:col>
                <xdr:colOff>990600</xdr:colOff>
                <xdr:row>1</xdr:row>
                <xdr:rowOff>0</xdr:rowOff>
              </to>
            </anchor>
          </controlPr>
        </control>
      </mc:Choice>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E8">
    <pageSetUpPr fitToPage="1"/>
  </sheetPr>
  <dimension ref="A1:Q228"/>
  <sheetViews>
    <sheetView showGridLines="0" zoomScale="80" workbookViewId="0">
      <selection activeCell="A2" sqref="A2"/>
    </sheetView>
  </sheetViews>
  <sheetFormatPr baseColWidth="10" defaultColWidth="8.85546875" defaultRowHeight="12.75" x14ac:dyDescent="0.2"/>
  <cols>
    <col min="1" max="1" width="22.5703125" style="360" customWidth="1"/>
    <col min="2" max="2" width="25.85546875" style="360" customWidth="1"/>
    <col min="3" max="3" width="9.7109375" style="360" customWidth="1"/>
    <col min="4" max="4" width="20.140625" style="360" customWidth="1"/>
    <col min="5" max="5" width="14.85546875" style="360" customWidth="1"/>
    <col min="6" max="6" width="8.5703125" style="360" customWidth="1"/>
    <col min="7" max="7" width="2.85546875" style="360" customWidth="1"/>
    <col min="8" max="8" width="19.5703125" style="360" customWidth="1"/>
    <col min="9" max="12" width="9.140625" style="360" customWidth="1"/>
    <col min="13" max="13" width="2.5703125" style="360" customWidth="1"/>
    <col min="14" max="14" width="16.7109375" style="360" customWidth="1"/>
    <col min="15" max="15" width="13.7109375" style="360" customWidth="1"/>
    <col min="16" max="16384" width="8.85546875" style="361"/>
  </cols>
  <sheetData>
    <row r="1" spans="1:17" ht="102" customHeight="1" x14ac:dyDescent="0.2"/>
    <row r="2" spans="1:17" ht="27.75" customHeight="1" x14ac:dyDescent="0.25">
      <c r="A2" s="362" t="s">
        <v>951</v>
      </c>
      <c r="B2" s="363"/>
      <c r="C2" s="364"/>
      <c r="D2" s="364"/>
      <c r="E2" s="364"/>
      <c r="F2" s="365"/>
      <c r="G2" s="365"/>
      <c r="H2" s="366"/>
      <c r="I2" s="367"/>
      <c r="J2" s="368"/>
      <c r="K2" s="369"/>
      <c r="L2" s="370"/>
      <c r="M2" s="367"/>
      <c r="N2" s="367"/>
      <c r="O2" s="371" t="str">
        <f>About!D2</f>
        <v>Version 4d for Testing</v>
      </c>
    </row>
    <row r="3" spans="1:17" ht="27.75" customHeight="1" x14ac:dyDescent="0.25">
      <c r="A3" s="372" t="s">
        <v>1050</v>
      </c>
      <c r="B3" s="373"/>
      <c r="C3" s="374"/>
      <c r="D3" s="374"/>
      <c r="E3" s="373"/>
      <c r="F3" s="373"/>
      <c r="G3" s="373"/>
      <c r="H3" s="375"/>
      <c r="I3" s="376"/>
      <c r="J3" s="377"/>
      <c r="K3" s="378"/>
      <c r="L3" s="377"/>
      <c r="M3" s="377"/>
      <c r="N3" s="379"/>
      <c r="O3" s="378"/>
    </row>
    <row r="4" spans="1:17" ht="16.5" customHeight="1" x14ac:dyDescent="0.25">
      <c r="A4" s="380" t="s">
        <v>861</v>
      </c>
      <c r="B4" s="381" t="s">
        <v>854</v>
      </c>
      <c r="C4" s="381" t="s">
        <v>1057</v>
      </c>
      <c r="D4" s="381" t="s">
        <v>852</v>
      </c>
      <c r="E4" s="382" t="s">
        <v>1047</v>
      </c>
      <c r="F4" s="383" t="s">
        <v>1125</v>
      </c>
      <c r="G4" s="384"/>
      <c r="H4" s="385" t="s">
        <v>869</v>
      </c>
      <c r="I4" s="386"/>
      <c r="J4" s="387" t="s">
        <v>1063</v>
      </c>
      <c r="K4" s="388"/>
      <c r="L4" s="389"/>
      <c r="M4" s="390"/>
      <c r="N4" s="387" t="s">
        <v>391</v>
      </c>
      <c r="O4" s="391"/>
    </row>
    <row r="5" spans="1:17" ht="16.5" customHeight="1" x14ac:dyDescent="0.25">
      <c r="A5" s="392" t="s">
        <v>863</v>
      </c>
      <c r="B5" s="393" t="s">
        <v>853</v>
      </c>
      <c r="C5" s="393" t="s">
        <v>1062</v>
      </c>
      <c r="D5" s="393" t="s">
        <v>853</v>
      </c>
      <c r="E5" s="394"/>
      <c r="F5" s="395" t="s">
        <v>1126</v>
      </c>
      <c r="G5" s="396"/>
      <c r="H5" s="397" t="s">
        <v>866</v>
      </c>
      <c r="I5" s="390"/>
      <c r="J5" s="398" t="str">
        <f>A81</f>
        <v>Ethanol plant</v>
      </c>
      <c r="K5" s="399"/>
      <c r="L5" s="400"/>
      <c r="M5" s="390"/>
      <c r="N5" s="398" t="s">
        <v>392</v>
      </c>
      <c r="O5" s="400"/>
    </row>
    <row r="6" spans="1:17" ht="16.5" customHeight="1" x14ac:dyDescent="0.35">
      <c r="A6" s="401" t="s">
        <v>170</v>
      </c>
      <c r="B6" s="402"/>
      <c r="C6" s="403"/>
      <c r="D6" s="404"/>
      <c r="E6" s="405">
        <f>IF(F6="A",D7+D8,H6)</f>
        <v>14.46170594391279</v>
      </c>
      <c r="F6" s="406" t="s">
        <v>1127</v>
      </c>
      <c r="G6" s="407"/>
      <c r="H6" s="752">
        <v>14</v>
      </c>
      <c r="I6" s="390"/>
      <c r="J6" s="734">
        <f>F117/F119</f>
        <v>1</v>
      </c>
      <c r="K6" s="753" t="s">
        <v>1032</v>
      </c>
      <c r="L6" s="422"/>
      <c r="M6" s="390"/>
      <c r="N6" s="412">
        <v>83.8</v>
      </c>
      <c r="O6" s="413" t="s">
        <v>394</v>
      </c>
    </row>
    <row r="7" spans="1:17" ht="12" customHeight="1" x14ac:dyDescent="0.2">
      <c r="A7" s="398" t="str">
        <f>A21</f>
        <v>Cultivation of sugarcane</v>
      </c>
      <c r="B7" s="414">
        <f>L46</f>
        <v>14.326174460598818</v>
      </c>
      <c r="C7" s="754">
        <f>J6</f>
        <v>1</v>
      </c>
      <c r="D7" s="416">
        <f>C7*B7</f>
        <v>14.326174460598818</v>
      </c>
      <c r="E7" s="1215"/>
      <c r="F7" s="418"/>
      <c r="G7" s="418"/>
      <c r="H7" s="1429">
        <v>14.45</v>
      </c>
      <c r="I7" s="390"/>
      <c r="J7" s="645"/>
      <c r="K7" s="646"/>
      <c r="L7" s="643"/>
      <c r="M7" s="390"/>
      <c r="N7" s="398" t="s">
        <v>393</v>
      </c>
      <c r="O7" s="400"/>
    </row>
    <row r="8" spans="1:17" ht="12" customHeight="1" x14ac:dyDescent="0.2">
      <c r="A8" s="398" t="str">
        <f>A49</f>
        <v>Transport of vinasse and filter mud cake</v>
      </c>
      <c r="B8" s="414">
        <f>L68</f>
        <v>0.13553148331397291</v>
      </c>
      <c r="C8" s="754">
        <f>J6</f>
        <v>1</v>
      </c>
      <c r="D8" s="416">
        <f>C8*B8</f>
        <v>0.13553148331397291</v>
      </c>
      <c r="E8" s="1215"/>
      <c r="F8" s="418"/>
      <c r="G8" s="418"/>
      <c r="H8" s="1430"/>
      <c r="I8" s="390"/>
      <c r="J8" s="390"/>
      <c r="K8" s="390"/>
      <c r="L8" s="390"/>
      <c r="M8" s="390"/>
      <c r="N8" s="426">
        <f>(N6-E18)/N6</f>
        <v>0.70969511478752567</v>
      </c>
      <c r="O8" s="427"/>
    </row>
    <row r="9" spans="1:17" ht="16.5" customHeight="1" x14ac:dyDescent="0.35">
      <c r="A9" s="401" t="s">
        <v>544</v>
      </c>
      <c r="B9" s="423"/>
      <c r="C9" s="755"/>
      <c r="D9" s="424"/>
      <c r="E9" s="425">
        <f>IF(F9="A",D10,H9)</f>
        <v>0.85375666542745998</v>
      </c>
      <c r="F9" s="406" t="s">
        <v>1127</v>
      </c>
      <c r="G9" s="407"/>
      <c r="H9" s="408">
        <v>1</v>
      </c>
      <c r="I9" s="390"/>
      <c r="J9" s="390"/>
      <c r="K9" s="390"/>
      <c r="L9" s="390"/>
      <c r="M9" s="390"/>
      <c r="N9" s="379"/>
      <c r="O9" s="430"/>
    </row>
    <row r="10" spans="1:17" ht="12" customHeight="1" x14ac:dyDescent="0.2">
      <c r="A10" s="398" t="str">
        <f>A81</f>
        <v>Ethanol plant</v>
      </c>
      <c r="B10" s="414">
        <f>L111</f>
        <v>0.85375666542745998</v>
      </c>
      <c r="C10" s="754">
        <f>J6</f>
        <v>1</v>
      </c>
      <c r="D10" s="416">
        <f>C10*B10</f>
        <v>0.85375666542745998</v>
      </c>
      <c r="E10" s="417"/>
      <c r="F10" s="418"/>
      <c r="G10" s="418"/>
      <c r="H10" s="419">
        <f>1.4*0.6</f>
        <v>0.84</v>
      </c>
      <c r="I10" s="390"/>
      <c r="J10" s="390"/>
      <c r="K10" s="390"/>
      <c r="L10" s="390"/>
      <c r="M10" s="390"/>
      <c r="N10" s="390"/>
      <c r="O10" s="441"/>
    </row>
    <row r="11" spans="1:17" ht="16.5" customHeight="1" thickBot="1" x14ac:dyDescent="0.4">
      <c r="A11" s="401" t="s">
        <v>545</v>
      </c>
      <c r="B11" s="423"/>
      <c r="C11" s="423"/>
      <c r="D11" s="424"/>
      <c r="E11" s="425">
        <f>IF(F11="A",D12+D13+D14, H11)</f>
        <v>9.0120867714651034</v>
      </c>
      <c r="F11" s="406" t="s">
        <v>1127</v>
      </c>
      <c r="G11" s="407"/>
      <c r="H11" s="408">
        <v>9</v>
      </c>
      <c r="I11" s="390"/>
      <c r="J11" s="390"/>
      <c r="K11" s="390"/>
      <c r="L11" s="390"/>
      <c r="M11" s="390"/>
      <c r="N11" s="390"/>
      <c r="O11" s="430"/>
    </row>
    <row r="12" spans="1:17" ht="12" customHeight="1" x14ac:dyDescent="0.2">
      <c r="A12" s="398" t="str">
        <f>A71</f>
        <v>Transport of sugarcane</v>
      </c>
      <c r="B12" s="414">
        <f>L78</f>
        <v>0.84507919350221417</v>
      </c>
      <c r="C12" s="754">
        <f>J6</f>
        <v>1</v>
      </c>
      <c r="D12" s="416">
        <f t="shared" ref="D12:D17" si="0">C12*B12</f>
        <v>0.84507919350221417</v>
      </c>
      <c r="E12" s="1215"/>
      <c r="F12" s="418"/>
      <c r="G12" s="418"/>
      <c r="H12" s="419">
        <v>0.84</v>
      </c>
      <c r="I12" s="390"/>
      <c r="J12" s="432" t="s">
        <v>140</v>
      </c>
      <c r="K12" s="433"/>
      <c r="L12" s="433"/>
      <c r="M12" s="433"/>
      <c r="N12" s="434"/>
      <c r="O12" s="435"/>
    </row>
    <row r="13" spans="1:17" ht="12" customHeight="1" x14ac:dyDescent="0.2">
      <c r="A13" s="398" t="str">
        <f>A123</f>
        <v>Transport of ethanol</v>
      </c>
      <c r="B13" s="414">
        <f>L140</f>
        <v>7.230766998492129</v>
      </c>
      <c r="C13" s="754">
        <v>1</v>
      </c>
      <c r="D13" s="416">
        <f t="shared" si="0"/>
        <v>7.230766998492129</v>
      </c>
      <c r="E13" s="436"/>
      <c r="F13" s="437"/>
      <c r="G13" s="437"/>
      <c r="H13" s="419">
        <f>2.31+5.39</f>
        <v>7.6999999999999993</v>
      </c>
      <c r="I13" s="390"/>
      <c r="J13" s="438"/>
      <c r="K13" s="439"/>
      <c r="L13" s="439"/>
      <c r="M13" s="439"/>
      <c r="N13" s="440"/>
      <c r="O13" s="441"/>
    </row>
    <row r="14" spans="1:17" ht="12" customHeight="1" x14ac:dyDescent="0.2">
      <c r="A14" s="398" t="str">
        <f>A143</f>
        <v>Transport to filling station</v>
      </c>
      <c r="B14" s="414">
        <f>L152</f>
        <v>0.93624057947076134</v>
      </c>
      <c r="C14" s="754">
        <v>1</v>
      </c>
      <c r="D14" s="416">
        <f t="shared" si="0"/>
        <v>0.93624057947076134</v>
      </c>
      <c r="E14" s="436"/>
      <c r="F14" s="437"/>
      <c r="G14" s="437"/>
      <c r="H14" s="419">
        <f>0.44</f>
        <v>0.44</v>
      </c>
      <c r="I14" s="390"/>
      <c r="J14" s="438"/>
      <c r="K14" s="439"/>
      <c r="L14" s="439"/>
      <c r="M14" s="442"/>
      <c r="N14" s="443"/>
      <c r="O14" s="441"/>
    </row>
    <row r="15" spans="1:17" ht="17.25" customHeight="1" x14ac:dyDescent="0.35">
      <c r="A15" s="444" t="s">
        <v>551</v>
      </c>
      <c r="B15" s="445">
        <f>L164</f>
        <v>0</v>
      </c>
      <c r="C15" s="446">
        <f>J6</f>
        <v>1</v>
      </c>
      <c r="D15" s="445">
        <f t="shared" si="0"/>
        <v>0</v>
      </c>
      <c r="E15" s="425">
        <f>D15</f>
        <v>0</v>
      </c>
      <c r="F15" s="451"/>
      <c r="G15" s="451"/>
      <c r="H15" s="447">
        <v>0</v>
      </c>
      <c r="I15" s="390"/>
      <c r="J15" s="438"/>
      <c r="K15" s="439"/>
      <c r="L15" s="439"/>
      <c r="M15" s="448"/>
      <c r="N15" s="449"/>
      <c r="O15" s="450"/>
    </row>
    <row r="16" spans="1:17" ht="16.5" customHeight="1" x14ac:dyDescent="0.35">
      <c r="A16" s="444" t="s">
        <v>724</v>
      </c>
      <c r="B16" s="445">
        <f>L183-L167</f>
        <v>0</v>
      </c>
      <c r="C16" s="446">
        <v>1</v>
      </c>
      <c r="D16" s="445">
        <f t="shared" si="0"/>
        <v>0</v>
      </c>
      <c r="E16" s="425">
        <f>D16</f>
        <v>0</v>
      </c>
      <c r="F16" s="451"/>
      <c r="G16" s="451"/>
      <c r="H16" s="447">
        <v>0</v>
      </c>
      <c r="I16" s="390"/>
      <c r="J16" s="438"/>
      <c r="K16" s="439"/>
      <c r="L16" s="439"/>
      <c r="M16" s="448"/>
      <c r="N16" s="449"/>
      <c r="O16" s="450"/>
      <c r="P16" s="429"/>
      <c r="Q16" s="429"/>
    </row>
    <row r="17" spans="1:17" ht="16.5" customHeight="1" thickBot="1" x14ac:dyDescent="0.4">
      <c r="A17" s="444" t="s">
        <v>725</v>
      </c>
      <c r="B17" s="445">
        <f>L189+L195</f>
        <v>0</v>
      </c>
      <c r="C17" s="756">
        <v>1</v>
      </c>
      <c r="D17" s="445">
        <f t="shared" si="0"/>
        <v>0</v>
      </c>
      <c r="E17" s="425">
        <f>D17</f>
        <v>0</v>
      </c>
      <c r="F17" s="451"/>
      <c r="G17" s="451"/>
      <c r="H17" s="447">
        <v>0</v>
      </c>
      <c r="I17" s="390"/>
      <c r="J17" s="459" t="s">
        <v>1</v>
      </c>
      <c r="K17" s="460"/>
      <c r="L17" s="460"/>
      <c r="M17" s="461"/>
      <c r="N17" s="462"/>
      <c r="O17" s="450"/>
      <c r="P17" s="429"/>
      <c r="Q17" s="429"/>
    </row>
    <row r="18" spans="1:17" ht="16.5" customHeight="1" thickBot="1" x14ac:dyDescent="0.3">
      <c r="A18" s="452" t="s">
        <v>1049</v>
      </c>
      <c r="B18" s="453">
        <f>SUM(B7:B15)-SUM(B16:B17)</f>
        <v>24.327549380805355</v>
      </c>
      <c r="C18" s="454"/>
      <c r="D18" s="454"/>
      <c r="E18" s="456">
        <f>SUM(E6:E15)-SUM(E16:E17)</f>
        <v>24.327549380805351</v>
      </c>
      <c r="F18" s="457"/>
      <c r="G18" s="457"/>
      <c r="H18" s="458">
        <v>24</v>
      </c>
      <c r="I18" s="379"/>
      <c r="J18" s="650"/>
      <c r="K18" s="651"/>
      <c r="L18" s="651"/>
      <c r="M18" s="652"/>
      <c r="N18" s="652"/>
      <c r="O18" s="463"/>
    </row>
    <row r="19" spans="1:17" ht="16.5" customHeight="1" x14ac:dyDescent="0.25">
      <c r="A19" s="464"/>
      <c r="B19" s="465"/>
      <c r="E19" s="466" t="s">
        <v>859</v>
      </c>
      <c r="F19" s="467"/>
      <c r="G19" s="467"/>
      <c r="H19" s="468"/>
      <c r="I19" s="469"/>
      <c r="J19" s="470"/>
      <c r="K19" s="433"/>
      <c r="L19" s="471"/>
      <c r="M19" s="433"/>
      <c r="N19" s="433"/>
      <c r="O19" s="472"/>
    </row>
    <row r="20" spans="1:17" ht="22.5" customHeight="1" thickBot="1" x14ac:dyDescent="0.25">
      <c r="A20" s="473" t="s">
        <v>1051</v>
      </c>
      <c r="B20" s="379"/>
      <c r="E20" s="474" t="s">
        <v>860</v>
      </c>
      <c r="F20" s="442"/>
      <c r="G20" s="442"/>
      <c r="H20" s="442"/>
      <c r="I20" s="439"/>
      <c r="J20" s="475"/>
      <c r="K20" s="475"/>
      <c r="L20" s="476"/>
      <c r="M20" s="477"/>
      <c r="N20" s="477"/>
      <c r="O20" s="478"/>
    </row>
    <row r="21" spans="1:17" ht="15.75" x14ac:dyDescent="0.25">
      <c r="A21" s="530" t="s">
        <v>218</v>
      </c>
      <c r="B21" s="480"/>
      <c r="C21" s="480"/>
      <c r="D21" s="480"/>
      <c r="E21" s="479" t="s">
        <v>513</v>
      </c>
      <c r="F21" s="481"/>
      <c r="G21" s="481"/>
      <c r="H21" s="480"/>
      <c r="I21" s="482" t="s">
        <v>532</v>
      </c>
      <c r="J21" s="481"/>
      <c r="K21" s="481"/>
      <c r="L21" s="483"/>
      <c r="M21" s="715"/>
      <c r="N21" s="479" t="s">
        <v>162</v>
      </c>
      <c r="O21" s="757"/>
    </row>
    <row r="22" spans="1:17" ht="15.75" x14ac:dyDescent="0.25">
      <c r="A22" s="486"/>
      <c r="B22" s="487" t="s">
        <v>524</v>
      </c>
      <c r="C22" s="488"/>
      <c r="D22" s="488"/>
      <c r="E22" s="489" t="s">
        <v>524</v>
      </c>
      <c r="F22" s="490"/>
      <c r="G22" s="490"/>
      <c r="H22" s="491"/>
      <c r="I22" s="492" t="s">
        <v>138</v>
      </c>
      <c r="J22" s="490"/>
      <c r="K22" s="490"/>
      <c r="L22" s="493"/>
      <c r="M22" s="484"/>
      <c r="N22" s="538" t="s">
        <v>221</v>
      </c>
      <c r="O22" s="749" t="s">
        <v>139</v>
      </c>
    </row>
    <row r="23" spans="1:17" ht="16.5" x14ac:dyDescent="0.3">
      <c r="A23" s="494"/>
      <c r="B23" s="495" t="s">
        <v>520</v>
      </c>
      <c r="C23" s="496">
        <v>68700</v>
      </c>
      <c r="D23" s="497" t="s">
        <v>527</v>
      </c>
      <c r="E23" s="656">
        <f>C23*(1-C24)*VLOOKUP($B23,'Standard values'!$C$9:$S$162,14, FALSE)</f>
        <v>370293</v>
      </c>
      <c r="F23" s="495" t="s">
        <v>219</v>
      </c>
      <c r="G23" s="495"/>
      <c r="H23" s="499"/>
      <c r="I23" s="500" t="s">
        <v>1053</v>
      </c>
      <c r="J23" s="500" t="s">
        <v>1054</v>
      </c>
      <c r="K23" s="500" t="s">
        <v>1055</v>
      </c>
      <c r="L23" s="501" t="s">
        <v>1056</v>
      </c>
      <c r="M23" s="379"/>
      <c r="N23" s="540" t="s">
        <v>1056</v>
      </c>
      <c r="O23" s="540" t="s">
        <v>550</v>
      </c>
    </row>
    <row r="24" spans="1:17" ht="15.75" x14ac:dyDescent="0.3">
      <c r="A24" s="503"/>
      <c r="B24" s="495" t="s">
        <v>521</v>
      </c>
      <c r="C24" s="504">
        <v>0.72499999999999998</v>
      </c>
      <c r="D24" s="497"/>
      <c r="E24" s="505">
        <v>1</v>
      </c>
      <c r="F24" s="506" t="s">
        <v>226</v>
      </c>
      <c r="G24" s="506"/>
      <c r="H24" s="495"/>
      <c r="I24" s="507"/>
      <c r="J24" s="508"/>
      <c r="K24" s="508"/>
      <c r="L24" s="509"/>
      <c r="M24" s="379"/>
      <c r="N24" s="541"/>
      <c r="O24" s="541"/>
    </row>
    <row r="25" spans="1:17" ht="15.75" x14ac:dyDescent="0.3">
      <c r="A25" s="503"/>
      <c r="B25" s="495"/>
      <c r="C25" s="660"/>
      <c r="D25" s="497"/>
      <c r="E25" s="510">
        <f>+C23/E$200</f>
        <v>0.51432000091425611</v>
      </c>
      <c r="F25" s="506" t="s">
        <v>220</v>
      </c>
      <c r="G25" s="506"/>
      <c r="H25" s="495"/>
      <c r="I25" s="546"/>
      <c r="J25" s="546"/>
      <c r="K25" s="546"/>
      <c r="L25" s="661"/>
      <c r="M25" s="379"/>
      <c r="N25" s="541"/>
      <c r="O25" s="541"/>
    </row>
    <row r="26" spans="1:17" x14ac:dyDescent="0.2">
      <c r="A26" s="503"/>
      <c r="B26" s="511" t="s">
        <v>525</v>
      </c>
      <c r="C26" s="660"/>
      <c r="D26" s="497"/>
      <c r="E26" s="503"/>
      <c r="F26" s="495"/>
      <c r="G26" s="495"/>
      <c r="H26" s="495"/>
      <c r="I26" s="546"/>
      <c r="J26" s="546"/>
      <c r="K26" s="546"/>
      <c r="L26" s="661"/>
      <c r="M26" s="379"/>
      <c r="N26" s="541"/>
      <c r="O26" s="541"/>
    </row>
    <row r="27" spans="1:17" ht="14.25" x14ac:dyDescent="0.2">
      <c r="A27" s="503"/>
      <c r="B27" s="495" t="s">
        <v>509</v>
      </c>
      <c r="C27" s="723">
        <v>1963.4310508800002</v>
      </c>
      <c r="D27" s="497" t="s">
        <v>528</v>
      </c>
      <c r="E27" s="513"/>
      <c r="F27" s="495"/>
      <c r="G27" s="495"/>
      <c r="H27" s="495"/>
      <c r="I27" s="508">
        <f>$C27*VLOOKUP($B27,'Standard values'!$C$9:$S$162,7, FALSE)/$E$200</f>
        <v>1.2882174987599109</v>
      </c>
      <c r="J27" s="508">
        <f>$C27*VLOOKUP($B27,'Standard values'!$C$9:$S$162,8, FALSE)/$E$200</f>
        <v>0</v>
      </c>
      <c r="K27" s="508">
        <f>$C27*VLOOKUP($B27,'Standard values'!$C$9:$S$162,9, FALSE)/$E$200</f>
        <v>0</v>
      </c>
      <c r="L27" s="509">
        <f>I27*'Standard values'!$D$10+J27*'Standard values'!$D$11+K27*'Standard values'!$D$12</f>
        <v>1.2882174987599109</v>
      </c>
      <c r="M27" s="379"/>
      <c r="N27" s="562">
        <f>+L27/E$25</f>
        <v>2.5047003742222222</v>
      </c>
      <c r="O27" s="750">
        <f>L27*$E$200/1000</f>
        <v>172.07291570906668</v>
      </c>
      <c r="Q27" s="751"/>
    </row>
    <row r="28" spans="1:17" x14ac:dyDescent="0.2">
      <c r="A28" s="503"/>
      <c r="B28" s="495"/>
      <c r="C28" s="660"/>
      <c r="D28" s="497"/>
      <c r="E28" s="513"/>
      <c r="F28" s="495"/>
      <c r="G28" s="495"/>
      <c r="H28" s="495"/>
      <c r="I28" s="508"/>
      <c r="J28" s="508"/>
      <c r="K28" s="508"/>
      <c r="L28" s="509"/>
      <c r="M28" s="379"/>
      <c r="N28" s="562"/>
      <c r="O28" s="750"/>
    </row>
    <row r="29" spans="1:17" x14ac:dyDescent="0.2">
      <c r="A29" s="503"/>
      <c r="B29" s="511" t="s">
        <v>1045</v>
      </c>
      <c r="C29" s="660"/>
      <c r="D29" s="497"/>
      <c r="E29" s="513"/>
      <c r="F29" s="495"/>
      <c r="G29" s="495"/>
      <c r="H29" s="495"/>
      <c r="I29" s="508"/>
      <c r="J29" s="508"/>
      <c r="K29" s="508"/>
      <c r="L29" s="509"/>
      <c r="M29" s="379"/>
      <c r="N29" s="562"/>
      <c r="O29" s="750"/>
    </row>
    <row r="30" spans="1:17" ht="14.25" x14ac:dyDescent="0.2">
      <c r="A30" s="503"/>
      <c r="B30" s="495" t="s">
        <v>231</v>
      </c>
      <c r="C30" s="556">
        <v>62.5</v>
      </c>
      <c r="D30" s="497" t="s">
        <v>529</v>
      </c>
      <c r="E30" s="513"/>
      <c r="F30" s="495"/>
      <c r="G30" s="495"/>
      <c r="H30" s="495"/>
      <c r="I30" s="508">
        <f>$C30*VLOOKUP($B30,'Standard values'!$C$9:$S$162,3, FALSE)/$E$200</f>
        <v>1.3227667055609591</v>
      </c>
      <c r="J30" s="508">
        <f>$C30*VLOOKUP($B30,'Standard values'!$C$9:$S$162,4, FALSE)/$E$200</f>
        <v>4.060844636039525E-3</v>
      </c>
      <c r="K30" s="508">
        <f>$C30*VLOOKUP($B30,'Standard values'!$C$9:$S$162,5, FALSE)/$E$200</f>
        <v>4.5114361215566534E-3</v>
      </c>
      <c r="L30" s="509">
        <f>I30*'Standard values'!$D$10+J30*'Standard values'!$D$11+K30*'Standard values'!$D$12</f>
        <v>2.7686957856858299</v>
      </c>
      <c r="M30" s="379"/>
      <c r="N30" s="562">
        <f t="shared" ref="N30:N36" si="1">+L30/E$25</f>
        <v>5.3832162481804939</v>
      </c>
      <c r="O30" s="750">
        <f t="shared" ref="O30:O36" si="2">L30*$E$200/1000</f>
        <v>369.82695624999991</v>
      </c>
    </row>
    <row r="31" spans="1:17" ht="14.25" x14ac:dyDescent="0.2">
      <c r="A31" s="503"/>
      <c r="B31" s="495" t="s">
        <v>504</v>
      </c>
      <c r="C31" s="556">
        <v>0</v>
      </c>
      <c r="D31" s="497" t="s">
        <v>529</v>
      </c>
      <c r="E31" s="513"/>
      <c r="F31" s="495"/>
      <c r="G31" s="495"/>
      <c r="H31" s="495"/>
      <c r="I31" s="508">
        <f>$C31*VLOOKUP($B31,'Standard values'!$C$9:$S$162,3, FALSE)/$E$200</f>
        <v>0</v>
      </c>
      <c r="J31" s="508">
        <f>$C31*VLOOKUP($B31,'Standard values'!$C$9:$S$162,4, FALSE)/$E$200</f>
        <v>0</v>
      </c>
      <c r="K31" s="508">
        <f>$C31*VLOOKUP($B31,'Standard values'!$C$9:$S$162,5, FALSE)/$E$200</f>
        <v>0</v>
      </c>
      <c r="L31" s="509">
        <f>I31*'Standard values'!$D$10+J31*'Standard values'!$D$11+K31*'Standard values'!$D$12</f>
        <v>0</v>
      </c>
      <c r="M31" s="379"/>
      <c r="N31" s="562">
        <f t="shared" si="1"/>
        <v>0</v>
      </c>
      <c r="O31" s="750">
        <f t="shared" si="2"/>
        <v>0</v>
      </c>
    </row>
    <row r="32" spans="1:17" ht="14.25" x14ac:dyDescent="0.2">
      <c r="A32" s="503"/>
      <c r="B32" s="495" t="s">
        <v>234</v>
      </c>
      <c r="C32" s="556">
        <v>366.66666666666669</v>
      </c>
      <c r="D32" s="497" t="s">
        <v>745</v>
      </c>
      <c r="E32" s="513"/>
      <c r="F32" s="495"/>
      <c r="G32" s="495"/>
      <c r="H32" s="495"/>
      <c r="I32" s="508">
        <f>$C32*VLOOKUP($B32,'Standard values'!$C$9:$S$162,3, FALSE)/$E$200</f>
        <v>0.3269777552246132</v>
      </c>
      <c r="J32" s="508">
        <f>$C32*VLOOKUP($B32,'Standard values'!$C$9:$S$162,4, FALSE)/$E$200</f>
        <v>5.9265335767650013E-4</v>
      </c>
      <c r="K32" s="508">
        <f>$C32*VLOOKUP($B32,'Standard values'!$C$9:$S$162,5, FALSE)/$E$200</f>
        <v>5.0234166028160967E-5</v>
      </c>
      <c r="L32" s="509">
        <f>I32*'Standard values'!$D$10+J32*'Standard values'!$D$11+K32*'Standard values'!$D$12</f>
        <v>0.3567638706429177</v>
      </c>
      <c r="M32" s="379"/>
      <c r="N32" s="562">
        <f t="shared" si="1"/>
        <v>0.69366128093158663</v>
      </c>
      <c r="O32" s="750">
        <f t="shared" si="2"/>
        <v>47.654530000000008</v>
      </c>
    </row>
    <row r="33" spans="1:17" ht="14.25" x14ac:dyDescent="0.2">
      <c r="A33" s="503"/>
      <c r="B33" s="495" t="s">
        <v>107</v>
      </c>
      <c r="C33" s="556">
        <v>600</v>
      </c>
      <c r="D33" s="497" t="s">
        <v>527</v>
      </c>
      <c r="E33" s="513"/>
      <c r="F33" s="495"/>
      <c r="G33" s="495"/>
      <c r="H33" s="495"/>
      <c r="I33" s="508">
        <f>$C33*VLOOKUP($B33,'Standard values'!$C$9:$S$162,3, FALSE)/$E$200</f>
        <v>0</v>
      </c>
      <c r="J33" s="508">
        <f>$C33*VLOOKUP($B33,'Standard values'!$C$9:$S$162,4, FALSE)/$E$200</f>
        <v>0</v>
      </c>
      <c r="K33" s="508">
        <f>$C33*VLOOKUP($B33,'Standard values'!$C$9:$S$162,5, FALSE)/$E$200</f>
        <v>0</v>
      </c>
      <c r="L33" s="509">
        <f>I33*'Standard values'!$D$10+J33*'Standard values'!$D$11+K33*'Standard values'!$D$12</f>
        <v>0</v>
      </c>
      <c r="M33" s="379"/>
      <c r="N33" s="562">
        <f t="shared" si="1"/>
        <v>0</v>
      </c>
      <c r="O33" s="750">
        <f t="shared" si="2"/>
        <v>0</v>
      </c>
    </row>
    <row r="34" spans="1:17" ht="15.75" x14ac:dyDescent="0.3">
      <c r="A34" s="503"/>
      <c r="B34" s="495" t="s">
        <v>233</v>
      </c>
      <c r="C34" s="556">
        <v>74</v>
      </c>
      <c r="D34" s="497" t="s">
        <v>530</v>
      </c>
      <c r="E34" s="513"/>
      <c r="F34" s="495"/>
      <c r="G34" s="495"/>
      <c r="H34" s="495"/>
      <c r="I34" s="508">
        <f>$C34*VLOOKUP($B34,'Standard values'!$C$9:$S$162,3, FALSE)/$E$200</f>
        <v>0.29711530234055433</v>
      </c>
      <c r="J34" s="508">
        <f>$C34*VLOOKUP($B34,'Standard values'!$C$9:$S$162,4, FALSE)/$E$200</f>
        <v>8.7027585761687281E-4</v>
      </c>
      <c r="K34" s="508">
        <f>$C34*VLOOKUP($B34,'Standard values'!$C$9:$S$162,5, FALSE)/$E$200</f>
        <v>6.814178527396738E-6</v>
      </c>
      <c r="L34" s="509">
        <f>I34*'Standard values'!$D$10+J34*'Standard values'!$D$11+K34*'Standard values'!$D$12</f>
        <v>0.32090282398214037</v>
      </c>
      <c r="M34" s="379"/>
      <c r="N34" s="562">
        <f t="shared" si="1"/>
        <v>0.62393611644832592</v>
      </c>
      <c r="O34" s="750">
        <f t="shared" si="2"/>
        <v>42.864411199999992</v>
      </c>
    </row>
    <row r="35" spans="1:17" ht="15.75" x14ac:dyDescent="0.3">
      <c r="A35" s="503"/>
      <c r="B35" s="495" t="s">
        <v>232</v>
      </c>
      <c r="C35" s="556">
        <v>28.18</v>
      </c>
      <c r="D35" s="497" t="s">
        <v>531</v>
      </c>
      <c r="E35" s="513"/>
      <c r="F35" s="495"/>
      <c r="G35" s="495"/>
      <c r="H35" s="495"/>
      <c r="I35" s="508">
        <f>$C35*VLOOKUP($B35,'Standard values'!$C$9:$S$162,3, FALSE)/$E$200</f>
        <v>0.20356068111122969</v>
      </c>
      <c r="J35" s="508">
        <f>$C35*VLOOKUP($B35,'Standard values'!$C$9:$S$162,4, FALSE)/$E$200</f>
        <v>2.8079910596639785E-4</v>
      </c>
      <c r="K35" s="508">
        <f>$C35*VLOOKUP($B35,'Standard values'!$C$9:$S$162,5, FALSE)/$E$200</f>
        <v>1.0864879006212989E-5</v>
      </c>
      <c r="L35" s="509">
        <f>I35*'Standard values'!$D$10+J35*'Standard values'!$D$11+K35*'Standard values'!$D$12</f>
        <v>0.21381839270424111</v>
      </c>
      <c r="M35" s="379"/>
      <c r="N35" s="562">
        <f t="shared" si="1"/>
        <v>0.41573026972343513</v>
      </c>
      <c r="O35" s="750">
        <f t="shared" si="2"/>
        <v>28.560669529999995</v>
      </c>
    </row>
    <row r="36" spans="1:17" ht="14.25" x14ac:dyDescent="0.2">
      <c r="A36" s="503"/>
      <c r="B36" s="495" t="s">
        <v>502</v>
      </c>
      <c r="C36" s="728">
        <v>2</v>
      </c>
      <c r="D36" s="497" t="s">
        <v>527</v>
      </c>
      <c r="E36" s="513"/>
      <c r="F36" s="665"/>
      <c r="G36" s="665"/>
      <c r="H36" s="665"/>
      <c r="I36" s="508">
        <f>$C36*VLOOKUP($B36,'Standard values'!$C$9:$S$162,3, FALSE)/$E$200</f>
        <v>0.14802986077667524</v>
      </c>
      <c r="J36" s="508">
        <f>$C36*VLOOKUP($B36,'Standard values'!$C$9:$S$162,4, FALSE)/$E$200</f>
        <v>3.8221537395453583E-4</v>
      </c>
      <c r="K36" s="508">
        <f>$C36*VLOOKUP($B36,'Standard values'!$C$9:$S$162,5, FALSE)/$E$200</f>
        <v>2.5175477424664634E-5</v>
      </c>
      <c r="L36" s="509">
        <f>I36*'Standard values'!$D$10+J36*'Standard values'!$D$11+K36*'Standard values'!$D$12</f>
        <v>0.16508753739808868</v>
      </c>
      <c r="M36" s="379"/>
      <c r="N36" s="562">
        <f t="shared" si="1"/>
        <v>0.32098214556040749</v>
      </c>
      <c r="O36" s="750">
        <f t="shared" si="2"/>
        <v>22.051473399999999</v>
      </c>
    </row>
    <row r="37" spans="1:17" ht="14.25" x14ac:dyDescent="0.2">
      <c r="A37" s="503"/>
      <c r="B37" s="495" t="s">
        <v>105</v>
      </c>
      <c r="C37" s="758">
        <v>26431.5</v>
      </c>
      <c r="D37" s="497" t="s">
        <v>106</v>
      </c>
      <c r="E37" s="513"/>
      <c r="F37" s="665"/>
      <c r="G37" s="665"/>
      <c r="H37" s="665"/>
      <c r="I37" s="508">
        <f>$C37*VLOOKUP($B37,'Standard values'!$C$9:$S$162,3, FALSE)/$E$200</f>
        <v>0</v>
      </c>
      <c r="J37" s="508">
        <f>$C37*VLOOKUP($B37,'Standard values'!$C$9:$S$162,4, FALSE)/$E$200</f>
        <v>0</v>
      </c>
      <c r="K37" s="508">
        <f>$C37*VLOOKUP($B37,'Standard values'!$C$9:$S$162,5, FALSE)/$E$200</f>
        <v>0</v>
      </c>
      <c r="L37" s="509">
        <f>I37*'Standard values'!$D$10+J37*'Standard values'!$D$11+K37*'Standard values'!$D$12</f>
        <v>0</v>
      </c>
      <c r="M37" s="379"/>
      <c r="N37" s="562"/>
      <c r="O37" s="750"/>
    </row>
    <row r="38" spans="1:17" x14ac:dyDescent="0.2">
      <c r="A38" s="503"/>
      <c r="B38" s="495"/>
      <c r="C38" s="666"/>
      <c r="D38" s="497"/>
      <c r="E38" s="513"/>
      <c r="F38" s="665"/>
      <c r="G38" s="665"/>
      <c r="H38" s="665"/>
      <c r="I38" s="508"/>
      <c r="J38" s="508"/>
      <c r="K38" s="508"/>
      <c r="L38" s="509"/>
      <c r="M38" s="379"/>
      <c r="N38" s="562"/>
      <c r="O38" s="750"/>
    </row>
    <row r="39" spans="1:17" x14ac:dyDescent="0.2">
      <c r="A39" s="503"/>
      <c r="B39" s="511" t="s">
        <v>511</v>
      </c>
      <c r="C39" s="666"/>
      <c r="D39" s="497"/>
      <c r="E39" s="513"/>
      <c r="F39" s="495"/>
      <c r="G39" s="495"/>
      <c r="H39" s="665"/>
      <c r="I39" s="508"/>
      <c r="J39" s="508"/>
      <c r="K39" s="508"/>
      <c r="L39" s="509"/>
      <c r="M39" s="379"/>
      <c r="N39" s="562"/>
      <c r="O39" s="750"/>
    </row>
    <row r="40" spans="1:17" ht="14.25" x14ac:dyDescent="0.2">
      <c r="A40" s="503"/>
      <c r="B40" s="499" t="s">
        <v>1078</v>
      </c>
      <c r="C40" s="542">
        <v>2000</v>
      </c>
      <c r="D40" s="497" t="s">
        <v>527</v>
      </c>
      <c r="E40" s="513"/>
      <c r="F40" s="495"/>
      <c r="G40" s="495"/>
      <c r="H40" s="495"/>
      <c r="I40" s="508">
        <f>$C40*VLOOKUP($B40,'Standard values'!$C$9:$S$162,3, FALSE)/$E$200</f>
        <v>2.455260371176702E-2</v>
      </c>
      <c r="J40" s="508">
        <f>$C40*VLOOKUP($B40,'Standard values'!$C$9:$S$162,4, FALSE)/$E$200</f>
        <v>1.4972925790808037E-6</v>
      </c>
      <c r="K40" s="508">
        <f>$C40*VLOOKUP($B40,'Standard values'!$C$9:$S$162,5, FALSE)/$E$200</f>
        <v>0</v>
      </c>
      <c r="L40" s="509">
        <f>I40*'Standard values'!$D$10+J40*'Standard values'!$D$11+K40*'Standard values'!$D$12</f>
        <v>2.4590036026244041E-2</v>
      </c>
      <c r="M40" s="379"/>
      <c r="N40" s="562">
        <f>+L40/E$25</f>
        <v>4.7810771470160114E-2</v>
      </c>
      <c r="O40" s="750">
        <f>L40*$E$200/1000</f>
        <v>3.2846000000000002</v>
      </c>
      <c r="Q40" s="759"/>
    </row>
    <row r="41" spans="1:17" x14ac:dyDescent="0.2">
      <c r="A41" s="503"/>
      <c r="B41" s="511"/>
      <c r="C41" s="668"/>
      <c r="D41" s="497"/>
      <c r="E41" s="513"/>
      <c r="F41" s="495"/>
      <c r="G41" s="495"/>
      <c r="H41" s="495"/>
      <c r="I41" s="508"/>
      <c r="J41" s="508"/>
      <c r="K41" s="508"/>
      <c r="L41" s="509"/>
      <c r="M41" s="379"/>
      <c r="N41" s="562"/>
      <c r="O41" s="750"/>
    </row>
    <row r="42" spans="1:17" ht="15" x14ac:dyDescent="0.25">
      <c r="A42" s="503"/>
      <c r="B42" s="511" t="s">
        <v>1046</v>
      </c>
      <c r="C42" s="728">
        <v>2.4789059166666667</v>
      </c>
      <c r="D42" s="497" t="s">
        <v>527</v>
      </c>
      <c r="E42" s="513"/>
      <c r="F42" s="495"/>
      <c r="G42" s="495"/>
      <c r="H42" s="495"/>
      <c r="I42" s="508">
        <v>0</v>
      </c>
      <c r="J42" s="508">
        <v>0</v>
      </c>
      <c r="K42" s="508">
        <f>1000*$C42/$E$200</f>
        <v>1.8558237166322485E-2</v>
      </c>
      <c r="L42" s="509">
        <f>I42*'Standard values'!$D$10+J42*'Standard values'!$D$11+K42*'Standard values'!$D$12</f>
        <v>5.5303546755641007</v>
      </c>
      <c r="M42" s="379"/>
      <c r="N42" s="562">
        <f>+L42/E$25</f>
        <v>10.752750555555554</v>
      </c>
      <c r="O42" s="750">
        <f>L42*$E$200/1000</f>
        <v>738.71396316666664</v>
      </c>
      <c r="Q42" s="751"/>
    </row>
    <row r="43" spans="1:17" ht="15" x14ac:dyDescent="0.25">
      <c r="A43" s="503"/>
      <c r="B43" s="511" t="s">
        <v>351</v>
      </c>
      <c r="C43" s="1302">
        <v>19.543241666666663</v>
      </c>
      <c r="D43" s="497" t="s">
        <v>527</v>
      </c>
      <c r="E43" s="513"/>
      <c r="F43" s="495"/>
      <c r="G43" s="495"/>
      <c r="H43" s="495"/>
      <c r="I43" s="508">
        <v>0</v>
      </c>
      <c r="J43" s="508">
        <f>1000*$C43/$E$200</f>
        <v>0.14630975359341378</v>
      </c>
      <c r="K43" s="508">
        <v>0</v>
      </c>
      <c r="L43" s="509">
        <f>I43*'Standard values'!$D$10+J43*'Standard values'!$D$11+K43*'Standard values'!$D$12</f>
        <v>3.6577438398353443</v>
      </c>
      <c r="M43" s="379"/>
      <c r="N43" s="562"/>
      <c r="O43" s="750"/>
    </row>
    <row r="44" spans="1:17" ht="15.75" x14ac:dyDescent="0.3">
      <c r="A44" s="503"/>
      <c r="B44" s="511"/>
      <c r="C44" s="670" t="s">
        <v>664</v>
      </c>
      <c r="D44" s="495"/>
      <c r="E44" s="513"/>
      <c r="F44" s="514"/>
      <c r="G44" s="514"/>
      <c r="H44" s="514" t="s">
        <v>1047</v>
      </c>
      <c r="I44" s="515">
        <f>SUM(I24:I43)</f>
        <v>3.611220407485709</v>
      </c>
      <c r="J44" s="515">
        <f>SUM(J24:J43)</f>
        <v>0.15249803921724669</v>
      </c>
      <c r="K44" s="515">
        <f>SUM(K24:K43)</f>
        <v>2.3162761988865573E-2</v>
      </c>
      <c r="L44" s="516">
        <f>I44*'Standard values'!$D$10+J44*'Standard values'!$D$11+K44*'Standard values'!$D$12</f>
        <v>14.326174460598818</v>
      </c>
      <c r="M44" s="379"/>
      <c r="N44" s="1201">
        <f>+L44/E$25</f>
        <v>27.85459331764774</v>
      </c>
      <c r="O44" s="1202">
        <f>L44*$E$200/1000</f>
        <v>1913.6105609223998</v>
      </c>
    </row>
    <row r="45" spans="1:17" x14ac:dyDescent="0.2">
      <c r="A45" s="503"/>
      <c r="B45" s="511"/>
      <c r="C45" s="671" t="s">
        <v>665</v>
      </c>
      <c r="D45" s="495"/>
      <c r="E45" s="513"/>
      <c r="F45" s="514"/>
      <c r="G45" s="514"/>
      <c r="H45" s="514"/>
      <c r="I45" s="416"/>
      <c r="J45" s="416"/>
      <c r="K45" s="416"/>
      <c r="L45" s="436"/>
      <c r="M45" s="379"/>
      <c r="N45" s="1203"/>
      <c r="O45" s="1204"/>
    </row>
    <row r="46" spans="1:17" ht="14.25" x14ac:dyDescent="0.25">
      <c r="A46" s="519"/>
      <c r="B46" s="520"/>
      <c r="C46" s="520"/>
      <c r="D46" s="520"/>
      <c r="E46" s="519"/>
      <c r="F46" s="521"/>
      <c r="G46" s="521"/>
      <c r="H46" s="521" t="s">
        <v>534</v>
      </c>
      <c r="I46" s="522"/>
      <c r="J46" s="523" t="s">
        <v>1048</v>
      </c>
      <c r="K46" s="524"/>
      <c r="L46" s="525">
        <f>N44*E$25</f>
        <v>14.326174460598818</v>
      </c>
      <c r="M46" s="379"/>
      <c r="N46" s="390"/>
      <c r="O46" s="390"/>
    </row>
    <row r="47" spans="1:17" x14ac:dyDescent="0.2">
      <c r="A47" s="379"/>
      <c r="B47" s="379"/>
      <c r="C47" s="379"/>
      <c r="D47" s="379"/>
      <c r="E47" s="379"/>
      <c r="F47" s="526"/>
      <c r="G47" s="526"/>
      <c r="H47" s="526"/>
      <c r="I47" s="527"/>
      <c r="J47" s="528"/>
      <c r="K47" s="484"/>
      <c r="L47" s="430"/>
      <c r="M47" s="379"/>
      <c r="N47" s="390"/>
      <c r="O47" s="390"/>
    </row>
    <row r="48" spans="1:17" x14ac:dyDescent="0.2">
      <c r="A48" s="390"/>
      <c r="B48" s="390"/>
      <c r="C48" s="390"/>
      <c r="D48" s="390"/>
      <c r="E48" s="390"/>
      <c r="F48" s="390"/>
      <c r="G48" s="390"/>
      <c r="H48" s="390"/>
      <c r="I48" s="529"/>
      <c r="J48" s="529"/>
      <c r="K48" s="529"/>
      <c r="L48" s="529"/>
      <c r="M48" s="379"/>
      <c r="N48" s="390"/>
      <c r="O48" s="390"/>
    </row>
    <row r="49" spans="1:15" ht="15.75" x14ac:dyDescent="0.25">
      <c r="A49" s="530" t="s">
        <v>108</v>
      </c>
      <c r="B49" s="531"/>
      <c r="C49" s="531"/>
      <c r="D49" s="531"/>
      <c r="E49" s="530" t="s">
        <v>513</v>
      </c>
      <c r="F49" s="532"/>
      <c r="G49" s="532"/>
      <c r="H49" s="531"/>
      <c r="I49" s="532" t="s">
        <v>532</v>
      </c>
      <c r="J49" s="533"/>
      <c r="K49" s="533"/>
      <c r="L49" s="534"/>
      <c r="M49" s="379"/>
      <c r="N49" s="535" t="s">
        <v>162</v>
      </c>
      <c r="O49" s="390"/>
    </row>
    <row r="50" spans="1:15" x14ac:dyDescent="0.2">
      <c r="A50" s="503"/>
      <c r="B50" s="511" t="s">
        <v>520</v>
      </c>
      <c r="C50" s="495" t="s">
        <v>109</v>
      </c>
      <c r="D50" s="495"/>
      <c r="E50" s="553"/>
      <c r="F50" s="674"/>
      <c r="G50" s="674"/>
      <c r="H50" s="495"/>
      <c r="I50" s="492" t="s">
        <v>138</v>
      </c>
      <c r="J50" s="514"/>
      <c r="K50" s="514"/>
      <c r="L50" s="537"/>
      <c r="M50" s="379"/>
      <c r="N50" s="554" t="s">
        <v>221</v>
      </c>
      <c r="O50" s="390"/>
    </row>
    <row r="51" spans="1:15" ht="15.75" x14ac:dyDescent="0.3">
      <c r="A51" s="503"/>
      <c r="B51" s="511" t="s">
        <v>105</v>
      </c>
      <c r="C51" s="495"/>
      <c r="D51" s="495"/>
      <c r="E51" s="505">
        <f>E24</f>
        <v>1</v>
      </c>
      <c r="F51" s="506" t="s">
        <v>226</v>
      </c>
      <c r="G51" s="506"/>
      <c r="H51" s="495"/>
      <c r="I51" s="539" t="s">
        <v>1053</v>
      </c>
      <c r="J51" s="539" t="s">
        <v>1054</v>
      </c>
      <c r="K51" s="539" t="s">
        <v>1055</v>
      </c>
      <c r="L51" s="540" t="s">
        <v>1056</v>
      </c>
      <c r="M51" s="379"/>
      <c r="N51" s="540" t="s">
        <v>1056</v>
      </c>
      <c r="O51" s="390"/>
    </row>
    <row r="52" spans="1:15" ht="15.75" x14ac:dyDescent="0.3">
      <c r="A52" s="503"/>
      <c r="B52" s="511" t="s">
        <v>498</v>
      </c>
      <c r="C52" s="495"/>
      <c r="D52" s="495"/>
      <c r="E52" s="510">
        <f>+C23/E$200</f>
        <v>0.51432000091425611</v>
      </c>
      <c r="F52" s="506" t="s">
        <v>220</v>
      </c>
      <c r="G52" s="506"/>
      <c r="H52" s="495"/>
      <c r="I52" s="539"/>
      <c r="J52" s="539"/>
      <c r="K52" s="539"/>
      <c r="L52" s="540"/>
      <c r="M52" s="379"/>
      <c r="N52" s="562"/>
      <c r="O52" s="390"/>
    </row>
    <row r="53" spans="1:15" ht="15.75" x14ac:dyDescent="0.3">
      <c r="A53" s="503"/>
      <c r="B53" s="495" t="s">
        <v>110</v>
      </c>
      <c r="C53" s="542">
        <v>7</v>
      </c>
      <c r="D53" s="495" t="s">
        <v>510</v>
      </c>
      <c r="E53" s="543">
        <f>(C37/1000)*C53/E23*C55</f>
        <v>2.2984347530199058E-5</v>
      </c>
      <c r="F53" s="495" t="s">
        <v>246</v>
      </c>
      <c r="G53" s="495"/>
      <c r="H53" s="495"/>
      <c r="I53" s="544">
        <f>$E53*VLOOKUP($B53,'Standard values'!$C$9:$S$162,15, FALSE)*VLOOKUP(C54,'Standard values'!$C$9:$S$162,7, FALSE)/$E$201</f>
        <v>1.2061601403853648E-2</v>
      </c>
      <c r="J53" s="544">
        <f>$E53*((VLOOKUP($B53,'Standard values'!$C$9:$S$162,15, FALSE)*VLOOKUP(C54,'Standard values'!$C$9:$S$162,8, FALSE))+VLOOKUP($B53,'Standard values'!$C$9:$S$162,16, FALSE))/$E$201</f>
        <v>0</v>
      </c>
      <c r="K53" s="544">
        <f>$E53*((VLOOKUP($B53,'Standard values'!$C$9:$S$162,15, FALSE)*VLOOKUP(C54,'Standard values'!$C$9:$S$162,9, FALSE))+VLOOKUP($B53,'Standard values'!$C$9:$S$162,17, FALSE))/$E$201</f>
        <v>0</v>
      </c>
      <c r="L53" s="419">
        <f>I53*'Standard values'!$D$10+J53*'Standard values'!$D$11+K53*'Standard values'!$D$12</f>
        <v>1.2061601403853648E-2</v>
      </c>
      <c r="M53" s="379"/>
      <c r="N53" s="562">
        <f>+L53/E$52</f>
        <v>2.3451550362445412E-2</v>
      </c>
      <c r="O53" s="390"/>
    </row>
    <row r="54" spans="1:15" x14ac:dyDescent="0.2">
      <c r="A54" s="503"/>
      <c r="B54" s="546" t="s">
        <v>54</v>
      </c>
      <c r="C54" s="547" t="s">
        <v>509</v>
      </c>
      <c r="D54" s="495"/>
      <c r="E54" s="543"/>
      <c r="F54" s="495"/>
      <c r="G54" s="495"/>
      <c r="H54" s="495"/>
      <c r="I54" s="544"/>
      <c r="J54" s="544"/>
      <c r="K54" s="544"/>
      <c r="L54" s="516"/>
      <c r="M54" s="379"/>
      <c r="N54" s="562"/>
      <c r="O54" s="390"/>
    </row>
    <row r="55" spans="1:15" x14ac:dyDescent="0.2">
      <c r="A55" s="503"/>
      <c r="B55" s="546" t="s">
        <v>696</v>
      </c>
      <c r="C55" s="760">
        <v>4.5999999999999999E-2</v>
      </c>
      <c r="D55" s="495"/>
      <c r="E55" s="543"/>
      <c r="F55" s="495"/>
      <c r="G55" s="495"/>
      <c r="H55" s="495"/>
      <c r="I55" s="544"/>
      <c r="J55" s="544"/>
      <c r="K55" s="544"/>
      <c r="L55" s="516"/>
      <c r="M55" s="379"/>
      <c r="N55" s="562"/>
      <c r="O55" s="390"/>
    </row>
    <row r="56" spans="1:15" ht="15.75" x14ac:dyDescent="0.3">
      <c r="A56" s="503"/>
      <c r="B56" s="497" t="s">
        <v>111</v>
      </c>
      <c r="C56" s="542">
        <v>14</v>
      </c>
      <c r="D56" s="495" t="s">
        <v>510</v>
      </c>
      <c r="E56" s="543">
        <f>(C37/1000)*C56/E23*C58</f>
        <v>2.3583939204899904E-4</v>
      </c>
      <c r="F56" s="495" t="s">
        <v>246</v>
      </c>
      <c r="G56" s="495"/>
      <c r="H56" s="495"/>
      <c r="I56" s="544">
        <f>$E56*VLOOKUP($B56,'Standard values'!$C$9:$S$162,15, FALSE)*VLOOKUP(C57,'Standard values'!$C$9:$S$162,7, FALSE)/$E$201</f>
        <v>5.3859614642328767E-2</v>
      </c>
      <c r="J56" s="544">
        <f>$E56*((VLOOKUP($B56,'Standard values'!$C$9:$S$162,15, FALSE)*VLOOKUP(C57,'Standard values'!$C$9:$S$162,8, FALSE))+VLOOKUP($B56,'Standard values'!$C$9:$S$162,16, FALSE))/$E$201</f>
        <v>0</v>
      </c>
      <c r="K56" s="544">
        <f>$E56*((VLOOKUP($B56,'Standard values'!$C$9:$S$162,15, FALSE)*VLOOKUP(C57,'Standard values'!$C$9:$S$162,9, FALSE))+VLOOKUP($B56,'Standard values'!$C$9:$S$162,17, FALSE))/$E$201</f>
        <v>0</v>
      </c>
      <c r="L56" s="419">
        <f>I56*'Standard values'!$D$10+J56*'Standard values'!$D$11+K56*'Standard values'!$D$12</f>
        <v>5.3859614642328767E-2</v>
      </c>
      <c r="M56" s="379"/>
      <c r="N56" s="562">
        <f>+L56/E$52</f>
        <v>0.10472004694856864</v>
      </c>
      <c r="O56" s="390"/>
    </row>
    <row r="57" spans="1:15" x14ac:dyDescent="0.2">
      <c r="A57" s="503"/>
      <c r="B57" s="546"/>
      <c r="C57" s="547" t="s">
        <v>509</v>
      </c>
      <c r="D57" s="495"/>
      <c r="E57" s="543"/>
      <c r="F57" s="495"/>
      <c r="G57" s="495"/>
      <c r="H57" s="495"/>
      <c r="I57" s="544"/>
      <c r="J57" s="544"/>
      <c r="K57" s="544"/>
      <c r="L57" s="419"/>
      <c r="M57" s="379"/>
      <c r="N57" s="562"/>
      <c r="O57" s="390"/>
    </row>
    <row r="58" spans="1:15" x14ac:dyDescent="0.2">
      <c r="A58" s="503"/>
      <c r="B58" s="546" t="s">
        <v>696</v>
      </c>
      <c r="C58" s="760">
        <v>0.23599999999999999</v>
      </c>
      <c r="D58" s="495"/>
      <c r="E58" s="543"/>
      <c r="F58" s="495"/>
      <c r="G58" s="495"/>
      <c r="H58" s="495"/>
      <c r="I58" s="544"/>
      <c r="J58" s="544"/>
      <c r="K58" s="544"/>
      <c r="L58" s="419"/>
      <c r="M58" s="379"/>
      <c r="N58" s="562"/>
      <c r="O58" s="390"/>
    </row>
    <row r="59" spans="1:15" ht="15.75" x14ac:dyDescent="0.3">
      <c r="A59" s="503"/>
      <c r="B59" s="546" t="s">
        <v>697</v>
      </c>
      <c r="C59" s="547">
        <v>4.6800000000000001E-3</v>
      </c>
      <c r="D59" s="495" t="s">
        <v>752</v>
      </c>
      <c r="E59" s="543">
        <f>C37/E23</f>
        <v>7.1379961273910122E-2</v>
      </c>
      <c r="F59" s="495" t="s">
        <v>753</v>
      </c>
      <c r="G59" s="495"/>
      <c r="H59" s="495"/>
      <c r="I59" s="544">
        <f>C59*E59*C61*VLOOKUP(C60,'Standard values'!$C$9:$S$162,7, FALSE)/$E$201</f>
        <v>5.8272767858990653E-2</v>
      </c>
      <c r="J59" s="544">
        <f>C59*E59*C61*VLOOKUP(C60,'Standard values'!$C$9:$S$162,8, FALSE)/$E$201</f>
        <v>0</v>
      </c>
      <c r="K59" s="544">
        <f>C59*E59*C61*VLOOKUP(C60,'Standard values'!$C$9:$S$162,9, FALSE)/$E$201</f>
        <v>0</v>
      </c>
      <c r="L59" s="419">
        <f>I59*'Standard values'!$D$10+J59*'Standard values'!$D$11+K59*'Standard values'!$D$12</f>
        <v>5.8272767858990653E-2</v>
      </c>
      <c r="M59" s="379"/>
      <c r="N59" s="562">
        <f>+L59/E$52</f>
        <v>0.113300606150655</v>
      </c>
      <c r="O59" s="390"/>
    </row>
    <row r="60" spans="1:15" x14ac:dyDescent="0.2">
      <c r="A60" s="503"/>
      <c r="B60" s="546" t="s">
        <v>54</v>
      </c>
      <c r="C60" s="547" t="s">
        <v>509</v>
      </c>
      <c r="D60" s="495"/>
      <c r="E60" s="543"/>
      <c r="F60" s="495"/>
      <c r="G60" s="495"/>
      <c r="H60" s="495"/>
      <c r="I60" s="544"/>
      <c r="J60" s="544"/>
      <c r="K60" s="544"/>
      <c r="L60" s="516"/>
      <c r="M60" s="379"/>
      <c r="N60" s="562"/>
      <c r="O60" s="390"/>
    </row>
    <row r="61" spans="1:15" x14ac:dyDescent="0.2">
      <c r="A61" s="503"/>
      <c r="B61" s="546" t="s">
        <v>696</v>
      </c>
      <c r="C61" s="760">
        <v>0.71799999999999997</v>
      </c>
      <c r="D61" s="495"/>
      <c r="E61" s="543"/>
      <c r="F61" s="495"/>
      <c r="G61" s="495"/>
      <c r="H61" s="495"/>
      <c r="I61" s="544"/>
      <c r="J61" s="544"/>
      <c r="K61" s="544"/>
      <c r="L61" s="516"/>
      <c r="M61" s="379"/>
      <c r="N61" s="562"/>
      <c r="O61" s="390"/>
    </row>
    <row r="62" spans="1:15" x14ac:dyDescent="0.2">
      <c r="A62" s="503"/>
      <c r="B62" s="511" t="s">
        <v>107</v>
      </c>
      <c r="C62" s="495"/>
      <c r="D62" s="495"/>
      <c r="E62" s="505"/>
      <c r="F62" s="506"/>
      <c r="G62" s="506"/>
      <c r="H62" s="495"/>
      <c r="I62" s="539"/>
      <c r="J62" s="539"/>
      <c r="K62" s="539"/>
      <c r="L62" s="540"/>
      <c r="M62" s="379"/>
      <c r="N62" s="562"/>
      <c r="O62" s="390"/>
    </row>
    <row r="63" spans="1:15" x14ac:dyDescent="0.2">
      <c r="A63" s="503"/>
      <c r="B63" s="511" t="s">
        <v>498</v>
      </c>
      <c r="C63" s="495"/>
      <c r="D63" s="495"/>
      <c r="E63" s="543"/>
      <c r="F63" s="506"/>
      <c r="G63" s="506"/>
      <c r="H63" s="495"/>
      <c r="I63" s="539"/>
      <c r="J63" s="539"/>
      <c r="K63" s="539"/>
      <c r="L63" s="540"/>
      <c r="M63" s="379"/>
      <c r="N63" s="562"/>
      <c r="O63" s="390"/>
    </row>
    <row r="64" spans="1:15" ht="15.75" x14ac:dyDescent="0.3">
      <c r="A64" s="503"/>
      <c r="B64" s="495" t="s">
        <v>112</v>
      </c>
      <c r="C64" s="542">
        <v>8</v>
      </c>
      <c r="D64" s="495" t="s">
        <v>510</v>
      </c>
      <c r="E64" s="761">
        <f>(C33/1000)*C64/E23</f>
        <v>1.2962707909682333E-5</v>
      </c>
      <c r="F64" s="495" t="s">
        <v>246</v>
      </c>
      <c r="G64" s="495"/>
      <c r="H64" s="495"/>
      <c r="I64" s="544">
        <f>$E64*VLOOKUP($B64,'Standard values'!$C$9:$S$162,15, FALSE)*VLOOKUP(C65,'Standard values'!$C$9:$S$162,7, FALSE)/$E$201</f>
        <v>1.1337499408799846E-2</v>
      </c>
      <c r="J64" s="544">
        <f>$E64*((VLOOKUP($B64,'Standard values'!$C$9:$S$162,15, FALSE)*VLOOKUP(C65,'Standard values'!$C$9:$S$162,8, FALSE))+VLOOKUP($B64,'Standard values'!$C$9:$S$162,16, FALSE))/$E$201</f>
        <v>0</v>
      </c>
      <c r="K64" s="544">
        <f>$E64*((VLOOKUP($B64,'Standard values'!$C$9:$S$162,15, FALSE)*VLOOKUP(C65,'Standard values'!$C$9:$S$162,9, FALSE))+VLOOKUP($B64,'Standard values'!$C$9:$S$162,17, FALSE))/$E$201</f>
        <v>0</v>
      </c>
      <c r="L64" s="419">
        <f>I64*'Standard values'!$D$10+J64*'Standard values'!$D$11+K64*'Standard values'!$D$12</f>
        <v>1.1337499408799846E-2</v>
      </c>
      <c r="M64" s="379"/>
      <c r="N64" s="562">
        <f>+L64/E$52</f>
        <v>2.2043668122270741E-2</v>
      </c>
      <c r="O64" s="390"/>
    </row>
    <row r="65" spans="1:15" x14ac:dyDescent="0.2">
      <c r="A65" s="503"/>
      <c r="B65" s="546" t="s">
        <v>54</v>
      </c>
      <c r="C65" s="547" t="s">
        <v>509</v>
      </c>
      <c r="D65" s="495"/>
      <c r="E65" s="543"/>
      <c r="F65" s="495"/>
      <c r="G65" s="495"/>
      <c r="H65" s="495"/>
      <c r="I65" s="544"/>
      <c r="J65" s="544"/>
      <c r="K65" s="544"/>
      <c r="L65" s="516"/>
      <c r="M65" s="379"/>
      <c r="N65" s="541"/>
      <c r="O65" s="390"/>
    </row>
    <row r="66" spans="1:15" x14ac:dyDescent="0.2">
      <c r="A66" s="503"/>
      <c r="B66" s="546"/>
      <c r="C66" s="495"/>
      <c r="D66" s="495"/>
      <c r="E66" s="543"/>
      <c r="F66" s="495"/>
      <c r="G66" s="495"/>
      <c r="H66" s="514" t="s">
        <v>1047</v>
      </c>
      <c r="I66" s="515">
        <f>SUM(I53:I65)</f>
        <v>0.13553148331397291</v>
      </c>
      <c r="J66" s="515">
        <f>SUM(J53:J65)</f>
        <v>0</v>
      </c>
      <c r="K66" s="515">
        <f>SUM(K53:K65)</f>
        <v>0</v>
      </c>
      <c r="L66" s="516">
        <f>I66*'Standard values'!$D$10+J66*'Standard values'!$D$11+K66*'Standard values'!$D$12</f>
        <v>0.13553148331397291</v>
      </c>
      <c r="M66" s="379"/>
      <c r="N66" s="1201">
        <f>+L66/E$52</f>
        <v>0.2635158715839398</v>
      </c>
      <c r="O66" s="390"/>
    </row>
    <row r="67" spans="1:15" x14ac:dyDescent="0.2">
      <c r="A67" s="503"/>
      <c r="B67" s="495"/>
      <c r="C67" s="495"/>
      <c r="D67" s="495"/>
      <c r="E67" s="503"/>
      <c r="F67" s="495"/>
      <c r="G67" s="495"/>
      <c r="H67" s="548"/>
      <c r="I67" s="544"/>
      <c r="J67" s="544"/>
      <c r="K67" s="544"/>
      <c r="L67" s="516"/>
      <c r="M67" s="379"/>
      <c r="N67" s="1203"/>
      <c r="O67" s="390"/>
    </row>
    <row r="68" spans="1:15" ht="14.25" x14ac:dyDescent="0.25">
      <c r="A68" s="519"/>
      <c r="B68" s="520"/>
      <c r="C68" s="520"/>
      <c r="D68" s="520"/>
      <c r="E68" s="519"/>
      <c r="F68" s="521"/>
      <c r="G68" s="521"/>
      <c r="H68" s="521" t="s">
        <v>534</v>
      </c>
      <c r="I68" s="520"/>
      <c r="J68" s="523" t="s">
        <v>1048</v>
      </c>
      <c r="K68" s="549"/>
      <c r="L68" s="525">
        <f>N66*E$52</f>
        <v>0.13553148331397291</v>
      </c>
      <c r="M68" s="379"/>
      <c r="N68" s="390"/>
      <c r="O68" s="390"/>
    </row>
    <row r="69" spans="1:15" x14ac:dyDescent="0.2">
      <c r="A69" s="390"/>
      <c r="B69" s="390"/>
      <c r="C69" s="390"/>
      <c r="D69" s="390"/>
      <c r="E69" s="390"/>
      <c r="F69" s="376"/>
      <c r="G69" s="376"/>
      <c r="H69" s="376"/>
      <c r="I69" s="390"/>
      <c r="J69" s="550"/>
      <c r="K69" s="551"/>
      <c r="L69" s="552"/>
      <c r="M69" s="379"/>
      <c r="N69" s="379"/>
      <c r="O69" s="379"/>
    </row>
    <row r="70" spans="1:15" x14ac:dyDescent="0.2">
      <c r="A70" s="390"/>
      <c r="B70" s="390"/>
      <c r="C70" s="390"/>
      <c r="D70" s="390"/>
      <c r="E70" s="390"/>
      <c r="F70" s="390"/>
      <c r="G70" s="390"/>
      <c r="H70" s="390"/>
      <c r="I70" s="529"/>
      <c r="J70" s="529"/>
      <c r="K70" s="529"/>
      <c r="L70" s="529"/>
      <c r="M70" s="379"/>
      <c r="N70" s="390"/>
      <c r="O70" s="390"/>
    </row>
    <row r="71" spans="1:15" ht="15.75" x14ac:dyDescent="0.25">
      <c r="A71" s="530" t="s">
        <v>222</v>
      </c>
      <c r="B71" s="531"/>
      <c r="C71" s="531"/>
      <c r="D71" s="531"/>
      <c r="E71" s="530" t="s">
        <v>513</v>
      </c>
      <c r="F71" s="532"/>
      <c r="G71" s="532"/>
      <c r="H71" s="531"/>
      <c r="I71" s="532" t="s">
        <v>532</v>
      </c>
      <c r="J71" s="533"/>
      <c r="K71" s="533"/>
      <c r="L71" s="534"/>
      <c r="M71" s="379"/>
      <c r="N71" s="535" t="s">
        <v>162</v>
      </c>
      <c r="O71" s="390"/>
    </row>
    <row r="72" spans="1:15" ht="15.75" x14ac:dyDescent="0.3">
      <c r="A72" s="503"/>
      <c r="B72" s="511" t="s">
        <v>520</v>
      </c>
      <c r="C72" s="536">
        <v>1</v>
      </c>
      <c r="D72" s="495" t="s">
        <v>315</v>
      </c>
      <c r="E72" s="553">
        <f>E23*C72</f>
        <v>370293</v>
      </c>
      <c r="F72" s="674" t="s">
        <v>219</v>
      </c>
      <c r="G72" s="674"/>
      <c r="H72" s="495"/>
      <c r="I72" s="492" t="s">
        <v>138</v>
      </c>
      <c r="J72" s="514"/>
      <c r="K72" s="514"/>
      <c r="L72" s="537"/>
      <c r="M72" s="379"/>
      <c r="N72" s="554" t="s">
        <v>221</v>
      </c>
      <c r="O72" s="390"/>
    </row>
    <row r="73" spans="1:15" ht="15.75" x14ac:dyDescent="0.3">
      <c r="A73" s="503"/>
      <c r="B73" s="495"/>
      <c r="C73" s="495"/>
      <c r="D73" s="495"/>
      <c r="E73" s="505">
        <f>E24*C72</f>
        <v>1</v>
      </c>
      <c r="F73" s="506" t="s">
        <v>226</v>
      </c>
      <c r="G73" s="506"/>
      <c r="H73" s="495"/>
      <c r="I73" s="539" t="s">
        <v>1053</v>
      </c>
      <c r="J73" s="539" t="s">
        <v>1054</v>
      </c>
      <c r="K73" s="539" t="s">
        <v>1055</v>
      </c>
      <c r="L73" s="540" t="s">
        <v>1056</v>
      </c>
      <c r="M73" s="379"/>
      <c r="N73" s="540" t="s">
        <v>1056</v>
      </c>
      <c r="O73" s="390"/>
    </row>
    <row r="74" spans="1:15" x14ac:dyDescent="0.2">
      <c r="A74" s="503"/>
      <c r="B74" s="511" t="s">
        <v>498</v>
      </c>
      <c r="C74" s="495"/>
      <c r="D74" s="495"/>
      <c r="E74" s="505"/>
      <c r="F74" s="506"/>
      <c r="G74" s="506"/>
      <c r="H74" s="495"/>
      <c r="I74" s="539"/>
      <c r="J74" s="539"/>
      <c r="K74" s="539"/>
      <c r="L74" s="540"/>
      <c r="M74" s="379"/>
      <c r="N74" s="541"/>
      <c r="O74" s="390"/>
    </row>
    <row r="75" spans="1:15" ht="15.75" x14ac:dyDescent="0.3">
      <c r="A75" s="503"/>
      <c r="B75" s="495" t="s">
        <v>1111</v>
      </c>
      <c r="C75" s="542">
        <v>20</v>
      </c>
      <c r="D75" s="495" t="s">
        <v>510</v>
      </c>
      <c r="E75" s="543">
        <f>(C75*E73)/(VLOOKUP($B72,'Standard values'!$C$9:$S$162,14, FALSE))/(1-$C$24)/1000</f>
        <v>3.7105751391465673E-3</v>
      </c>
      <c r="F75" s="495" t="s">
        <v>246</v>
      </c>
      <c r="G75" s="495"/>
      <c r="H75" s="495"/>
      <c r="I75" s="544">
        <f>$E75*VLOOKUP($B75,'Standard values'!$C$9:$S$162,15, FALSE)*VLOOKUP(C76,'Standard values'!$C$9:$S$162,7, FALSE)/$E$201</f>
        <v>0.84379339349992843</v>
      </c>
      <c r="J75" s="544">
        <f>$E75*((VLOOKUP($B75,'Standard values'!$C$9:$S$162,15, FALSE)*VLOOKUP(C76,'Standard values'!$C$9:$S$162,8, FALSE))+VLOOKUP($B75,'Standard values'!$C$9:$S$162,16, FALSE))/$E$201</f>
        <v>5.1432000091425604E-5</v>
      </c>
      <c r="K75" s="544">
        <f>$E75*((VLOOKUP($B75,'Standard values'!$C$9:$S$162,15, FALSE)*VLOOKUP(C76,'Standard values'!$C$9:$S$162,9, FALSE))+VLOOKUP($B75,'Standard values'!$C$9:$S$162,17, FALSE))/$E$201</f>
        <v>0</v>
      </c>
      <c r="L75" s="516">
        <f>I75*'Standard values'!$D$10+J75*'Standard values'!$D$11+K75*'Standard values'!$D$12</f>
        <v>0.84507919350221405</v>
      </c>
      <c r="M75" s="379"/>
      <c r="N75" s="1201">
        <f>+L75/E$52</f>
        <v>1.6430999999999998</v>
      </c>
      <c r="O75" s="390"/>
    </row>
    <row r="76" spans="1:15" x14ac:dyDescent="0.2">
      <c r="A76" s="503"/>
      <c r="B76" s="546" t="s">
        <v>54</v>
      </c>
      <c r="C76" s="547" t="s">
        <v>509</v>
      </c>
      <c r="D76" s="495"/>
      <c r="E76" s="543"/>
      <c r="F76" s="495"/>
      <c r="G76" s="495"/>
      <c r="H76" s="495"/>
      <c r="I76" s="544"/>
      <c r="J76" s="544"/>
      <c r="K76" s="544"/>
      <c r="L76" s="516"/>
      <c r="M76" s="379"/>
      <c r="N76" s="1203"/>
      <c r="O76" s="390"/>
    </row>
    <row r="77" spans="1:15" x14ac:dyDescent="0.2">
      <c r="A77" s="503"/>
      <c r="B77" s="495"/>
      <c r="C77" s="495"/>
      <c r="D77" s="495"/>
      <c r="E77" s="503"/>
      <c r="F77" s="495"/>
      <c r="G77" s="495"/>
      <c r="H77" s="548"/>
      <c r="I77" s="544"/>
      <c r="J77" s="544"/>
      <c r="K77" s="544"/>
      <c r="L77" s="516"/>
      <c r="M77" s="379"/>
      <c r="N77" s="390"/>
      <c r="O77" s="390"/>
    </row>
    <row r="78" spans="1:15" ht="14.25" x14ac:dyDescent="0.25">
      <c r="A78" s="519"/>
      <c r="B78" s="520"/>
      <c r="C78" s="520"/>
      <c r="D78" s="520"/>
      <c r="E78" s="519"/>
      <c r="F78" s="521"/>
      <c r="G78" s="521"/>
      <c r="H78" s="521" t="s">
        <v>534</v>
      </c>
      <c r="I78" s="520"/>
      <c r="J78" s="523" t="s">
        <v>1048</v>
      </c>
      <c r="K78" s="549"/>
      <c r="L78" s="525">
        <f>N75*E$52</f>
        <v>0.84507919350221417</v>
      </c>
      <c r="M78" s="379"/>
      <c r="N78" s="390"/>
      <c r="O78" s="390"/>
    </row>
    <row r="79" spans="1:15" x14ac:dyDescent="0.2">
      <c r="A79" s="390"/>
      <c r="B79" s="390"/>
      <c r="C79" s="390"/>
      <c r="D79" s="390"/>
      <c r="E79" s="390"/>
      <c r="F79" s="376"/>
      <c r="G79" s="376"/>
      <c r="H79" s="376"/>
      <c r="I79" s="390"/>
      <c r="J79" s="550"/>
      <c r="K79" s="551"/>
      <c r="L79" s="552"/>
      <c r="M79" s="379"/>
      <c r="N79" s="379"/>
      <c r="O79" s="379"/>
    </row>
    <row r="80" spans="1:15" x14ac:dyDescent="0.2">
      <c r="A80" s="390"/>
      <c r="B80" s="390"/>
      <c r="C80" s="390"/>
      <c r="D80" s="390"/>
      <c r="E80" s="390"/>
      <c r="F80" s="390"/>
      <c r="G80" s="390"/>
      <c r="H80" s="390"/>
      <c r="I80" s="390"/>
      <c r="J80" s="390"/>
      <c r="K80" s="390"/>
      <c r="L80" s="375"/>
      <c r="M80" s="379"/>
      <c r="N80" s="379"/>
      <c r="O80" s="379"/>
    </row>
    <row r="81" spans="1:15" ht="15.75" x14ac:dyDescent="0.25">
      <c r="A81" s="530" t="s">
        <v>536</v>
      </c>
      <c r="B81" s="531"/>
      <c r="C81" s="531"/>
      <c r="D81" s="531"/>
      <c r="E81" s="530" t="s">
        <v>513</v>
      </c>
      <c r="F81" s="532"/>
      <c r="G81" s="532"/>
      <c r="H81" s="531"/>
      <c r="I81" s="532" t="s">
        <v>532</v>
      </c>
      <c r="J81" s="533"/>
      <c r="K81" s="533"/>
      <c r="L81" s="534"/>
      <c r="M81" s="379"/>
      <c r="N81" s="535" t="s">
        <v>162</v>
      </c>
      <c r="O81" s="379"/>
    </row>
    <row r="82" spans="1:15" x14ac:dyDescent="0.2">
      <c r="A82" s="503"/>
      <c r="B82" s="511" t="s">
        <v>524</v>
      </c>
      <c r="C82" s="495"/>
      <c r="D82" s="495"/>
      <c r="E82" s="553"/>
      <c r="F82" s="495"/>
      <c r="G82" s="495"/>
      <c r="H82" s="495"/>
      <c r="I82" s="492" t="s">
        <v>138</v>
      </c>
      <c r="J82" s="514"/>
      <c r="K82" s="514"/>
      <c r="L82" s="537"/>
      <c r="M82" s="379"/>
      <c r="N82" s="554" t="s">
        <v>1010</v>
      </c>
      <c r="O82" s="379"/>
    </row>
    <row r="83" spans="1:15" ht="15.75" x14ac:dyDescent="0.3">
      <c r="A83" s="503"/>
      <c r="B83" s="495" t="s">
        <v>499</v>
      </c>
      <c r="C83" s="536">
        <v>0.3607263116883111</v>
      </c>
      <c r="D83" s="495" t="s">
        <v>225</v>
      </c>
      <c r="E83" s="553">
        <f>E72*C83</f>
        <v>133574.42813399978</v>
      </c>
      <c r="F83" s="495" t="s">
        <v>1030</v>
      </c>
      <c r="G83" s="495"/>
      <c r="H83" s="495"/>
      <c r="I83" s="539" t="s">
        <v>1053</v>
      </c>
      <c r="J83" s="539" t="s">
        <v>1054</v>
      </c>
      <c r="K83" s="539" t="s">
        <v>1055</v>
      </c>
      <c r="L83" s="540" t="s">
        <v>1056</v>
      </c>
      <c r="M83" s="379"/>
      <c r="N83" s="540" t="s">
        <v>1056</v>
      </c>
      <c r="O83" s="379"/>
    </row>
    <row r="84" spans="1:15" ht="15.75" x14ac:dyDescent="0.3">
      <c r="A84" s="563"/>
      <c r="B84" s="506" t="s">
        <v>126</v>
      </c>
      <c r="C84" s="536">
        <v>0</v>
      </c>
      <c r="D84" s="495" t="s">
        <v>223</v>
      </c>
      <c r="E84" s="505">
        <f>E73*C83</f>
        <v>0.3607263116883111</v>
      </c>
      <c r="F84" s="506" t="s">
        <v>226</v>
      </c>
      <c r="G84" s="506"/>
      <c r="H84" s="495"/>
      <c r="I84" s="495"/>
      <c r="J84" s="495"/>
      <c r="K84" s="495"/>
      <c r="L84" s="541"/>
      <c r="M84" s="379"/>
      <c r="N84" s="541"/>
      <c r="O84" s="379"/>
    </row>
    <row r="85" spans="1:15" ht="15.75" x14ac:dyDescent="0.3">
      <c r="A85" s="563"/>
      <c r="B85" s="506"/>
      <c r="C85" s="564"/>
      <c r="D85" s="506"/>
      <c r="E85" s="762">
        <f>E83/E200/VLOOKUP($B83,'Standard values'!$C$9:$S$162,14, FALSE)</f>
        <v>3.7299515106303617E-2</v>
      </c>
      <c r="F85" s="495" t="s">
        <v>1009</v>
      </c>
      <c r="G85" s="495"/>
      <c r="H85" s="495"/>
      <c r="I85" s="495"/>
      <c r="J85" s="495"/>
      <c r="K85" s="495"/>
      <c r="L85" s="541"/>
      <c r="M85" s="379"/>
      <c r="N85" s="562"/>
      <c r="O85" s="379"/>
    </row>
    <row r="86" spans="1:15" x14ac:dyDescent="0.2">
      <c r="A86" s="503"/>
      <c r="B86" s="511" t="s">
        <v>525</v>
      </c>
      <c r="C86" s="495"/>
      <c r="D86" s="495"/>
      <c r="E86" s="513"/>
      <c r="F86" s="495"/>
      <c r="G86" s="495"/>
      <c r="H86" s="495"/>
      <c r="I86" s="495"/>
      <c r="J86" s="495"/>
      <c r="K86" s="495"/>
      <c r="L86" s="541"/>
      <c r="M86" s="379"/>
      <c r="N86" s="562"/>
      <c r="O86" s="379"/>
    </row>
    <row r="87" spans="1:15" ht="15.75" x14ac:dyDescent="0.3">
      <c r="A87" s="503"/>
      <c r="B87" s="495" t="s">
        <v>749</v>
      </c>
      <c r="C87" s="536">
        <v>0</v>
      </c>
      <c r="D87" s="495" t="s">
        <v>495</v>
      </c>
      <c r="E87" s="503" t="s">
        <v>750</v>
      </c>
      <c r="F87" s="495"/>
      <c r="G87" s="495"/>
      <c r="H87" s="495"/>
      <c r="I87" s="544"/>
      <c r="J87" s="544"/>
      <c r="K87" s="544"/>
      <c r="L87" s="419"/>
      <c r="M87" s="379"/>
      <c r="N87" s="562">
        <f>+L87/$E$85</f>
        <v>0</v>
      </c>
      <c r="O87" s="379"/>
    </row>
    <row r="88" spans="1:15" ht="15.75" x14ac:dyDescent="0.3">
      <c r="A88" s="503"/>
      <c r="B88" s="495" t="s">
        <v>676</v>
      </c>
      <c r="C88" s="536">
        <v>0</v>
      </c>
      <c r="D88" s="495" t="s">
        <v>495</v>
      </c>
      <c r="E88" s="503"/>
      <c r="F88" s="495"/>
      <c r="G88" s="495"/>
      <c r="H88" s="495"/>
      <c r="I88" s="544"/>
      <c r="J88" s="544"/>
      <c r="K88" s="544"/>
      <c r="L88" s="419"/>
      <c r="M88" s="379"/>
      <c r="N88" s="562"/>
      <c r="O88" s="379"/>
    </row>
    <row r="89" spans="1:15" x14ac:dyDescent="0.2">
      <c r="A89" s="503"/>
      <c r="B89" s="565" t="s">
        <v>972</v>
      </c>
      <c r="C89" s="566"/>
      <c r="D89" s="566"/>
      <c r="E89" s="567"/>
      <c r="F89" s="568"/>
      <c r="G89" s="568"/>
      <c r="H89" s="568"/>
      <c r="I89" s="569"/>
      <c r="J89" s="568"/>
      <c r="K89" s="568"/>
      <c r="L89" s="570"/>
      <c r="M89" s="379"/>
      <c r="N89" s="562"/>
      <c r="O89" s="379"/>
    </row>
    <row r="90" spans="1:15" x14ac:dyDescent="0.2">
      <c r="A90" s="503"/>
      <c r="B90" s="571" t="s">
        <v>377</v>
      </c>
      <c r="C90" s="566"/>
      <c r="D90" s="566"/>
      <c r="E90" s="567" t="s">
        <v>799</v>
      </c>
      <c r="F90" s="568"/>
      <c r="G90" s="568"/>
      <c r="H90" s="568"/>
      <c r="I90" s="569"/>
      <c r="J90" s="568"/>
      <c r="K90" s="568"/>
      <c r="L90" s="570"/>
      <c r="M90" s="379"/>
      <c r="N90" s="562"/>
      <c r="O90" s="379"/>
    </row>
    <row r="91" spans="1:15" ht="15.75" x14ac:dyDescent="0.3">
      <c r="A91" s="503"/>
      <c r="B91" s="572" t="s">
        <v>380</v>
      </c>
      <c r="C91" s="573">
        <f>C88</f>
        <v>0</v>
      </c>
      <c r="D91" s="568" t="s">
        <v>495</v>
      </c>
      <c r="E91" s="567" t="s">
        <v>768</v>
      </c>
      <c r="F91" s="568"/>
      <c r="G91" s="568"/>
      <c r="H91" s="568"/>
      <c r="I91" s="574"/>
      <c r="J91" s="574"/>
      <c r="K91" s="574"/>
      <c r="L91" s="575"/>
      <c r="M91" s="379"/>
      <c r="N91" s="562"/>
      <c r="O91" s="379"/>
    </row>
    <row r="92" spans="1:15" x14ac:dyDescent="0.2">
      <c r="A92" s="503"/>
      <c r="B92" s="571" t="s">
        <v>378</v>
      </c>
      <c r="C92" s="573"/>
      <c r="D92" s="566"/>
      <c r="E92" s="576"/>
      <c r="F92" s="568"/>
      <c r="G92" s="568"/>
      <c r="H92" s="568"/>
      <c r="I92" s="574"/>
      <c r="J92" s="574"/>
      <c r="K92" s="574"/>
      <c r="L92" s="575"/>
      <c r="M92" s="379"/>
      <c r="N92" s="562"/>
      <c r="O92" s="379"/>
    </row>
    <row r="93" spans="1:15" ht="14.25" x14ac:dyDescent="0.25">
      <c r="A93" s="503"/>
      <c r="B93" s="577" t="s">
        <v>936</v>
      </c>
      <c r="C93" s="536">
        <f>1/0.9</f>
        <v>1.1111111111111112</v>
      </c>
      <c r="D93" s="568" t="s">
        <v>419</v>
      </c>
      <c r="E93" s="578"/>
      <c r="F93" s="568"/>
      <c r="G93" s="568"/>
      <c r="H93" s="568"/>
      <c r="I93" s="574"/>
      <c r="J93" s="574"/>
      <c r="K93" s="574"/>
      <c r="L93" s="575"/>
      <c r="M93" s="379"/>
      <c r="N93" s="562"/>
      <c r="O93" s="379"/>
    </row>
    <row r="94" spans="1:15" ht="15.75" x14ac:dyDescent="0.3">
      <c r="A94" s="503"/>
      <c r="B94" s="572" t="s">
        <v>804</v>
      </c>
      <c r="C94" s="573">
        <f>C93*C88</f>
        <v>0</v>
      </c>
      <c r="D94" s="568" t="s">
        <v>495</v>
      </c>
      <c r="E94" s="578"/>
      <c r="F94" s="568"/>
      <c r="G94" s="568"/>
      <c r="H94" s="568"/>
      <c r="I94" s="574"/>
      <c r="J94" s="574"/>
      <c r="K94" s="574"/>
      <c r="L94" s="575"/>
      <c r="M94" s="379"/>
      <c r="N94" s="562"/>
      <c r="O94" s="379"/>
    </row>
    <row r="95" spans="1:15" x14ac:dyDescent="0.2">
      <c r="A95" s="503"/>
      <c r="B95" s="571" t="s">
        <v>935</v>
      </c>
      <c r="C95" s="573"/>
      <c r="D95" s="566"/>
      <c r="E95" s="567"/>
      <c r="F95" s="568"/>
      <c r="G95" s="568"/>
      <c r="H95" s="568"/>
      <c r="I95" s="569" t="s">
        <v>532</v>
      </c>
      <c r="J95" s="574"/>
      <c r="K95" s="574"/>
      <c r="L95" s="575"/>
      <c r="M95" s="379"/>
      <c r="N95" s="562"/>
      <c r="O95" s="379"/>
    </row>
    <row r="96" spans="1:15" ht="15.75" x14ac:dyDescent="0.3">
      <c r="A96" s="503"/>
      <c r="B96" s="572" t="s">
        <v>940</v>
      </c>
      <c r="C96" s="573"/>
      <c r="D96" s="566"/>
      <c r="E96" s="567"/>
      <c r="F96" s="568"/>
      <c r="G96" s="568"/>
      <c r="H96" s="568"/>
      <c r="I96" s="574" t="e">
        <f>$C88*$E$84*VLOOKUP($B96,'Standard values'!$C$9:$S$159,7, FALSE)/$E$201</f>
        <v>#N/A</v>
      </c>
      <c r="J96" s="574" t="e">
        <f>$C88*$E$84*VLOOKUP($B96,'Standard values'!$C$9:$S$159,8, FALSE)/$E$201</f>
        <v>#N/A</v>
      </c>
      <c r="K96" s="574" t="e">
        <f>$C88*$E$84*VLOOKUP($B96,'Standard values'!$C$9:$S$159,9, FALSE)/$E$201</f>
        <v>#N/A</v>
      </c>
      <c r="L96" s="575">
        <f>IF(C88&gt;0, I96*'Standard values'!$D$10+J96*'Standard values'!$D$11+K96*'Standard values'!$D$12, 0)</f>
        <v>0</v>
      </c>
      <c r="M96" s="379"/>
      <c r="N96" s="562">
        <f>+L96/$E$85</f>
        <v>0</v>
      </c>
      <c r="O96" s="379"/>
    </row>
    <row r="97" spans="1:15" ht="15.75" x14ac:dyDescent="0.3">
      <c r="A97" s="503"/>
      <c r="B97" s="577" t="s">
        <v>344</v>
      </c>
      <c r="C97" s="573">
        <f>C93*C88</f>
        <v>0</v>
      </c>
      <c r="D97" s="568" t="s">
        <v>495</v>
      </c>
      <c r="E97" s="567"/>
      <c r="F97" s="568"/>
      <c r="G97" s="568"/>
      <c r="H97" s="568"/>
      <c r="I97" s="574" t="e">
        <f>$C97*$E$84*VLOOKUP($B97,'Standard values'!$C$9:$S$162,7, FALSE)/$E$201</f>
        <v>#N/A</v>
      </c>
      <c r="J97" s="574" t="e">
        <f>$C97*$E$84*VLOOKUP($B97,'Standard values'!$C$9:$S$162,8, FALSE)/$E$201</f>
        <v>#N/A</v>
      </c>
      <c r="K97" s="574" t="e">
        <f>$C97*$E$84*VLOOKUP($B97,'Standard values'!$C$9:$S$162,9, FALSE)/$E$201</f>
        <v>#N/A</v>
      </c>
      <c r="L97" s="575">
        <f>IF(C88&gt;0, I97*'Standard values'!$D$10+J97*'Standard values'!$D$11+K97*'Standard values'!$D$12, 0)</f>
        <v>0</v>
      </c>
      <c r="M97" s="379"/>
      <c r="N97" s="562">
        <f>+L97/$E$85</f>
        <v>0</v>
      </c>
      <c r="O97" s="379"/>
    </row>
    <row r="98" spans="1:15" x14ac:dyDescent="0.2">
      <c r="A98" s="503"/>
      <c r="B98" s="580" t="s">
        <v>801</v>
      </c>
      <c r="C98" s="573"/>
      <c r="D98" s="568"/>
      <c r="E98" s="567"/>
      <c r="F98" s="568"/>
      <c r="G98" s="568"/>
      <c r="H98" s="568"/>
      <c r="I98" s="574"/>
      <c r="J98" s="574"/>
      <c r="K98" s="574"/>
      <c r="L98" s="575"/>
      <c r="M98" s="379"/>
      <c r="N98" s="562"/>
      <c r="O98" s="379"/>
    </row>
    <row r="99" spans="1:15" ht="14.25" x14ac:dyDescent="0.25">
      <c r="A99" s="503"/>
      <c r="B99" s="577" t="s">
        <v>348</v>
      </c>
      <c r="C99" s="536">
        <v>0.22220000000000001</v>
      </c>
      <c r="D99" s="568" t="s">
        <v>419</v>
      </c>
      <c r="E99" s="567"/>
      <c r="F99" s="568"/>
      <c r="G99" s="568"/>
      <c r="H99" s="568"/>
      <c r="I99" s="574"/>
      <c r="J99" s="581"/>
      <c r="K99" s="581"/>
      <c r="L99" s="575"/>
      <c r="M99" s="379"/>
      <c r="N99" s="562"/>
      <c r="O99" s="379"/>
    </row>
    <row r="100" spans="1:15" ht="15.75" x14ac:dyDescent="0.3">
      <c r="A100" s="503"/>
      <c r="B100" s="577" t="s">
        <v>454</v>
      </c>
      <c r="C100" s="573">
        <f>C99*C88</f>
        <v>0</v>
      </c>
      <c r="D100" s="568" t="s">
        <v>495</v>
      </c>
      <c r="E100" s="567" t="s">
        <v>381</v>
      </c>
      <c r="F100" s="568"/>
      <c r="G100" s="568"/>
      <c r="H100" s="568"/>
      <c r="I100" s="574"/>
      <c r="J100" s="581"/>
      <c r="K100" s="581"/>
      <c r="L100" s="575"/>
      <c r="M100" s="379"/>
      <c r="N100" s="562"/>
      <c r="O100" s="379"/>
    </row>
    <row r="101" spans="1:15" ht="27" x14ac:dyDescent="0.3">
      <c r="A101" s="503"/>
      <c r="B101" s="579" t="s">
        <v>347</v>
      </c>
      <c r="C101" s="573">
        <f>C87-C100</f>
        <v>0</v>
      </c>
      <c r="D101" s="568" t="s">
        <v>495</v>
      </c>
      <c r="E101" s="567"/>
      <c r="F101" s="568"/>
      <c r="G101" s="568"/>
      <c r="H101" s="568"/>
      <c r="I101" s="574"/>
      <c r="J101" s="581"/>
      <c r="K101" s="581"/>
      <c r="L101" s="575"/>
      <c r="M101" s="379"/>
      <c r="N101" s="562"/>
      <c r="O101" s="379"/>
    </row>
    <row r="102" spans="1:15" ht="15.75" x14ac:dyDescent="0.3">
      <c r="A102" s="503"/>
      <c r="B102" s="577" t="s">
        <v>345</v>
      </c>
      <c r="C102" s="573">
        <f>ABS(C87-C100)</f>
        <v>0</v>
      </c>
      <c r="D102" s="568" t="s">
        <v>495</v>
      </c>
      <c r="E102" s="567" t="str">
        <f>IF(C101&gt;0, "Electricity use in plant larger than generation in", "Surplus electricity. Credit must be calculated")</f>
        <v>Surplus electricity. Credit must be calculated</v>
      </c>
      <c r="F102" s="568"/>
      <c r="G102" s="568"/>
      <c r="H102" s="568"/>
      <c r="I102" s="574" t="e">
        <f>$C102*$E$84*VLOOKUP($B102,'Standard values'!$C$9:$S$162,7, FALSE)/$E$201</f>
        <v>#N/A</v>
      </c>
      <c r="J102" s="574" t="e">
        <f>$C102*$E$84*VLOOKUP($B102,'Standard values'!$C$9:$S$162,8, FALSE)/$E$201</f>
        <v>#N/A</v>
      </c>
      <c r="K102" s="574" t="e">
        <f>$C102*$E$84*VLOOKUP($B102,'Standard values'!$C$9:$S$162,9, FALSE)/$E$201</f>
        <v>#N/A</v>
      </c>
      <c r="L102" s="575">
        <f>IF(C88&gt;0, I102*'Standard values'!$D$10+J102*'Standard values'!$D$11+K102*'Standard values'!$D$12, 0)</f>
        <v>0</v>
      </c>
      <c r="M102" s="379"/>
      <c r="N102" s="562">
        <f>+L102/$E$85</f>
        <v>0</v>
      </c>
      <c r="O102" s="379"/>
    </row>
    <row r="103" spans="1:15" x14ac:dyDescent="0.2">
      <c r="A103" s="503"/>
      <c r="B103" s="582"/>
      <c r="C103" s="573"/>
      <c r="D103" s="568"/>
      <c r="E103" s="567" t="str">
        <f>IF(C101&gt;0, "   NG CHP. Therefore calculated as national electricity mix", "   following RED Annex V.C.16")</f>
        <v xml:space="preserve">   following RED Annex V.C.16</v>
      </c>
      <c r="F103" s="568"/>
      <c r="G103" s="568"/>
      <c r="H103" s="568"/>
      <c r="I103" s="574"/>
      <c r="J103" s="574"/>
      <c r="K103" s="574"/>
      <c r="L103" s="575"/>
      <c r="M103" s="379"/>
      <c r="N103" s="562"/>
      <c r="O103" s="379"/>
    </row>
    <row r="104" spans="1:15" ht="15.75" x14ac:dyDescent="0.3">
      <c r="A104" s="503"/>
      <c r="B104" s="495" t="s">
        <v>522</v>
      </c>
      <c r="C104" s="763">
        <f>1.4*0.000478496077566993</f>
        <v>6.6989450859379011E-4</v>
      </c>
      <c r="D104" s="495" t="s">
        <v>224</v>
      </c>
      <c r="E104" s="681"/>
      <c r="F104" s="495"/>
      <c r="G104" s="495"/>
      <c r="H104" s="495"/>
      <c r="I104" s="544">
        <f>$C104*$E$84*VLOOKUP($B104,'Standard values'!$C$9:$S$162,3, FALSE)/$E$201</f>
        <v>0.67860313720550935</v>
      </c>
      <c r="J104" s="544">
        <f>$C104*$E$84*VLOOKUP($B104,'Standard values'!$C$9:$S$162,4, FALSE)/$E$201</f>
        <v>4.3476153607736987E-4</v>
      </c>
      <c r="K104" s="544">
        <f>$C104*$E$84*VLOOKUP($B104,'Standard values'!$C$9:$S$162,5, FALSE)/$E$201</f>
        <v>5.0911982653128055E-6</v>
      </c>
      <c r="L104" s="419">
        <f>I104*'Standard values'!$D$10+J104*'Standard values'!$D$11+K104*'Standard values'!$D$12</f>
        <v>0.69098935269050676</v>
      </c>
      <c r="M104" s="379"/>
      <c r="N104" s="562">
        <f>+L104/$E$85</f>
        <v>18.525424545632486</v>
      </c>
      <c r="O104" s="379"/>
    </row>
    <row r="105" spans="1:15" ht="15.75" x14ac:dyDescent="0.3">
      <c r="A105" s="503"/>
      <c r="B105" s="495" t="s">
        <v>143</v>
      </c>
      <c r="C105" s="763">
        <f>1.4*0.0000283287456503572</f>
        <v>3.9660243910500077E-5</v>
      </c>
      <c r="D105" s="495" t="s">
        <v>224</v>
      </c>
      <c r="E105" s="681"/>
      <c r="F105" s="495"/>
      <c r="G105" s="495"/>
      <c r="H105" s="495"/>
      <c r="I105" s="544">
        <f>$C105*$E$84*VLOOKUP($B105,'Standard values'!$C$9:$S$162,3, FALSE)/$E$201</f>
        <v>2.8674356347291555E-2</v>
      </c>
      <c r="J105" s="544">
        <f>$C105*$E$84*VLOOKUP($B105,'Standard values'!$C$9:$S$162,4, FALSE)/$E$201</f>
        <v>0</v>
      </c>
      <c r="K105" s="544">
        <f>$C105*$E$84*VLOOKUP($B105,'Standard values'!$C$9:$S$162,5, FALSE)/$E$201</f>
        <v>0</v>
      </c>
      <c r="L105" s="419">
        <f>I105*'Standard values'!$D$10+J105*'Standard values'!$D$11+K105*'Standard values'!$D$12</f>
        <v>2.8674356347291555E-2</v>
      </c>
      <c r="M105" s="379"/>
      <c r="N105" s="562">
        <f>+L105/$E$85</f>
        <v>0.76875949367088658</v>
      </c>
      <c r="O105" s="379"/>
    </row>
    <row r="106" spans="1:15" ht="15.75" x14ac:dyDescent="0.3">
      <c r="A106" s="503"/>
      <c r="B106" s="495" t="s">
        <v>113</v>
      </c>
      <c r="C106" s="763">
        <f>1.4*0.000427451350840733</f>
        <v>5.9843189117702613E-4</v>
      </c>
      <c r="D106" s="495" t="s">
        <v>224</v>
      </c>
      <c r="E106" s="681"/>
      <c r="F106" s="495"/>
      <c r="G106" s="495"/>
      <c r="H106" s="495"/>
      <c r="I106" s="544">
        <f>$C106*$E$84*VLOOKUP($B106,'Standard values'!$C$9:$S$162,3, FALSE)/$E$201</f>
        <v>0.11600614179104474</v>
      </c>
      <c r="J106" s="544">
        <f>$C106*$E$84*VLOOKUP($B106,'Standard values'!$C$9:$S$162,4, FALSE)/$E$201</f>
        <v>3.2656428301530314E-4</v>
      </c>
      <c r="K106" s="544">
        <f>$C106*$E$84*VLOOKUP($B106,'Standard values'!$C$9:$S$162,5, FALSE)/$E$201</f>
        <v>2.6929435102966171E-6</v>
      </c>
      <c r="L106" s="419">
        <f>I106*'Standard values'!$D$10+J106*'Standard values'!$D$11+K106*'Standard values'!$D$12</f>
        <v>0.12497274603249571</v>
      </c>
      <c r="M106" s="379"/>
      <c r="N106" s="562">
        <f>+L106/$E$85</f>
        <v>3.3505193211312099</v>
      </c>
      <c r="O106" s="379"/>
    </row>
    <row r="107" spans="1:15" ht="15.75" x14ac:dyDescent="0.3">
      <c r="A107" s="503"/>
      <c r="B107" s="495" t="s">
        <v>144</v>
      </c>
      <c r="C107" s="763">
        <f>1.4*6.87902425491472E-06</f>
        <v>9.6306339568806073E-6</v>
      </c>
      <c r="D107" s="495" t="s">
        <v>224</v>
      </c>
      <c r="E107" s="681"/>
      <c r="F107" s="495"/>
      <c r="G107" s="495"/>
      <c r="H107" s="495"/>
      <c r="I107" s="544">
        <f>$C107*$E$84*VLOOKUP($B107,'Standard values'!$C$9:$S$162,3, FALSE)/$E$201</f>
        <v>9.1202103571659341E-3</v>
      </c>
      <c r="J107" s="544">
        <f>$C107*$E$84*VLOOKUP($B107,'Standard values'!$C$9:$S$162,4, FALSE)/$E$201</f>
        <v>0</v>
      </c>
      <c r="K107" s="544">
        <f>$C107*$E$84*VLOOKUP($B107,'Standard values'!$C$9:$S$162,5, FALSE)/$E$201</f>
        <v>0</v>
      </c>
      <c r="L107" s="419">
        <f>I107*'Standard values'!$D$10+J107*'Standard values'!$D$11+K107*'Standard values'!$D$12</f>
        <v>9.1202103571659341E-3</v>
      </c>
      <c r="M107" s="379"/>
      <c r="N107" s="562">
        <f>+L107/$E$85</f>
        <v>0.24451283967561871</v>
      </c>
      <c r="O107" s="379"/>
    </row>
    <row r="108" spans="1:15" x14ac:dyDescent="0.2">
      <c r="A108" s="503"/>
      <c r="B108" s="682"/>
      <c r="C108" s="499"/>
      <c r="D108" s="499"/>
      <c r="E108" s="503"/>
      <c r="F108" s="495"/>
      <c r="G108" s="495"/>
      <c r="H108" s="495"/>
      <c r="I108" s="495"/>
      <c r="J108" s="495"/>
      <c r="K108" s="495"/>
      <c r="L108" s="541"/>
      <c r="M108" s="379"/>
      <c r="N108" s="562"/>
      <c r="O108" s="379"/>
    </row>
    <row r="109" spans="1:15" x14ac:dyDescent="0.2">
      <c r="A109" s="503"/>
      <c r="B109" s="682"/>
      <c r="C109" s="499"/>
      <c r="D109" s="499"/>
      <c r="E109" s="503"/>
      <c r="F109" s="495"/>
      <c r="G109" s="495"/>
      <c r="H109" s="514" t="s">
        <v>1047</v>
      </c>
      <c r="I109" s="583" t="e">
        <f>SUM(I87:I107)</f>
        <v>#N/A</v>
      </c>
      <c r="J109" s="583" t="e">
        <f>SUM(J87:J107)</f>
        <v>#N/A</v>
      </c>
      <c r="K109" s="583" t="e">
        <f>SUM(K87:K107)</f>
        <v>#N/A</v>
      </c>
      <c r="L109" s="584">
        <f>SUM(L87:L107)</f>
        <v>0.85375666542745998</v>
      </c>
      <c r="M109" s="379"/>
      <c r="N109" s="545">
        <f>+L109/$E$85</f>
        <v>22.889216200110202</v>
      </c>
      <c r="O109" s="379"/>
    </row>
    <row r="110" spans="1:15" x14ac:dyDescent="0.2">
      <c r="A110" s="764"/>
      <c r="B110" s="765"/>
      <c r="C110" s="766"/>
      <c r="D110" s="766"/>
      <c r="E110" s="764"/>
      <c r="F110" s="767"/>
      <c r="G110" s="767"/>
      <c r="H110" s="767"/>
      <c r="I110" s="767"/>
      <c r="J110" s="767"/>
      <c r="K110" s="767"/>
      <c r="L110" s="768"/>
      <c r="M110" s="379"/>
      <c r="N110" s="379"/>
      <c r="O110" s="379"/>
    </row>
    <row r="111" spans="1:15" ht="14.25" x14ac:dyDescent="0.25">
      <c r="A111" s="519"/>
      <c r="B111" s="520"/>
      <c r="C111" s="520"/>
      <c r="D111" s="520"/>
      <c r="E111" s="519"/>
      <c r="F111" s="521"/>
      <c r="G111" s="521"/>
      <c r="H111" s="521" t="s">
        <v>534</v>
      </c>
      <c r="I111" s="520"/>
      <c r="J111" s="523" t="s">
        <v>1048</v>
      </c>
      <c r="K111" s="549"/>
      <c r="L111" s="525">
        <f>L109</f>
        <v>0.85375666542745998</v>
      </c>
      <c r="M111" s="379"/>
      <c r="N111" s="390"/>
      <c r="O111" s="379"/>
    </row>
    <row r="112" spans="1:15" x14ac:dyDescent="0.2">
      <c r="A112" s="390"/>
      <c r="B112" s="390"/>
      <c r="C112" s="390"/>
      <c r="D112" s="390"/>
      <c r="E112" s="390"/>
      <c r="F112" s="376"/>
      <c r="G112" s="376"/>
      <c r="H112" s="376"/>
      <c r="I112" s="390"/>
      <c r="J112" s="550"/>
      <c r="K112" s="551"/>
      <c r="L112" s="585"/>
      <c r="M112" s="379"/>
      <c r="N112" s="390"/>
      <c r="O112" s="390"/>
    </row>
    <row r="113" spans="1:15" x14ac:dyDescent="0.2">
      <c r="A113" s="390"/>
      <c r="B113" s="390"/>
      <c r="C113" s="390"/>
      <c r="D113" s="390"/>
      <c r="E113" s="390"/>
      <c r="F113" s="376"/>
      <c r="G113" s="376"/>
      <c r="H113" s="376"/>
      <c r="I113" s="390"/>
      <c r="J113" s="550"/>
      <c r="K113" s="551"/>
      <c r="L113" s="585"/>
      <c r="M113" s="379"/>
      <c r="N113" s="390"/>
      <c r="O113" s="390"/>
    </row>
    <row r="114" spans="1:15" ht="15.75" x14ac:dyDescent="0.25">
      <c r="A114" s="530" t="s">
        <v>1057</v>
      </c>
      <c r="B114" s="531"/>
      <c r="C114" s="531"/>
      <c r="D114" s="531"/>
      <c r="E114" s="608" t="s">
        <v>526</v>
      </c>
      <c r="F114" s="606"/>
      <c r="G114" s="606"/>
      <c r="H114" s="606"/>
      <c r="I114" s="607"/>
      <c r="J114" s="608" t="s">
        <v>1048</v>
      </c>
      <c r="K114" s="607"/>
      <c r="L114" s="609">
        <f>L46+L68+L78+L111</f>
        <v>16.160541802842463</v>
      </c>
      <c r="M114" s="379"/>
      <c r="N114" s="535" t="s">
        <v>162</v>
      </c>
      <c r="O114" s="390"/>
    </row>
    <row r="115" spans="1:15" ht="15.75" x14ac:dyDescent="0.25">
      <c r="A115" s="610" t="s">
        <v>937</v>
      </c>
      <c r="B115" s="611"/>
      <c r="C115" s="611"/>
      <c r="D115" s="611"/>
      <c r="E115" s="613"/>
      <c r="F115" s="613"/>
      <c r="G115" s="613"/>
      <c r="H115" s="613"/>
      <c r="I115" s="613"/>
      <c r="J115" s="613"/>
      <c r="K115" s="613"/>
      <c r="L115" s="614"/>
      <c r="M115" s="379"/>
      <c r="N115" s="554" t="s">
        <v>1010</v>
      </c>
      <c r="O115" s="390"/>
    </row>
    <row r="116" spans="1:15" ht="15.75" x14ac:dyDescent="0.3">
      <c r="A116" s="567"/>
      <c r="B116" s="568"/>
      <c r="C116" s="568"/>
      <c r="D116" s="683"/>
      <c r="E116" s="683"/>
      <c r="F116" s="683"/>
      <c r="G116" s="683"/>
      <c r="H116" s="683" t="s">
        <v>667</v>
      </c>
      <c r="I116" s="684">
        <f>L114</f>
        <v>16.160541802842463</v>
      </c>
      <c r="J116" s="568" t="s">
        <v>137</v>
      </c>
      <c r="K116" s="568"/>
      <c r="L116" s="685"/>
      <c r="M116" s="379"/>
      <c r="N116" s="540" t="s">
        <v>1056</v>
      </c>
      <c r="O116" s="390"/>
    </row>
    <row r="117" spans="1:15" ht="15.75" x14ac:dyDescent="0.3">
      <c r="A117" s="567"/>
      <c r="B117" s="568" t="s">
        <v>51</v>
      </c>
      <c r="C117" s="568" t="s">
        <v>499</v>
      </c>
      <c r="D117" s="568"/>
      <c r="E117" s="683" t="s">
        <v>313</v>
      </c>
      <c r="F117" s="769">
        <f>C83</f>
        <v>0.3607263116883111</v>
      </c>
      <c r="G117" s="769"/>
      <c r="H117" s="568" t="s">
        <v>501</v>
      </c>
      <c r="I117" s="574">
        <f>$I$116*F117/F$119</f>
        <v>16.160541802842463</v>
      </c>
      <c r="J117" s="568" t="s">
        <v>137</v>
      </c>
      <c r="K117" s="568"/>
      <c r="L117" s="685"/>
      <c r="M117" s="379"/>
      <c r="N117" s="541"/>
      <c r="O117" s="390"/>
    </row>
    <row r="118" spans="1:15" ht="15.75" x14ac:dyDescent="0.3">
      <c r="A118" s="567"/>
      <c r="B118" s="568" t="s">
        <v>123</v>
      </c>
      <c r="C118" s="568" t="s">
        <v>227</v>
      </c>
      <c r="D118" s="568"/>
      <c r="E118" s="683" t="s">
        <v>876</v>
      </c>
      <c r="F118" s="769">
        <f>C84</f>
        <v>0</v>
      </c>
      <c r="G118" s="769"/>
      <c r="H118" s="568" t="s">
        <v>501</v>
      </c>
      <c r="I118" s="574">
        <f>$I$116*F118/F$119</f>
        <v>0</v>
      </c>
      <c r="J118" s="568" t="s">
        <v>137</v>
      </c>
      <c r="K118" s="568"/>
      <c r="L118" s="685"/>
      <c r="M118" s="379"/>
      <c r="N118" s="562"/>
      <c r="O118" s="390"/>
    </row>
    <row r="119" spans="1:15" x14ac:dyDescent="0.2">
      <c r="A119" s="567"/>
      <c r="B119" s="568"/>
      <c r="C119" s="568"/>
      <c r="D119" s="568"/>
      <c r="E119" s="568" t="s">
        <v>533</v>
      </c>
      <c r="F119" s="769">
        <f>SUM(F117:F118)</f>
        <v>0.3607263116883111</v>
      </c>
      <c r="G119" s="769"/>
      <c r="H119" s="568" t="s">
        <v>501</v>
      </c>
      <c r="I119" s="568"/>
      <c r="J119" s="568"/>
      <c r="K119" s="568"/>
      <c r="L119" s="685"/>
      <c r="M119" s="379"/>
      <c r="N119" s="562"/>
      <c r="O119" s="390"/>
    </row>
    <row r="120" spans="1:15" ht="14.25" x14ac:dyDescent="0.25">
      <c r="A120" s="519"/>
      <c r="B120" s="520"/>
      <c r="C120" s="520"/>
      <c r="D120" s="520"/>
      <c r="E120" s="523" t="s">
        <v>1058</v>
      </c>
      <c r="F120" s="521"/>
      <c r="G120" s="521"/>
      <c r="H120" s="687"/>
      <c r="I120" s="520"/>
      <c r="J120" s="523" t="s">
        <v>1048</v>
      </c>
      <c r="K120" s="687"/>
      <c r="L120" s="525">
        <f>I117</f>
        <v>16.160541802842463</v>
      </c>
      <c r="M120" s="379"/>
      <c r="N120" s="545">
        <f>+L120/$E$85</f>
        <v>433.26412573420646</v>
      </c>
      <c r="O120" s="379"/>
    </row>
    <row r="121" spans="1:15" x14ac:dyDescent="0.2">
      <c r="A121" s="390"/>
      <c r="B121" s="390"/>
      <c r="C121" s="390"/>
      <c r="D121" s="379"/>
      <c r="E121" s="379"/>
      <c r="F121" s="551"/>
      <c r="G121" s="551"/>
      <c r="H121" s="437"/>
      <c r="I121" s="378"/>
      <c r="J121" s="379"/>
      <c r="K121" s="379"/>
      <c r="L121" s="586"/>
      <c r="M121" s="379"/>
      <c r="O121" s="379"/>
    </row>
    <row r="122" spans="1:15" x14ac:dyDescent="0.2">
      <c r="A122" s="375"/>
      <c r="B122" s="585"/>
      <c r="C122" s="386"/>
      <c r="D122" s="390"/>
      <c r="E122" s="379"/>
      <c r="F122" s="379"/>
      <c r="G122" s="379"/>
      <c r="H122" s="379"/>
      <c r="I122" s="379"/>
      <c r="J122" s="591"/>
      <c r="K122" s="379"/>
      <c r="L122" s="379"/>
      <c r="M122" s="379"/>
      <c r="N122" s="379"/>
      <c r="O122" s="379"/>
    </row>
    <row r="123" spans="1:15" ht="15.75" x14ac:dyDescent="0.25">
      <c r="A123" s="530" t="s">
        <v>1031</v>
      </c>
      <c r="B123" s="532" t="s">
        <v>811</v>
      </c>
      <c r="C123" s="531"/>
      <c r="D123" s="531"/>
      <c r="E123" s="530" t="s">
        <v>513</v>
      </c>
      <c r="F123" s="532"/>
      <c r="G123" s="532"/>
      <c r="H123" s="531"/>
      <c r="I123" s="532" t="s">
        <v>532</v>
      </c>
      <c r="J123" s="533"/>
      <c r="K123" s="533"/>
      <c r="L123" s="534"/>
      <c r="M123" s="379"/>
      <c r="N123" s="535" t="s">
        <v>162</v>
      </c>
      <c r="O123" s="379"/>
    </row>
    <row r="124" spans="1:15" ht="15.75" x14ac:dyDescent="0.3">
      <c r="A124" s="503"/>
      <c r="B124" s="511" t="s">
        <v>499</v>
      </c>
      <c r="C124" s="536">
        <v>1</v>
      </c>
      <c r="D124" s="495" t="s">
        <v>497</v>
      </c>
      <c r="E124" s="513">
        <f>E83*C124</f>
        <v>133574.42813399978</v>
      </c>
      <c r="F124" s="495" t="s">
        <v>1030</v>
      </c>
      <c r="G124" s="495"/>
      <c r="H124" s="594"/>
      <c r="I124" s="492" t="s">
        <v>138</v>
      </c>
      <c r="J124" s="514"/>
      <c r="K124" s="514"/>
      <c r="L124" s="537"/>
      <c r="M124" s="379"/>
      <c r="N124" s="554" t="s">
        <v>1010</v>
      </c>
      <c r="O124" s="379"/>
    </row>
    <row r="125" spans="1:15" ht="15.75" x14ac:dyDescent="0.3">
      <c r="A125" s="503"/>
      <c r="B125" s="495"/>
      <c r="C125" s="495"/>
      <c r="D125" s="495"/>
      <c r="E125" s="505">
        <f>E84*C124</f>
        <v>0.3607263116883111</v>
      </c>
      <c r="F125" s="506" t="s">
        <v>226</v>
      </c>
      <c r="G125" s="506"/>
      <c r="H125" s="594"/>
      <c r="I125" s="539" t="s">
        <v>1053</v>
      </c>
      <c r="J125" s="539" t="s">
        <v>1054</v>
      </c>
      <c r="K125" s="539" t="s">
        <v>1055</v>
      </c>
      <c r="L125" s="540" t="s">
        <v>1056</v>
      </c>
      <c r="M125" s="379"/>
      <c r="N125" s="540" t="s">
        <v>1056</v>
      </c>
      <c r="O125" s="379"/>
    </row>
    <row r="126" spans="1:15" x14ac:dyDescent="0.2">
      <c r="A126" s="503"/>
      <c r="B126" s="511" t="s">
        <v>498</v>
      </c>
      <c r="C126" s="495"/>
      <c r="D126" s="495"/>
      <c r="E126" s="513"/>
      <c r="F126" s="495"/>
      <c r="G126" s="495"/>
      <c r="H126" s="495"/>
      <c r="I126" s="495"/>
      <c r="J126" s="495"/>
      <c r="K126" s="495"/>
      <c r="L126" s="541"/>
      <c r="M126" s="379"/>
      <c r="N126" s="541"/>
      <c r="O126" s="379"/>
    </row>
    <row r="127" spans="1:15" ht="15.75" x14ac:dyDescent="0.3">
      <c r="A127" s="503"/>
      <c r="B127" s="495" t="s">
        <v>159</v>
      </c>
      <c r="C127" s="542">
        <v>700</v>
      </c>
      <c r="D127" s="495" t="s">
        <v>114</v>
      </c>
      <c r="E127" s="543">
        <f>(C127*E125/VLOOKUP($B124,'Standard values'!$C$9:$S$162,14, FALSE))/1000</f>
        <v>9.4184415584415426E-3</v>
      </c>
      <c r="F127" s="495" t="s">
        <v>246</v>
      </c>
      <c r="G127" s="495"/>
      <c r="H127" s="495"/>
      <c r="I127" s="544">
        <f>$E127*VLOOKUP($B127,'Standard values'!$C$9:$S$162,15, FALSE)*VLOOKUP(C128,'Standard values'!$C$9:$S$162,7, FALSE)/$E$201</f>
        <v>2.306527415143603</v>
      </c>
      <c r="J127" s="544">
        <f>$E127*((VLOOKUP($B127,'Standard values'!$C$9:$S$162,15, FALSE)*VLOOKUP(C128,'Standard values'!$C$9:$S$162,8, FALSE))+VLOOKUP($B127,'Standard values'!$C$9:$S$162,16, FALSE))/$E$201</f>
        <v>1.3054830287206266E-4</v>
      </c>
      <c r="K127" s="544">
        <f>$E127*((VLOOKUP($B127,'Standard values'!$C$9:$S$162,15, FALSE)*VLOOKUP(C128,'Standard values'!$C$9:$S$162,9, FALSE))+VLOOKUP($B127,'Standard values'!$C$9:$S$162,17, FALSE))/$E$201</f>
        <v>0</v>
      </c>
      <c r="L127" s="419">
        <f>I127*'Standard values'!$D$10+J127*'Standard values'!$D$11+K127*'Standard values'!$D$12</f>
        <v>2.3097911227154047</v>
      </c>
      <c r="M127" s="379"/>
      <c r="N127" s="562">
        <f>+L127/$E$85</f>
        <v>61.9255</v>
      </c>
      <c r="O127" s="379"/>
    </row>
    <row r="128" spans="1:15" x14ac:dyDescent="0.2">
      <c r="A128" s="503"/>
      <c r="B128" s="546" t="s">
        <v>54</v>
      </c>
      <c r="C128" s="547" t="s">
        <v>509</v>
      </c>
      <c r="D128" s="495"/>
      <c r="E128" s="543"/>
      <c r="F128" s="495"/>
      <c r="G128" s="495"/>
      <c r="H128" s="495"/>
      <c r="I128" s="544"/>
      <c r="J128" s="544"/>
      <c r="K128" s="544"/>
      <c r="L128" s="419"/>
      <c r="M128" s="379"/>
      <c r="N128" s="562"/>
      <c r="O128" s="379"/>
    </row>
    <row r="129" spans="1:15" ht="15.75" x14ac:dyDescent="0.3">
      <c r="A129" s="503"/>
      <c r="B129" s="495" t="s">
        <v>181</v>
      </c>
      <c r="C129" s="595">
        <v>10186</v>
      </c>
      <c r="D129" s="495" t="s">
        <v>510</v>
      </c>
      <c r="E129" s="543">
        <f>(C129*E125/VLOOKUP($B124,'Standard values'!$C$9:$S$162,14, FALSE))/1000</f>
        <v>0.13705177959183651</v>
      </c>
      <c r="F129" s="495" t="s">
        <v>246</v>
      </c>
      <c r="G129" s="495"/>
      <c r="H129" s="495"/>
      <c r="I129" s="544">
        <f>$E129*VLOOKUP($B129,'Standard values'!$C$9:$S$162,15, FALSE)*VLOOKUP(C130,'Standard values'!$C$9:$S$162,7, FALSE)/$E$201</f>
        <v>4.1028372147706085</v>
      </c>
      <c r="J129" s="544">
        <f>$E129*((VLOOKUP($B129,'Standard values'!$C$9:$S$162,15, FALSE)*VLOOKUP(C130,'Standard values'!$C$9:$S$162,8, FALSE))+VLOOKUP($B129,'Standard values'!$C$9:$S$162,16, FALSE))/$E$201</f>
        <v>0</v>
      </c>
      <c r="K129" s="544">
        <f>$E129*((VLOOKUP($B129,'Standard values'!$C$9:$S$162,15, FALSE)*VLOOKUP(C130,'Standard values'!$C$9:$S$162,9, FALSE))+VLOOKUP($B129,'Standard values'!$C$9:$S$162,17, FALSE))/$E$201</f>
        <v>0</v>
      </c>
      <c r="L129" s="419">
        <f>I129*'Standard values'!$D$10+J129*'Standard values'!$D$11+K129*'Standard values'!$D$12</f>
        <v>4.1028372147706085</v>
      </c>
      <c r="M129" s="379"/>
      <c r="N129" s="562">
        <f>+L129/$E$85</f>
        <v>109.99706572800001</v>
      </c>
      <c r="O129" s="379"/>
    </row>
    <row r="130" spans="1:15" x14ac:dyDescent="0.2">
      <c r="A130" s="503"/>
      <c r="B130" s="546" t="s">
        <v>54</v>
      </c>
      <c r="C130" s="719" t="s">
        <v>627</v>
      </c>
      <c r="D130" s="719"/>
      <c r="E130" s="543"/>
      <c r="F130" s="495"/>
      <c r="G130" s="495"/>
      <c r="H130" s="495"/>
      <c r="I130" s="544"/>
      <c r="J130" s="544"/>
      <c r="K130" s="544"/>
      <c r="L130" s="419"/>
      <c r="M130" s="379"/>
      <c r="N130" s="584"/>
      <c r="O130" s="379"/>
    </row>
    <row r="131" spans="1:15" ht="15.75" x14ac:dyDescent="0.3">
      <c r="A131" s="503"/>
      <c r="B131" s="495" t="s">
        <v>159</v>
      </c>
      <c r="C131" s="542">
        <v>150</v>
      </c>
      <c r="D131" s="495" t="s">
        <v>115</v>
      </c>
      <c r="E131" s="543">
        <f>(C131*E125/VLOOKUP($B124,'Standard values'!$C$9:$S$162,14, FALSE))/1000</f>
        <v>2.0182374768089022E-3</v>
      </c>
      <c r="F131" s="495" t="s">
        <v>246</v>
      </c>
      <c r="G131" s="495"/>
      <c r="H131" s="495"/>
      <c r="I131" s="544">
        <f>$E131*VLOOKUP($B131,'Standard values'!$C$9:$S$162,15, FALSE)*VLOOKUP(C132,'Standard values'!$C$9:$S$162,7, FALSE)/$E$201</f>
        <v>0.49425587467362925</v>
      </c>
      <c r="J131" s="544">
        <f>$E131*((VLOOKUP($B131,'Standard values'!$C$9:$S$162,15, FALSE)*VLOOKUP(C132,'Standard values'!$C$9:$S$162,8, FALSE))+VLOOKUP($B131,'Standard values'!$C$9:$S$162,16, FALSE))/$E$201</f>
        <v>2.7974636329727717E-5</v>
      </c>
      <c r="K131" s="544">
        <f>$E131*((VLOOKUP($B131,'Standard values'!$C$9:$S$162,15, FALSE)*VLOOKUP(C132,'Standard values'!$C$9:$S$162,9, FALSE))+VLOOKUP($B131,'Standard values'!$C$9:$S$162,17, FALSE))/$E$201</f>
        <v>0</v>
      </c>
      <c r="L131" s="419">
        <f>I131*'Standard values'!$D$10+J131*'Standard values'!$D$11+K131*'Standard values'!$D$12</f>
        <v>0.49495524058187246</v>
      </c>
      <c r="M131" s="379"/>
      <c r="N131" s="562">
        <f>+L131/$E$85</f>
        <v>13.26975</v>
      </c>
      <c r="O131" s="379"/>
    </row>
    <row r="132" spans="1:15" x14ac:dyDescent="0.2">
      <c r="A132" s="503"/>
      <c r="B132" s="546" t="s">
        <v>54</v>
      </c>
      <c r="C132" s="547" t="s">
        <v>509</v>
      </c>
      <c r="D132" s="495"/>
      <c r="E132" s="543">
        <f>E131*28/(26*E125)/2</f>
        <v>3.012653143201446E-3</v>
      </c>
      <c r="F132" s="495"/>
      <c r="G132" s="495"/>
      <c r="H132" s="495"/>
      <c r="I132" s="544"/>
      <c r="J132" s="544"/>
      <c r="K132" s="544"/>
      <c r="L132" s="516"/>
      <c r="M132" s="379"/>
      <c r="N132" s="584"/>
      <c r="O132" s="379"/>
    </row>
    <row r="133" spans="1:15" x14ac:dyDescent="0.2">
      <c r="A133" s="503"/>
      <c r="B133" s="495"/>
      <c r="C133" s="495"/>
      <c r="D133" s="495"/>
      <c r="E133" s="543"/>
      <c r="F133" s="495"/>
      <c r="G133" s="495"/>
      <c r="H133" s="495"/>
      <c r="I133" s="544"/>
      <c r="J133" s="544"/>
      <c r="K133" s="544"/>
      <c r="L133" s="516"/>
      <c r="M133" s="379"/>
      <c r="N133" s="584"/>
      <c r="O133" s="379"/>
    </row>
    <row r="134" spans="1:15" x14ac:dyDescent="0.2">
      <c r="A134" s="503"/>
      <c r="B134" s="511" t="s">
        <v>444</v>
      </c>
      <c r="C134" s="495"/>
      <c r="D134" s="495"/>
      <c r="E134" s="503"/>
      <c r="F134" s="495"/>
      <c r="G134" s="495"/>
      <c r="H134" s="495"/>
      <c r="I134" s="544"/>
      <c r="J134" s="544"/>
      <c r="K134" s="544"/>
      <c r="L134" s="561"/>
      <c r="M134" s="379"/>
      <c r="N134" s="584"/>
      <c r="O134" s="379"/>
    </row>
    <row r="135" spans="1:15" ht="15.75" x14ac:dyDescent="0.3">
      <c r="A135" s="699" t="s">
        <v>698</v>
      </c>
      <c r="B135" s="1301" t="s">
        <v>239</v>
      </c>
      <c r="C135" s="542">
        <v>8.4000000000000003E-4</v>
      </c>
      <c r="D135" s="495" t="s">
        <v>495</v>
      </c>
      <c r="E135" s="503"/>
      <c r="F135" s="495"/>
      <c r="G135" s="495"/>
      <c r="H135" s="495"/>
      <c r="I135" s="544">
        <f>$C135*$E$125*VLOOKUP($B135,'Standard values'!$C$9:$S$162,7, FALSE)/$E$201</f>
        <v>9.6163200000000004E-2</v>
      </c>
      <c r="J135" s="544">
        <f>$C135*$E$125*VLOOKUP($B135,'Standard values'!$C$9:$S$162,8, FALSE)/$E$201</f>
        <v>3.0902412121212153E-4</v>
      </c>
      <c r="K135" s="544">
        <f>$C135*$E$125*VLOOKUP($B135,'Standard values'!$C$9:$S$162,9, FALSE)/$E$201</f>
        <v>4.1870606060606058E-6</v>
      </c>
      <c r="L135" s="419">
        <f>I135*'Standard values'!$D$10+J135*'Standard values'!$D$11+K135*'Standard values'!$D$12</f>
        <v>0.1051365470909091</v>
      </c>
      <c r="M135" s="379"/>
      <c r="N135" s="562">
        <f>+L135/$E$85</f>
        <v>2.8187108275072728</v>
      </c>
      <c r="O135" s="379"/>
    </row>
    <row r="136" spans="1:15" ht="15.75" x14ac:dyDescent="0.3">
      <c r="A136" s="699" t="s">
        <v>699</v>
      </c>
      <c r="B136" s="1301" t="s">
        <v>49</v>
      </c>
      <c r="C136" s="542">
        <v>8.4000000000000003E-4</v>
      </c>
      <c r="D136" s="495" t="s">
        <v>495</v>
      </c>
      <c r="E136" s="503"/>
      <c r="F136" s="495"/>
      <c r="G136" s="495"/>
      <c r="H136" s="495"/>
      <c r="I136" s="544">
        <f>$C136*$E$125*VLOOKUP($B136,'Standard values'!$C$9:$S$162,7, FALSE)/$E$201</f>
        <v>0.10146738</v>
      </c>
      <c r="J136" s="544">
        <f>$C136*$E$125*VLOOKUP($B136,'Standard values'!$C$9:$S$162,8, FALSE)/$E$201</f>
        <v>2.4744999999999997E-4</v>
      </c>
      <c r="K136" s="544">
        <f>$C136*$E$125*VLOOKUP($B136,'Standard values'!$C$9:$S$162,9, FALSE)/$E$201</f>
        <v>4.5966666666666661E-6</v>
      </c>
      <c r="L136" s="419">
        <f>I136*'Standard values'!$D$10+J136*'Standard values'!$D$11+K136*'Standard values'!$D$12</f>
        <v>0.10902343666666667</v>
      </c>
      <c r="M136" s="379"/>
      <c r="N136" s="562">
        <f>+L136/$E$85</f>
        <v>2.9229183370333334</v>
      </c>
      <c r="O136" s="379"/>
    </row>
    <row r="137" spans="1:15" ht="15.75" x14ac:dyDescent="0.3">
      <c r="A137" s="699" t="s">
        <v>700</v>
      </c>
      <c r="B137" s="1301" t="s">
        <v>49</v>
      </c>
      <c r="C137" s="542">
        <v>8.4000000000000003E-4</v>
      </c>
      <c r="D137" s="495" t="s">
        <v>495</v>
      </c>
      <c r="E137" s="503"/>
      <c r="F137" s="495"/>
      <c r="G137" s="495"/>
      <c r="H137" s="495"/>
      <c r="I137" s="544">
        <f>$C137*$E$125*VLOOKUP($B137,'Standard values'!$C$9:$S$162,7, FALSE)/$E$201</f>
        <v>0.10146738</v>
      </c>
      <c r="J137" s="544">
        <f>$C137*$E$125*VLOOKUP($B137,'Standard values'!$C$9:$S$162,8, FALSE)/$E$201</f>
        <v>2.4744999999999997E-4</v>
      </c>
      <c r="K137" s="544">
        <f>$C137*$E$125*VLOOKUP($B137,'Standard values'!$C$9:$S$162,9, FALSE)/$E$201</f>
        <v>4.5966666666666661E-6</v>
      </c>
      <c r="L137" s="419">
        <f>I137*'Standard values'!$D$10+J137*'Standard values'!$D$11+K137*'Standard values'!$D$12</f>
        <v>0.10902343666666667</v>
      </c>
      <c r="M137" s="379"/>
      <c r="N137" s="562">
        <f>+L137/$E$85</f>
        <v>2.9229183370333334</v>
      </c>
      <c r="O137" s="379"/>
    </row>
    <row r="138" spans="1:15" x14ac:dyDescent="0.2">
      <c r="A138" s="699"/>
      <c r="B138" s="682"/>
      <c r="C138" s="499"/>
      <c r="D138" s="499"/>
      <c r="E138" s="503"/>
      <c r="F138" s="495"/>
      <c r="G138" s="495"/>
      <c r="H138" s="514" t="s">
        <v>1047</v>
      </c>
      <c r="I138" s="583">
        <f>SUM(I125:I137)</f>
        <v>7.202718464587841</v>
      </c>
      <c r="J138" s="583">
        <f>SUM(J125:J137)</f>
        <v>9.6244706041391189E-4</v>
      </c>
      <c r="K138" s="583">
        <f>SUM(K125:K137)</f>
        <v>1.3380393939393937E-5</v>
      </c>
      <c r="L138" s="584">
        <f>SUM(L125:L137)</f>
        <v>7.230766998492129</v>
      </c>
      <c r="M138" s="379"/>
      <c r="N138" s="545">
        <f>+L138/$E$85</f>
        <v>193.85686322957397</v>
      </c>
      <c r="O138" s="379"/>
    </row>
    <row r="139" spans="1:15" x14ac:dyDescent="0.2">
      <c r="A139" s="590"/>
      <c r="B139" s="495"/>
      <c r="C139" s="499"/>
      <c r="D139" s="495"/>
      <c r="E139" s="503"/>
      <c r="F139" s="495"/>
      <c r="G139" s="495"/>
      <c r="H139" s="495"/>
      <c r="I139" s="544"/>
      <c r="J139" s="544"/>
      <c r="K139" s="544"/>
      <c r="L139" s="561"/>
      <c r="M139" s="379"/>
      <c r="N139" s="379"/>
      <c r="O139" s="379"/>
    </row>
    <row r="140" spans="1:15" ht="14.25" x14ac:dyDescent="0.25">
      <c r="A140" s="519"/>
      <c r="B140" s="520"/>
      <c r="C140" s="520"/>
      <c r="D140" s="520"/>
      <c r="E140" s="519"/>
      <c r="F140" s="521"/>
      <c r="G140" s="521"/>
      <c r="H140" s="521" t="s">
        <v>534</v>
      </c>
      <c r="I140" s="520"/>
      <c r="J140" s="523" t="s">
        <v>1048</v>
      </c>
      <c r="K140" s="549"/>
      <c r="L140" s="525">
        <f>L138</f>
        <v>7.230766998492129</v>
      </c>
      <c r="M140" s="379"/>
      <c r="N140" s="390"/>
      <c r="O140" s="379"/>
    </row>
    <row r="141" spans="1:15" x14ac:dyDescent="0.2">
      <c r="A141" s="390"/>
      <c r="B141" s="390"/>
      <c r="C141" s="390"/>
      <c r="D141" s="390"/>
      <c r="E141" s="390"/>
      <c r="F141" s="376"/>
      <c r="G141" s="376"/>
      <c r="H141" s="376"/>
      <c r="I141" s="390"/>
      <c r="J141" s="550"/>
      <c r="K141" s="551"/>
      <c r="L141" s="552"/>
      <c r="M141" s="379"/>
      <c r="N141" s="379"/>
      <c r="O141" s="379"/>
    </row>
    <row r="142" spans="1:15" x14ac:dyDescent="0.2">
      <c r="A142" s="390"/>
      <c r="B142" s="390"/>
      <c r="C142" s="390"/>
      <c r="D142" s="390"/>
      <c r="E142" s="390"/>
      <c r="F142" s="376"/>
      <c r="G142" s="376"/>
      <c r="H142" s="376"/>
      <c r="I142" s="390"/>
      <c r="J142" s="550"/>
      <c r="K142" s="551"/>
      <c r="L142" s="552"/>
      <c r="M142" s="379"/>
      <c r="N142" s="379"/>
      <c r="O142" s="379"/>
    </row>
    <row r="143" spans="1:15" ht="15.75" x14ac:dyDescent="0.25">
      <c r="A143" s="530" t="s">
        <v>810</v>
      </c>
      <c r="B143" s="531"/>
      <c r="C143" s="531"/>
      <c r="D143" s="531"/>
      <c r="E143" s="530" t="s">
        <v>513</v>
      </c>
      <c r="F143" s="531"/>
      <c r="G143" s="531"/>
      <c r="H143" s="531"/>
      <c r="I143" s="531"/>
      <c r="J143" s="531"/>
      <c r="K143" s="531"/>
      <c r="L143" s="596"/>
      <c r="M143" s="379"/>
      <c r="N143" s="535" t="s">
        <v>162</v>
      </c>
      <c r="O143" s="379"/>
    </row>
    <row r="144" spans="1:15" ht="15.75" x14ac:dyDescent="0.3">
      <c r="A144" s="503"/>
      <c r="B144" s="511" t="s">
        <v>499</v>
      </c>
      <c r="C144" s="593">
        <v>1</v>
      </c>
      <c r="D144" s="495" t="s">
        <v>497</v>
      </c>
      <c r="E144" s="513">
        <f>E124*C144</f>
        <v>133574.42813399978</v>
      </c>
      <c r="F144" s="495" t="s">
        <v>1030</v>
      </c>
      <c r="G144" s="495"/>
      <c r="H144" s="495"/>
      <c r="I144" s="492" t="s">
        <v>138</v>
      </c>
      <c r="J144" s="514"/>
      <c r="K144" s="514"/>
      <c r="L144" s="537"/>
      <c r="M144" s="379"/>
      <c r="N144" s="554" t="s">
        <v>1010</v>
      </c>
      <c r="O144" s="379"/>
    </row>
    <row r="145" spans="1:15" ht="15.75" x14ac:dyDescent="0.3">
      <c r="A145" s="503"/>
      <c r="B145" s="495"/>
      <c r="C145" s="495"/>
      <c r="D145" s="495"/>
      <c r="E145" s="505">
        <f>E125*C144</f>
        <v>0.3607263116883111</v>
      </c>
      <c r="F145" s="506" t="s">
        <v>226</v>
      </c>
      <c r="G145" s="506"/>
      <c r="H145" s="495"/>
      <c r="I145" s="539" t="s">
        <v>1053</v>
      </c>
      <c r="J145" s="539" t="s">
        <v>1054</v>
      </c>
      <c r="K145" s="539" t="s">
        <v>1055</v>
      </c>
      <c r="L145" s="540" t="s">
        <v>1056</v>
      </c>
      <c r="M145" s="379"/>
      <c r="N145" s="540" t="s">
        <v>1056</v>
      </c>
      <c r="O145" s="379"/>
    </row>
    <row r="146" spans="1:15" x14ac:dyDescent="0.2">
      <c r="A146" s="503"/>
      <c r="B146" s="511" t="s">
        <v>498</v>
      </c>
      <c r="C146" s="495"/>
      <c r="D146" s="495"/>
      <c r="E146" s="505"/>
      <c r="F146" s="506"/>
      <c r="G146" s="506"/>
      <c r="H146" s="495"/>
      <c r="I146" s="539"/>
      <c r="J146" s="539"/>
      <c r="K146" s="539"/>
      <c r="L146" s="540"/>
      <c r="M146" s="379"/>
      <c r="N146" s="540"/>
      <c r="O146" s="379"/>
    </row>
    <row r="147" spans="1:15" ht="15.75" x14ac:dyDescent="0.3">
      <c r="A147" s="503"/>
      <c r="B147" s="495" t="s">
        <v>159</v>
      </c>
      <c r="C147" s="542">
        <v>150</v>
      </c>
      <c r="D147" s="495" t="s">
        <v>115</v>
      </c>
      <c r="E147" s="543">
        <f>(C147*E145/VLOOKUP($B144,'Standard values'!$C$9:$S$162,14, FALSE))/1000</f>
        <v>2.0182374768089022E-3</v>
      </c>
      <c r="F147" s="495" t="s">
        <v>246</v>
      </c>
      <c r="G147" s="495"/>
      <c r="H147" s="495"/>
      <c r="I147" s="544">
        <f>$E147*VLOOKUP($B147,'Standard values'!$C$9:$S$162,15, FALSE)*VLOOKUP(C148,'Standard values'!$C$9:$S$162,7, FALSE)/$E$201</f>
        <v>0.49425587467362925</v>
      </c>
      <c r="J147" s="544">
        <f>$E147*((VLOOKUP($B147,'Standard values'!$C$9:$S$162,15, FALSE)*VLOOKUP(C148,'Standard values'!$C$9:$S$162,8, FALSE))+VLOOKUP($B147,'Standard values'!$C$9:$S$162,16, FALSE))/$E$201</f>
        <v>2.7974636329727717E-5</v>
      </c>
      <c r="K147" s="544">
        <f>$E147*((VLOOKUP($B147,'Standard values'!$C$9:$S$162,15, FALSE)*VLOOKUP(C148,'Standard values'!$C$9:$S$162,9, FALSE))+VLOOKUP($B147,'Standard values'!$C$9:$S$162,17, FALSE))/$E$201</f>
        <v>0</v>
      </c>
      <c r="L147" s="516">
        <f>I147*'Standard values'!$D$10+J147*'Standard values'!$D$11+K147*'Standard values'!$D$12</f>
        <v>0.49495524058187246</v>
      </c>
      <c r="M147" s="379"/>
      <c r="N147" s="562">
        <f>+L147/$E$85</f>
        <v>13.26975</v>
      </c>
      <c r="O147" s="379"/>
    </row>
    <row r="148" spans="1:15" x14ac:dyDescent="0.2">
      <c r="A148" s="503"/>
      <c r="B148" s="546" t="s">
        <v>54</v>
      </c>
      <c r="C148" s="547" t="s">
        <v>509</v>
      </c>
      <c r="D148" s="495"/>
      <c r="E148" s="543">
        <f>E147*28/(26*E145)/2</f>
        <v>3.012653143201446E-3</v>
      </c>
      <c r="F148" s="495"/>
      <c r="G148" s="495"/>
      <c r="H148" s="495"/>
      <c r="I148" s="544"/>
      <c r="J148" s="544"/>
      <c r="K148" s="544"/>
      <c r="L148" s="516"/>
      <c r="M148" s="379"/>
      <c r="N148" s="584"/>
      <c r="O148" s="379"/>
    </row>
    <row r="149" spans="1:15" x14ac:dyDescent="0.2">
      <c r="A149" s="503"/>
      <c r="B149" s="495"/>
      <c r="C149" s="495"/>
      <c r="D149" s="495"/>
      <c r="E149" s="505"/>
      <c r="F149" s="506"/>
      <c r="G149" s="506"/>
      <c r="H149" s="495"/>
      <c r="I149" s="539"/>
      <c r="J149" s="539"/>
      <c r="K149" s="539"/>
      <c r="L149" s="690"/>
      <c r="M149" s="379"/>
      <c r="N149" s="540"/>
      <c r="O149" s="379"/>
    </row>
    <row r="150" spans="1:15" x14ac:dyDescent="0.2">
      <c r="A150" s="503"/>
      <c r="B150" s="511" t="s">
        <v>441</v>
      </c>
      <c r="C150" s="495"/>
      <c r="D150" s="495"/>
      <c r="E150" s="503"/>
      <c r="F150" s="495"/>
      <c r="G150" s="495"/>
      <c r="H150" s="495"/>
      <c r="I150" s="544"/>
      <c r="J150" s="544"/>
      <c r="K150" s="544"/>
      <c r="L150" s="584"/>
      <c r="M150" s="379"/>
      <c r="N150" s="541"/>
      <c r="O150" s="379"/>
    </row>
    <row r="151" spans="1:15" ht="15.75" x14ac:dyDescent="0.3">
      <c r="A151" s="503"/>
      <c r="B151" s="1301" t="s">
        <v>49</v>
      </c>
      <c r="C151" s="542">
        <v>3.3999999999999998E-3</v>
      </c>
      <c r="D151" s="495" t="s">
        <v>495</v>
      </c>
      <c r="E151" s="503"/>
      <c r="F151" s="495"/>
      <c r="G151" s="495"/>
      <c r="H151" s="495"/>
      <c r="I151" s="544">
        <f>$C151*$E$145*VLOOKUP($B151,'Standard values'!$C$9:$S$162,7, FALSE)/$E$201</f>
        <v>0.41070129999999999</v>
      </c>
      <c r="J151" s="544">
        <f>$C151*$E$145*VLOOKUP($B151,'Standard values'!$C$9:$S$162,8, FALSE)/$E$201</f>
        <v>1.0015833333333331E-3</v>
      </c>
      <c r="K151" s="544">
        <f>$C151*$E$145*VLOOKUP($B151,'Standard values'!$C$9:$S$162,9, FALSE)/$E$201</f>
        <v>1.8605555555555551E-5</v>
      </c>
      <c r="L151" s="516">
        <f>I151*'Standard values'!$D$10+J151*'Standard values'!$D$11+K151*'Standard values'!$D$12</f>
        <v>0.44128533888888888</v>
      </c>
      <c r="M151" s="379"/>
      <c r="N151" s="562">
        <f>+L151/$E$85</f>
        <v>11.830859935611111</v>
      </c>
      <c r="O151" s="379"/>
    </row>
    <row r="152" spans="1:15" ht="14.25" x14ac:dyDescent="0.25">
      <c r="A152" s="519"/>
      <c r="B152" s="520"/>
      <c r="C152" s="520"/>
      <c r="D152" s="520"/>
      <c r="E152" s="519"/>
      <c r="F152" s="521"/>
      <c r="G152" s="521"/>
      <c r="H152" s="521" t="s">
        <v>534</v>
      </c>
      <c r="I152" s="520"/>
      <c r="J152" s="523" t="s">
        <v>1048</v>
      </c>
      <c r="K152" s="549"/>
      <c r="L152" s="525">
        <f>L147+L151</f>
        <v>0.93624057947076134</v>
      </c>
      <c r="M152" s="379"/>
      <c r="N152" s="545">
        <f>+L152/$E$85</f>
        <v>25.100609935611111</v>
      </c>
      <c r="O152" s="379"/>
    </row>
    <row r="153" spans="1:15" x14ac:dyDescent="0.2">
      <c r="A153" s="390"/>
      <c r="B153" s="390"/>
      <c r="C153" s="390"/>
      <c r="D153" s="390"/>
      <c r="E153" s="390"/>
      <c r="F153" s="376"/>
      <c r="G153" s="376"/>
      <c r="H153" s="376"/>
      <c r="I153" s="390"/>
      <c r="J153" s="550"/>
      <c r="K153" s="551"/>
      <c r="L153" s="597"/>
      <c r="M153" s="379"/>
      <c r="N153" s="390"/>
      <c r="O153" s="379"/>
    </row>
    <row r="154" spans="1:15" x14ac:dyDescent="0.2">
      <c r="A154" s="390"/>
      <c r="B154" s="390"/>
      <c r="C154" s="390"/>
      <c r="D154" s="390"/>
      <c r="E154" s="390"/>
      <c r="F154" s="376"/>
      <c r="G154" s="376"/>
      <c r="H154" s="376"/>
      <c r="I154" s="390"/>
      <c r="J154" s="550"/>
      <c r="K154" s="551"/>
      <c r="L154" s="597"/>
      <c r="M154" s="379"/>
      <c r="N154" s="379"/>
      <c r="O154" s="379"/>
    </row>
    <row r="155" spans="1:15" ht="15.75" x14ac:dyDescent="0.25">
      <c r="A155" s="530" t="s">
        <v>546</v>
      </c>
      <c r="B155" s="598"/>
      <c r="C155" s="599"/>
      <c r="D155" s="531"/>
      <c r="E155" s="600"/>
      <c r="F155" s="531"/>
      <c r="G155" s="531"/>
      <c r="H155" s="531"/>
      <c r="I155" s="531"/>
      <c r="J155" s="531"/>
      <c r="K155" s="531"/>
      <c r="L155" s="601"/>
      <c r="M155" s="379"/>
      <c r="N155" s="379"/>
      <c r="O155" s="379"/>
    </row>
    <row r="156" spans="1:15" ht="15.75" x14ac:dyDescent="0.25">
      <c r="A156" s="602"/>
      <c r="B156" s="603" t="s">
        <v>549</v>
      </c>
      <c r="C156" s="511" t="s">
        <v>908</v>
      </c>
      <c r="D156" s="495"/>
      <c r="E156" s="503"/>
      <c r="F156" s="495"/>
      <c r="G156" s="495"/>
      <c r="H156" s="495"/>
      <c r="I156" s="495"/>
      <c r="J156" s="495"/>
      <c r="K156" s="495"/>
      <c r="L156" s="537"/>
      <c r="M156" s="379"/>
      <c r="N156" s="390"/>
      <c r="O156" s="390"/>
    </row>
    <row r="157" spans="1:15" ht="15.75" customHeight="1" x14ac:dyDescent="0.25">
      <c r="A157" s="602"/>
      <c r="B157" s="511"/>
      <c r="C157" s="668"/>
      <c r="D157" s="691" t="s">
        <v>431</v>
      </c>
      <c r="E157" s="692" t="str">
        <f>IF(D159="Yes","From :  ", " ")</f>
        <v xml:space="preserve"> </v>
      </c>
      <c r="F157" s="1422" t="str">
        <f>IF(D159="Yes",LUC!H$35 &amp; " ; " &amp; LUC!H$36 &amp; " ; " &amp; LUC!H$39 &amp; " ; " &amp; LUC!H$40 &amp; " ; " &amp; LUC!H$45 &amp; " ; " &amp; LUC!H$46 &amp; " ; " &amp; LUC!H$47, " ")</f>
        <v xml:space="preserve"> </v>
      </c>
      <c r="G157" s="1422"/>
      <c r="H157" s="1422"/>
      <c r="I157" s="1422"/>
      <c r="J157" s="1422"/>
      <c r="K157" s="1422"/>
      <c r="L157" s="1423"/>
      <c r="M157" s="379"/>
      <c r="N157" s="390"/>
      <c r="O157" s="390"/>
    </row>
    <row r="158" spans="1:15" ht="15.75" x14ac:dyDescent="0.25">
      <c r="A158" s="602"/>
      <c r="B158" s="539" t="s">
        <v>450</v>
      </c>
      <c r="C158" s="693" t="s">
        <v>431</v>
      </c>
      <c r="D158" s="691" t="s">
        <v>432</v>
      </c>
      <c r="E158" s="513"/>
      <c r="F158" s="1422"/>
      <c r="G158" s="1422"/>
      <c r="H158" s="1422"/>
      <c r="I158" s="1422"/>
      <c r="J158" s="1422"/>
      <c r="K158" s="1422"/>
      <c r="L158" s="1423"/>
      <c r="M158" s="379"/>
      <c r="N158" s="390"/>
      <c r="O158" s="390"/>
    </row>
    <row r="159" spans="1:15" ht="15.75" customHeight="1" x14ac:dyDescent="0.25">
      <c r="A159" s="602"/>
      <c r="B159" s="511"/>
      <c r="C159" s="670" t="str">
        <f>IF(D159="Yes","Go to", " ")</f>
        <v xml:space="preserve"> </v>
      </c>
      <c r="D159" s="691" t="s">
        <v>432</v>
      </c>
      <c r="E159" s="692" t="str">
        <f>IF(D159="Yes","To    :   ", " ")</f>
        <v xml:space="preserve"> </v>
      </c>
      <c r="F159" s="1424" t="str">
        <f>IF(D159="Yes", LUC!D$35 &amp; " ; " &amp; LUC!D$36 &amp; " ; " &amp; LUC!D$39 &amp; " ; " &amp; LUC!D$40 &amp; " ; " &amp; LUC!D$45 &amp; " ; " &amp; LUC!D$46 &amp; " ; " &amp; LUC!D$47, " ")</f>
        <v xml:space="preserve"> </v>
      </c>
      <c r="G159" s="1424"/>
      <c r="H159" s="1424"/>
      <c r="I159" s="1424"/>
      <c r="J159" s="1424"/>
      <c r="K159" s="1424"/>
      <c r="L159" s="1425"/>
      <c r="M159" s="379"/>
      <c r="N159" s="390"/>
      <c r="O159" s="390"/>
    </row>
    <row r="160" spans="1:15" ht="15.75" x14ac:dyDescent="0.25">
      <c r="A160" s="602"/>
      <c r="B160" s="416"/>
      <c r="C160" s="671" t="str">
        <f>IF(D159="Yes","sheet 'LUC' ", " ")</f>
        <v xml:space="preserve"> </v>
      </c>
      <c r="D160" s="495"/>
      <c r="E160" s="696"/>
      <c r="F160" s="1424"/>
      <c r="G160" s="1424"/>
      <c r="H160" s="1424"/>
      <c r="I160" s="1424"/>
      <c r="J160" s="1424"/>
      <c r="K160" s="1424"/>
      <c r="L160" s="1425"/>
      <c r="M160" s="379"/>
      <c r="N160" s="390"/>
      <c r="O160" s="390"/>
    </row>
    <row r="161" spans="1:15" ht="15.75" x14ac:dyDescent="0.25">
      <c r="A161" s="602"/>
      <c r="B161" s="416"/>
      <c r="C161" s="670" t="str">
        <f>IF(D159="Yes","to calculate the land use change", " ")</f>
        <v xml:space="preserve"> </v>
      </c>
      <c r="D161" s="495"/>
      <c r="E161" s="696"/>
      <c r="F161" s="694"/>
      <c r="G161" s="694"/>
      <c r="H161" s="694"/>
      <c r="I161" s="492" t="s">
        <v>138</v>
      </c>
      <c r="J161" s="514"/>
      <c r="K161" s="694"/>
      <c r="L161" s="695"/>
      <c r="M161" s="379"/>
      <c r="N161" s="390"/>
      <c r="O161" s="390"/>
    </row>
    <row r="162" spans="1:15" ht="16.5" x14ac:dyDescent="0.3">
      <c r="A162" s="602"/>
      <c r="B162" s="416"/>
      <c r="C162" s="670"/>
      <c r="D162" s="495"/>
      <c r="E162" s="696"/>
      <c r="F162" s="694"/>
      <c r="G162" s="694"/>
      <c r="H162" s="694"/>
      <c r="I162" s="539" t="s">
        <v>1053</v>
      </c>
      <c r="J162" s="539" t="s">
        <v>1054</v>
      </c>
      <c r="K162" s="539" t="s">
        <v>1055</v>
      </c>
      <c r="L162" s="540" t="s">
        <v>1056</v>
      </c>
      <c r="M162" s="379"/>
      <c r="N162" s="390"/>
      <c r="O162" s="390"/>
    </row>
    <row r="163" spans="1:15" ht="16.5" x14ac:dyDescent="0.3">
      <c r="A163" s="602"/>
      <c r="B163" s="507" t="s">
        <v>451</v>
      </c>
      <c r="C163" s="697">
        <f>IF(D159="Yes",LUC!$J$86,0)</f>
        <v>0</v>
      </c>
      <c r="D163" s="497" t="s">
        <v>449</v>
      </c>
      <c r="E163" s="503"/>
      <c r="F163" s="495"/>
      <c r="G163" s="495"/>
      <c r="H163" s="495"/>
      <c r="I163" s="544">
        <f>$C163*1000000/$E$200</f>
        <v>0</v>
      </c>
      <c r="J163" s="544">
        <v>0</v>
      </c>
      <c r="K163" s="544">
        <v>0</v>
      </c>
      <c r="L163" s="419">
        <f>I163*'Standard values'!$D$10+J163*'Standard values'!$D$11+K163*'Standard values'!$D$12</f>
        <v>0</v>
      </c>
      <c r="M163" s="379"/>
      <c r="N163" s="390"/>
      <c r="O163" s="390"/>
    </row>
    <row r="164" spans="1:15" ht="15.75" x14ac:dyDescent="0.25">
      <c r="A164" s="602"/>
      <c r="B164" s="507"/>
      <c r="C164" s="698"/>
      <c r="D164" s="497"/>
      <c r="E164" s="503"/>
      <c r="F164" s="495"/>
      <c r="G164" s="495"/>
      <c r="H164" s="495"/>
      <c r="I164" s="544"/>
      <c r="J164" s="544"/>
      <c r="K164" s="544"/>
      <c r="L164" s="516">
        <f>SUM(L163:L163)</f>
        <v>0</v>
      </c>
      <c r="M164" s="379"/>
      <c r="N164" s="390"/>
      <c r="O164" s="390"/>
    </row>
    <row r="165" spans="1:15" ht="15.75" x14ac:dyDescent="0.25">
      <c r="A165" s="602"/>
      <c r="B165" s="416"/>
      <c r="C165" s="492"/>
      <c r="D165" s="495"/>
      <c r="E165" s="503"/>
      <c r="F165" s="495"/>
      <c r="G165" s="495"/>
      <c r="H165" s="495"/>
      <c r="I165" s="544"/>
      <c r="J165" s="544"/>
      <c r="K165" s="544"/>
      <c r="L165" s="516"/>
      <c r="M165" s="379"/>
      <c r="N165" s="390"/>
      <c r="O165" s="390"/>
    </row>
    <row r="166" spans="1:15" ht="15.75" x14ac:dyDescent="0.3">
      <c r="A166" s="503"/>
      <c r="B166" s="539" t="s">
        <v>452</v>
      </c>
      <c r="C166" s="595">
        <v>0</v>
      </c>
      <c r="D166" s="605" t="s">
        <v>1036</v>
      </c>
      <c r="E166" s="699"/>
      <c r="F166" s="495"/>
      <c r="G166" s="495"/>
      <c r="H166" s="495"/>
      <c r="I166" s="544">
        <f>-C166</f>
        <v>0</v>
      </c>
      <c r="J166" s="544">
        <v>0</v>
      </c>
      <c r="K166" s="544">
        <v>0</v>
      </c>
      <c r="L166" s="419">
        <f>I166*'Standard values'!$D$10+J166*'Standard values'!$D$11+K166*'Standard values'!$D$12</f>
        <v>0</v>
      </c>
      <c r="M166" s="379"/>
      <c r="N166" s="390"/>
      <c r="O166" s="390"/>
    </row>
    <row r="167" spans="1:15" x14ac:dyDescent="0.2">
      <c r="A167" s="503"/>
      <c r="B167" s="539" t="str">
        <f>IF(C166=-29,"Year of conversion:","")</f>
        <v/>
      </c>
      <c r="C167" s="539" t="str">
        <f>IF(D166=-29,"Year of conversion:","")</f>
        <v/>
      </c>
      <c r="D167" s="605" t="str">
        <f>IF(C166=-29,"Fill in the year of conversion","")</f>
        <v/>
      </c>
      <c r="E167" s="503"/>
      <c r="F167" s="495"/>
      <c r="G167" s="495"/>
      <c r="H167" s="495"/>
      <c r="I167" s="495"/>
      <c r="J167" s="495"/>
      <c r="K167" s="544"/>
      <c r="L167" s="516">
        <f>SUM(L166:L166)</f>
        <v>0</v>
      </c>
      <c r="M167" s="379"/>
      <c r="N167" s="390"/>
      <c r="O167" s="390"/>
    </row>
    <row r="168" spans="1:15" x14ac:dyDescent="0.2">
      <c r="A168" s="503"/>
      <c r="B168" s="539"/>
      <c r="C168" s="539"/>
      <c r="D168" s="605"/>
      <c r="E168" s="503"/>
      <c r="F168" s="495"/>
      <c r="G168" s="495"/>
      <c r="H168" s="495"/>
      <c r="I168" s="495"/>
      <c r="J168" s="495"/>
      <c r="K168" s="544"/>
      <c r="L168" s="700"/>
      <c r="M168" s="379"/>
      <c r="N168" s="390"/>
      <c r="O168" s="390"/>
    </row>
    <row r="169" spans="1:15" ht="14.25" x14ac:dyDescent="0.25">
      <c r="A169" s="519"/>
      <c r="B169" s="520"/>
      <c r="C169" s="520"/>
      <c r="D169" s="520"/>
      <c r="E169" s="519"/>
      <c r="F169" s="521"/>
      <c r="G169" s="521"/>
      <c r="H169" s="521" t="s">
        <v>534</v>
      </c>
      <c r="I169" s="520"/>
      <c r="J169" s="523" t="s">
        <v>1048</v>
      </c>
      <c r="K169" s="549"/>
      <c r="L169" s="525">
        <f>L164+L167</f>
        <v>0</v>
      </c>
      <c r="M169" s="379"/>
      <c r="N169" s="390"/>
      <c r="O169" s="390"/>
    </row>
    <row r="170" spans="1:15" x14ac:dyDescent="0.2">
      <c r="A170" s="390"/>
      <c r="B170" s="390"/>
      <c r="C170" s="390"/>
      <c r="D170" s="390"/>
      <c r="E170" s="390"/>
      <c r="F170" s="376"/>
      <c r="G170" s="376"/>
      <c r="H170" s="376"/>
      <c r="I170" s="390"/>
      <c r="J170" s="550"/>
      <c r="K170" s="551"/>
      <c r="L170" s="604"/>
      <c r="M170" s="379"/>
      <c r="N170" s="390"/>
      <c r="O170" s="390"/>
    </row>
    <row r="171" spans="1:15" x14ac:dyDescent="0.2">
      <c r="A171" s="390"/>
      <c r="B171" s="390"/>
      <c r="C171" s="390"/>
      <c r="D171" s="390"/>
      <c r="E171" s="390"/>
      <c r="F171" s="376"/>
      <c r="G171" s="376"/>
      <c r="H171" s="376"/>
      <c r="I171" s="390"/>
      <c r="J171" s="550"/>
      <c r="K171" s="551"/>
      <c r="L171" s="604"/>
      <c r="M171" s="379"/>
      <c r="N171" s="390"/>
      <c r="O171" s="390"/>
    </row>
    <row r="172" spans="1:15" ht="15.75" x14ac:dyDescent="0.25">
      <c r="A172" s="530" t="s">
        <v>547</v>
      </c>
      <c r="B172" s="598"/>
      <c r="C172" s="599"/>
      <c r="D172" s="531"/>
      <c r="E172" s="600"/>
      <c r="F172" s="531"/>
      <c r="G172" s="531"/>
      <c r="H172" s="531"/>
      <c r="I172" s="531"/>
      <c r="J172" s="531"/>
      <c r="K172" s="531"/>
      <c r="L172" s="601"/>
      <c r="M172" s="379"/>
      <c r="N172" s="390"/>
      <c r="O172" s="390"/>
    </row>
    <row r="173" spans="1:15" ht="15.75" x14ac:dyDescent="0.25">
      <c r="A173" s="602"/>
      <c r="B173" s="416" t="s">
        <v>548</v>
      </c>
      <c r="C173" s="492" t="s">
        <v>429</v>
      </c>
      <c r="D173" s="616"/>
      <c r="E173" s="503"/>
      <c r="F173" s="495"/>
      <c r="G173" s="495"/>
      <c r="H173" s="495"/>
      <c r="I173" s="492" t="s">
        <v>138</v>
      </c>
      <c r="J173" s="514"/>
      <c r="K173" s="514"/>
      <c r="L173" s="537"/>
      <c r="M173" s="379"/>
      <c r="N173" s="390"/>
      <c r="O173" s="390"/>
    </row>
    <row r="174" spans="1:15" ht="15.75" customHeight="1" x14ac:dyDescent="0.25">
      <c r="A174" s="602"/>
      <c r="B174" s="511"/>
      <c r="C174" s="668"/>
      <c r="D174" s="691" t="s">
        <v>431</v>
      </c>
      <c r="E174" s="692" t="str">
        <f>IF(D176="Yes","From :  ", " ")</f>
        <v xml:space="preserve"> </v>
      </c>
      <c r="F174" s="1422" t="str">
        <f>IF(D176="Yes",Esca!H$42 &amp; ", " &amp; Esca!H$43 &amp; " input ","")</f>
        <v/>
      </c>
      <c r="G174" s="1422"/>
      <c r="H174" s="1422"/>
      <c r="I174" s="1422"/>
      <c r="J174" s="1422"/>
      <c r="K174" s="1422"/>
      <c r="L174" s="1423"/>
      <c r="M174" s="379"/>
      <c r="N174" s="390"/>
      <c r="O174" s="390"/>
    </row>
    <row r="175" spans="1:15" ht="15.75" x14ac:dyDescent="0.25">
      <c r="A175" s="602"/>
      <c r="B175" s="539" t="s">
        <v>430</v>
      </c>
      <c r="C175" s="668"/>
      <c r="D175" s="691" t="s">
        <v>432</v>
      </c>
      <c r="E175" s="513"/>
      <c r="F175" s="1422"/>
      <c r="G175" s="1422"/>
      <c r="H175" s="1422"/>
      <c r="I175" s="1422"/>
      <c r="J175" s="1422"/>
      <c r="K175" s="1422"/>
      <c r="L175" s="1423"/>
      <c r="M175" s="379"/>
      <c r="N175" s="390"/>
      <c r="O175" s="390"/>
    </row>
    <row r="176" spans="1:15" ht="15.75" customHeight="1" x14ac:dyDescent="0.25">
      <c r="A176" s="602"/>
      <c r="B176" s="511"/>
      <c r="C176" s="670" t="str">
        <f>IF(D176="Yes","Go to", " ")</f>
        <v xml:space="preserve"> </v>
      </c>
      <c r="D176" s="691" t="s">
        <v>432</v>
      </c>
      <c r="E176" s="692" t="str">
        <f>IF(D176="Yes","To    :   ", " ")</f>
        <v xml:space="preserve"> </v>
      </c>
      <c r="F176" s="1422" t="str">
        <f>IF(D176="Yes",Esca!D$42 &amp; ", " &amp; Esca!D$43 &amp; " input ","")</f>
        <v/>
      </c>
      <c r="G176" s="1422"/>
      <c r="H176" s="1422"/>
      <c r="I176" s="1422"/>
      <c r="J176" s="1422"/>
      <c r="K176" s="1422"/>
      <c r="L176" s="1423"/>
      <c r="M176" s="379"/>
      <c r="N176" s="390"/>
      <c r="O176" s="390"/>
    </row>
    <row r="177" spans="1:15" ht="15.75" x14ac:dyDescent="0.25">
      <c r="A177" s="602"/>
      <c r="B177" s="416"/>
      <c r="C177" s="671" t="str">
        <f>IF(D176="Yes","sheet 'Esca' ", " ")</f>
        <v xml:space="preserve"> </v>
      </c>
      <c r="D177" s="495"/>
      <c r="E177" s="696"/>
      <c r="F177" s="1422"/>
      <c r="G177" s="1422"/>
      <c r="H177" s="1422"/>
      <c r="I177" s="1422"/>
      <c r="J177" s="1422"/>
      <c r="K177" s="1422"/>
      <c r="L177" s="1423"/>
      <c r="M177" s="379"/>
      <c r="N177" s="390"/>
      <c r="O177" s="390"/>
    </row>
    <row r="178" spans="1:15" ht="15.75" x14ac:dyDescent="0.25">
      <c r="A178" s="602"/>
      <c r="B178" s="416"/>
      <c r="C178" s="670" t="str">
        <f>IF(D176="Yes","to calculate the soil carbon accumulation", " ")</f>
        <v xml:space="preserve"> </v>
      </c>
      <c r="D178" s="495"/>
      <c r="E178" s="696"/>
      <c r="F178" s="694"/>
      <c r="G178" s="694"/>
      <c r="H178" s="694"/>
      <c r="I178" s="492" t="s">
        <v>138</v>
      </c>
      <c r="J178" s="514"/>
      <c r="K178" s="694"/>
      <c r="L178" s="695"/>
      <c r="M178" s="379"/>
      <c r="N178" s="390"/>
      <c r="O178" s="390"/>
    </row>
    <row r="179" spans="1:15" ht="16.5" x14ac:dyDescent="0.3">
      <c r="A179" s="602"/>
      <c r="B179" s="416"/>
      <c r="C179" s="670"/>
      <c r="D179" s="495"/>
      <c r="E179" s="696"/>
      <c r="F179" s="694"/>
      <c r="G179" s="694"/>
      <c r="H179" s="694"/>
      <c r="I179" s="539" t="s">
        <v>1053</v>
      </c>
      <c r="J179" s="539" t="s">
        <v>1054</v>
      </c>
      <c r="K179" s="539" t="s">
        <v>1055</v>
      </c>
      <c r="L179" s="540" t="s">
        <v>1056</v>
      </c>
      <c r="M179" s="379"/>
      <c r="N179" s="390"/>
      <c r="O179" s="390"/>
    </row>
    <row r="180" spans="1:15" ht="16.5" x14ac:dyDescent="0.3">
      <c r="A180" s="602"/>
      <c r="B180" s="507" t="s">
        <v>807</v>
      </c>
      <c r="C180" s="697">
        <f>IF(D176="yes",Esca!$J$81,0)</f>
        <v>0</v>
      </c>
      <c r="D180" s="497" t="s">
        <v>449</v>
      </c>
      <c r="E180" s="503"/>
      <c r="F180" s="495"/>
      <c r="G180" s="495"/>
      <c r="H180" s="495"/>
      <c r="I180" s="544">
        <f>$C180*1000000/$E$200</f>
        <v>0</v>
      </c>
      <c r="J180" s="544">
        <v>0</v>
      </c>
      <c r="K180" s="544">
        <v>0</v>
      </c>
      <c r="L180" s="419">
        <f>I180*'Standard values'!$D$10+J180*'Standard values'!$D$11+K180*'Standard values'!$D$12</f>
        <v>0</v>
      </c>
      <c r="M180" s="379"/>
      <c r="N180" s="390"/>
      <c r="O180" s="390"/>
    </row>
    <row r="181" spans="1:15" x14ac:dyDescent="0.2">
      <c r="A181" s="503"/>
      <c r="B181" s="539"/>
      <c r="C181" s="539"/>
      <c r="D181" s="605"/>
      <c r="E181" s="503"/>
      <c r="F181" s="495"/>
      <c r="G181" s="495"/>
      <c r="H181" s="495"/>
      <c r="I181" s="495"/>
      <c r="J181" s="495"/>
      <c r="K181" s="544"/>
      <c r="L181" s="516">
        <f>SUM(L180:L180)</f>
        <v>0</v>
      </c>
      <c r="M181" s="379"/>
      <c r="N181" s="390"/>
      <c r="O181" s="390"/>
    </row>
    <row r="182" spans="1:15" x14ac:dyDescent="0.2">
      <c r="A182" s="503"/>
      <c r="B182" s="539"/>
      <c r="C182" s="539"/>
      <c r="D182" s="605"/>
      <c r="E182" s="503"/>
      <c r="F182" s="495"/>
      <c r="G182" s="495"/>
      <c r="H182" s="495"/>
      <c r="I182" s="495"/>
      <c r="J182" s="495"/>
      <c r="K182" s="544"/>
      <c r="L182" s="700"/>
      <c r="M182" s="379"/>
      <c r="N182" s="390"/>
      <c r="O182" s="390"/>
    </row>
    <row r="183" spans="1:15" ht="14.25" x14ac:dyDescent="0.25">
      <c r="A183" s="519"/>
      <c r="B183" s="520"/>
      <c r="C183" s="520"/>
      <c r="D183" s="520"/>
      <c r="E183" s="519"/>
      <c r="F183" s="521"/>
      <c r="G183" s="521"/>
      <c r="H183" s="521" t="s">
        <v>534</v>
      </c>
      <c r="I183" s="520"/>
      <c r="J183" s="523" t="s">
        <v>1048</v>
      </c>
      <c r="K183" s="549"/>
      <c r="L183" s="525">
        <f>L181</f>
        <v>0</v>
      </c>
      <c r="M183" s="379"/>
      <c r="N183" s="390"/>
      <c r="O183" s="390"/>
    </row>
    <row r="184" spans="1:15" x14ac:dyDescent="0.2">
      <c r="A184" s="390"/>
      <c r="B184" s="390"/>
      <c r="C184" s="390"/>
      <c r="D184" s="390"/>
      <c r="E184" s="390"/>
      <c r="F184" s="376"/>
      <c r="G184" s="376"/>
      <c r="H184" s="376"/>
      <c r="I184" s="390"/>
      <c r="J184" s="550"/>
      <c r="K184" s="551"/>
      <c r="L184" s="604"/>
      <c r="M184" s="379"/>
      <c r="N184" s="390"/>
      <c r="O184" s="390"/>
    </row>
    <row r="185" spans="1:15" x14ac:dyDescent="0.2">
      <c r="A185" s="390"/>
      <c r="B185" s="390"/>
      <c r="C185" s="390"/>
      <c r="D185" s="390"/>
      <c r="E185" s="390"/>
      <c r="F185" s="376"/>
      <c r="G185" s="376"/>
      <c r="H185" s="376"/>
      <c r="I185" s="390"/>
      <c r="J185" s="550"/>
      <c r="K185" s="551"/>
      <c r="L185" s="604"/>
      <c r="M185" s="379"/>
      <c r="N185" s="390"/>
      <c r="O185" s="390"/>
    </row>
    <row r="186" spans="1:15" ht="18.75" x14ac:dyDescent="0.35">
      <c r="A186" s="530" t="s">
        <v>168</v>
      </c>
      <c r="B186" s="598"/>
      <c r="C186" s="599"/>
      <c r="D186" s="531"/>
      <c r="E186" s="600"/>
      <c r="F186" s="531"/>
      <c r="G186" s="531"/>
      <c r="H186" s="531"/>
      <c r="I186" s="531"/>
      <c r="J186" s="531"/>
      <c r="K186" s="531"/>
      <c r="L186" s="601"/>
      <c r="M186" s="379"/>
      <c r="N186" s="390"/>
      <c r="O186" s="390"/>
    </row>
    <row r="187" spans="1:15" ht="15.75" x14ac:dyDescent="0.25">
      <c r="A187" s="602"/>
      <c r="B187" s="416" t="s">
        <v>166</v>
      </c>
      <c r="C187" s="492"/>
      <c r="D187" s="495"/>
      <c r="E187" s="503"/>
      <c r="F187" s="495"/>
      <c r="G187" s="495"/>
      <c r="H187" s="495"/>
      <c r="I187" s="492" t="s">
        <v>138</v>
      </c>
      <c r="J187" s="514"/>
      <c r="K187" s="514"/>
      <c r="L187" s="537"/>
      <c r="M187" s="379"/>
      <c r="N187" s="390"/>
      <c r="O187" s="390"/>
    </row>
    <row r="188" spans="1:15" ht="15.75" x14ac:dyDescent="0.3">
      <c r="A188" s="503"/>
      <c r="B188" s="539"/>
      <c r="C188" s="595">
        <v>0</v>
      </c>
      <c r="D188" s="605" t="s">
        <v>1036</v>
      </c>
      <c r="E188" s="503"/>
      <c r="F188" s="495"/>
      <c r="G188" s="495"/>
      <c r="H188" s="495"/>
      <c r="I188" s="495"/>
      <c r="J188" s="495"/>
      <c r="K188" s="544"/>
      <c r="L188" s="516">
        <f>C188</f>
        <v>0</v>
      </c>
      <c r="M188" s="379"/>
      <c r="N188" s="390"/>
      <c r="O188" s="390"/>
    </row>
    <row r="189" spans="1:15" ht="14.25" x14ac:dyDescent="0.25">
      <c r="A189" s="519"/>
      <c r="B189" s="520"/>
      <c r="C189" s="770"/>
      <c r="D189" s="520"/>
      <c r="E189" s="519"/>
      <c r="F189" s="521"/>
      <c r="G189" s="521"/>
      <c r="H189" s="521" t="s">
        <v>534</v>
      </c>
      <c r="I189" s="520"/>
      <c r="J189" s="523" t="s">
        <v>1048</v>
      </c>
      <c r="K189" s="549"/>
      <c r="L189" s="525">
        <f>C188</f>
        <v>0</v>
      </c>
      <c r="M189" s="379"/>
      <c r="N189" s="390"/>
      <c r="O189" s="390"/>
    </row>
    <row r="190" spans="1:15" x14ac:dyDescent="0.2">
      <c r="A190" s="390"/>
      <c r="B190" s="390"/>
      <c r="C190" s="390"/>
      <c r="D190" s="390"/>
      <c r="E190" s="390"/>
      <c r="F190" s="376"/>
      <c r="G190" s="376"/>
      <c r="H190" s="376"/>
      <c r="I190" s="390"/>
      <c r="J190" s="550"/>
      <c r="K190" s="551"/>
      <c r="L190" s="604"/>
      <c r="M190" s="379"/>
      <c r="N190" s="390"/>
      <c r="O190" s="390"/>
    </row>
    <row r="191" spans="1:15" x14ac:dyDescent="0.2">
      <c r="A191" s="390"/>
      <c r="B191" s="390"/>
      <c r="C191" s="390"/>
      <c r="D191" s="390"/>
      <c r="E191" s="390"/>
      <c r="F191" s="376"/>
      <c r="G191" s="376"/>
      <c r="H191" s="376"/>
      <c r="I191" s="390"/>
      <c r="J191" s="550"/>
      <c r="K191" s="551"/>
      <c r="L191" s="604"/>
      <c r="M191" s="379"/>
      <c r="N191" s="390"/>
      <c r="O191" s="390"/>
    </row>
    <row r="192" spans="1:15" ht="18.75" x14ac:dyDescent="0.35">
      <c r="A192" s="530" t="s">
        <v>169</v>
      </c>
      <c r="B192" s="598"/>
      <c r="C192" s="599"/>
      <c r="D192" s="531"/>
      <c r="E192" s="600"/>
      <c r="F192" s="531"/>
      <c r="G192" s="531"/>
      <c r="H192" s="531"/>
      <c r="I192" s="531"/>
      <c r="J192" s="531"/>
      <c r="K192" s="531"/>
      <c r="L192" s="601"/>
      <c r="M192" s="379"/>
      <c r="N192" s="390"/>
      <c r="O192" s="390"/>
    </row>
    <row r="193" spans="1:15" ht="15.75" x14ac:dyDescent="0.25">
      <c r="A193" s="602"/>
      <c r="B193" s="416" t="s">
        <v>167</v>
      </c>
      <c r="C193" s="492"/>
      <c r="D193" s="495"/>
      <c r="E193" s="503"/>
      <c r="F193" s="495"/>
      <c r="G193" s="495"/>
      <c r="H193" s="495"/>
      <c r="I193" s="492" t="s">
        <v>138</v>
      </c>
      <c r="J193" s="514"/>
      <c r="K193" s="514"/>
      <c r="L193" s="537"/>
      <c r="M193" s="379"/>
      <c r="N193" s="390"/>
      <c r="O193" s="390"/>
    </row>
    <row r="194" spans="1:15" ht="15.75" x14ac:dyDescent="0.3">
      <c r="A194" s="503"/>
      <c r="B194" s="539"/>
      <c r="C194" s="595">
        <v>0</v>
      </c>
      <c r="D194" s="605" t="s">
        <v>1036</v>
      </c>
      <c r="E194" s="503"/>
      <c r="F194" s="495"/>
      <c r="G194" s="495"/>
      <c r="H194" s="495"/>
      <c r="I194" s="495"/>
      <c r="J194" s="495"/>
      <c r="K194" s="544"/>
      <c r="L194" s="516">
        <f>C194</f>
        <v>0</v>
      </c>
      <c r="M194" s="379"/>
      <c r="N194" s="390"/>
      <c r="O194" s="390"/>
    </row>
    <row r="195" spans="1:15" ht="14.25" x14ac:dyDescent="0.25">
      <c r="A195" s="519"/>
      <c r="B195" s="520"/>
      <c r="C195" s="520"/>
      <c r="D195" s="520"/>
      <c r="E195" s="519"/>
      <c r="F195" s="521"/>
      <c r="G195" s="521"/>
      <c r="H195" s="521" t="s">
        <v>534</v>
      </c>
      <c r="I195" s="520"/>
      <c r="J195" s="523" t="s">
        <v>1048</v>
      </c>
      <c r="K195" s="549"/>
      <c r="L195" s="525">
        <f>C194</f>
        <v>0</v>
      </c>
      <c r="M195" s="379"/>
      <c r="N195" s="390"/>
      <c r="O195" s="390"/>
    </row>
    <row r="196" spans="1:15" x14ac:dyDescent="0.2">
      <c r="A196" s="390"/>
      <c r="B196" s="390"/>
      <c r="C196" s="390"/>
      <c r="D196" s="390"/>
      <c r="E196" s="390"/>
      <c r="F196" s="376"/>
      <c r="G196" s="376"/>
      <c r="H196" s="376"/>
      <c r="I196" s="390"/>
      <c r="J196" s="550"/>
      <c r="K196" s="551"/>
      <c r="L196" s="604"/>
      <c r="M196" s="379"/>
      <c r="N196" s="390"/>
      <c r="O196" s="390"/>
    </row>
    <row r="197" spans="1:15" x14ac:dyDescent="0.2">
      <c r="A197" s="390"/>
      <c r="B197" s="390"/>
      <c r="C197" s="390"/>
      <c r="D197" s="390"/>
      <c r="E197" s="390"/>
      <c r="F197" s="376"/>
      <c r="G197" s="376"/>
      <c r="H197" s="376"/>
      <c r="I197" s="390"/>
      <c r="J197" s="550"/>
      <c r="K197" s="551"/>
      <c r="L197" s="604"/>
      <c r="M197" s="379"/>
      <c r="N197" s="390"/>
      <c r="O197" s="390"/>
    </row>
    <row r="198" spans="1:15" ht="15.75" x14ac:dyDescent="0.25">
      <c r="A198" s="530" t="s">
        <v>457</v>
      </c>
      <c r="B198" s="531"/>
      <c r="C198" s="531"/>
      <c r="D198" s="531"/>
      <c r="E198" s="532"/>
      <c r="F198" s="606"/>
      <c r="G198" s="606"/>
      <c r="H198" s="606"/>
      <c r="I198" s="607"/>
      <c r="J198" s="608"/>
      <c r="K198" s="607"/>
      <c r="L198" s="609"/>
      <c r="M198" s="379"/>
      <c r="N198" s="390"/>
      <c r="O198" s="390"/>
    </row>
    <row r="199" spans="1:15" ht="15.75" x14ac:dyDescent="0.25">
      <c r="A199" s="610"/>
      <c r="B199" s="611"/>
      <c r="C199" s="611"/>
      <c r="D199" s="611"/>
      <c r="E199" s="612"/>
      <c r="F199" s="613"/>
      <c r="G199" s="613"/>
      <c r="H199" s="613"/>
      <c r="I199" s="613"/>
      <c r="J199" s="613"/>
      <c r="K199" s="613"/>
      <c r="L199" s="614"/>
      <c r="M199" s="379"/>
      <c r="N199" s="390"/>
      <c r="O199" s="390"/>
    </row>
    <row r="200" spans="1:15" ht="15.75" x14ac:dyDescent="0.3">
      <c r="A200" s="503"/>
      <c r="B200" s="495"/>
      <c r="C200" s="495"/>
      <c r="D200" s="546" t="s">
        <v>300</v>
      </c>
      <c r="E200" s="702">
        <f>E23*C72*C83*C124*C144</f>
        <v>133574.42813399978</v>
      </c>
      <c r="F200" s="495" t="s">
        <v>1030</v>
      </c>
      <c r="G200" s="495"/>
      <c r="H200" s="495"/>
      <c r="I200" s="495"/>
      <c r="J200" s="495"/>
      <c r="K200" s="495"/>
      <c r="L200" s="616"/>
      <c r="M200" s="379"/>
      <c r="N200" s="390"/>
      <c r="O200" s="390"/>
    </row>
    <row r="201" spans="1:15" ht="15.75" x14ac:dyDescent="0.3">
      <c r="A201" s="503"/>
      <c r="B201" s="495"/>
      <c r="C201" s="495"/>
      <c r="D201" s="546" t="s">
        <v>299</v>
      </c>
      <c r="E201" s="615">
        <f>E200/E23</f>
        <v>0.3607263116883111</v>
      </c>
      <c r="F201" s="495" t="s">
        <v>314</v>
      </c>
      <c r="G201" s="495"/>
      <c r="H201" s="495"/>
      <c r="I201" s="544"/>
      <c r="J201" s="495"/>
      <c r="K201" s="495"/>
      <c r="L201" s="616"/>
      <c r="M201" s="379"/>
      <c r="N201" s="390"/>
      <c r="O201" s="390"/>
    </row>
    <row r="202" spans="1:15" x14ac:dyDescent="0.2">
      <c r="A202" s="503"/>
      <c r="B202" s="495"/>
      <c r="C202" s="495"/>
      <c r="D202" s="495"/>
      <c r="E202" s="495"/>
      <c r="F202" s="617"/>
      <c r="G202" s="617"/>
      <c r="H202" s="495"/>
      <c r="I202" s="544"/>
      <c r="J202" s="495"/>
      <c r="K202" s="495"/>
      <c r="L202" s="616"/>
      <c r="M202" s="379"/>
      <c r="N202" s="390"/>
      <c r="O202" s="390"/>
    </row>
    <row r="203" spans="1:15" x14ac:dyDescent="0.2">
      <c r="A203" s="503"/>
      <c r="B203" s="495"/>
      <c r="C203" s="495"/>
      <c r="D203" s="495"/>
      <c r="E203" s="495"/>
      <c r="F203" s="617"/>
      <c r="G203" s="617"/>
      <c r="H203" s="495"/>
      <c r="I203" s="495"/>
      <c r="J203" s="495"/>
      <c r="K203" s="495"/>
      <c r="L203" s="616"/>
      <c r="M203" s="379"/>
      <c r="N203" s="390"/>
      <c r="O203" s="390"/>
    </row>
    <row r="204" spans="1:15" ht="14.25" x14ac:dyDescent="0.25">
      <c r="A204" s="618"/>
      <c r="B204" s="619"/>
      <c r="C204" s="619"/>
      <c r="D204" s="619"/>
      <c r="E204" s="620" t="s">
        <v>1059</v>
      </c>
      <c r="F204" s="621"/>
      <c r="G204" s="621"/>
      <c r="H204" s="622"/>
      <c r="I204" s="622"/>
      <c r="J204" s="620" t="s">
        <v>885</v>
      </c>
      <c r="K204" s="622"/>
      <c r="L204" s="623">
        <f>L46+L68+L78+L111+L140+L152+L169-L183-L189-L195</f>
        <v>24.327549380805355</v>
      </c>
      <c r="M204" s="379"/>
      <c r="N204" s="390"/>
      <c r="O204" s="390"/>
    </row>
    <row r="205" spans="1:15" ht="14.25" x14ac:dyDescent="0.25">
      <c r="A205" s="624"/>
      <c r="B205" s="625"/>
      <c r="C205" s="626"/>
      <c r="D205" s="619"/>
      <c r="E205" s="620" t="s">
        <v>1060</v>
      </c>
      <c r="F205" s="622"/>
      <c r="G205" s="622"/>
      <c r="H205" s="622"/>
      <c r="I205" s="622"/>
      <c r="J205" s="620" t="s">
        <v>885</v>
      </c>
      <c r="K205" s="622"/>
      <c r="L205" s="627">
        <f>L120+L140+L152+(L164*J6)+L167-L183-L189-L195</f>
        <v>24.327549380805355</v>
      </c>
      <c r="M205" s="379"/>
      <c r="N205" s="390"/>
      <c r="O205" s="390"/>
    </row>
    <row r="206" spans="1:15" x14ac:dyDescent="0.2">
      <c r="A206" s="618"/>
      <c r="B206" s="619"/>
      <c r="C206" s="619"/>
      <c r="D206" s="619"/>
      <c r="E206" s="622"/>
      <c r="F206" s="622"/>
      <c r="G206" s="622"/>
      <c r="H206" s="622"/>
      <c r="I206" s="622"/>
      <c r="J206" s="622"/>
      <c r="K206" s="622"/>
      <c r="L206" s="628"/>
      <c r="M206" s="379"/>
      <c r="N206" s="390"/>
      <c r="O206" s="390"/>
    </row>
    <row r="207" spans="1:15" x14ac:dyDescent="0.2">
      <c r="A207" s="629"/>
      <c r="B207" s="630"/>
      <c r="C207" s="630"/>
      <c r="D207" s="630"/>
      <c r="E207" s="631" t="s">
        <v>1061</v>
      </c>
      <c r="F207" s="632"/>
      <c r="G207" s="632"/>
      <c r="H207" s="632"/>
      <c r="I207" s="632"/>
      <c r="J207" s="632"/>
      <c r="K207" s="632"/>
      <c r="L207" s="633">
        <f>(83.8-L205)/83.8</f>
        <v>0.70969511478752567</v>
      </c>
      <c r="M207" s="379"/>
      <c r="N207" s="390"/>
      <c r="O207" s="390"/>
    </row>
    <row r="208" spans="1:15" x14ac:dyDescent="0.2">
      <c r="M208" s="361"/>
    </row>
    <row r="209" spans="5:14" x14ac:dyDescent="0.2">
      <c r="E209" s="634"/>
      <c r="F209" s="634"/>
      <c r="G209" s="634"/>
      <c r="H209" s="635"/>
      <c r="I209" s="634"/>
      <c r="J209" s="634"/>
      <c r="K209" s="634"/>
      <c r="L209" s="636"/>
      <c r="M209" s="361"/>
    </row>
    <row r="210" spans="5:14" x14ac:dyDescent="0.2">
      <c r="F210" s="634"/>
      <c r="G210" s="634"/>
      <c r="H210" s="634"/>
      <c r="I210" s="637"/>
      <c r="J210" s="634"/>
      <c r="K210" s="634"/>
      <c r="L210" s="638"/>
      <c r="M210" s="639"/>
      <c r="N210" s="361"/>
    </row>
    <row r="211" spans="5:14" x14ac:dyDescent="0.2">
      <c r="F211" s="634"/>
      <c r="G211" s="634"/>
      <c r="H211" s="634"/>
      <c r="I211" s="637"/>
      <c r="J211" s="634"/>
      <c r="K211" s="634"/>
      <c r="L211" s="638"/>
      <c r="M211" s="639"/>
      <c r="N211" s="361"/>
    </row>
    <row r="212" spans="5:14" ht="15.75" x14ac:dyDescent="0.25">
      <c r="F212" s="640"/>
      <c r="G212" s="640"/>
      <c r="H212" s="634"/>
      <c r="I212" s="634"/>
      <c r="J212" s="634"/>
      <c r="K212" s="634"/>
      <c r="L212" s="634"/>
      <c r="M212" s="634"/>
      <c r="N212" s="361"/>
    </row>
    <row r="213" spans="5:14" x14ac:dyDescent="0.2">
      <c r="F213" s="634"/>
      <c r="G213" s="634"/>
      <c r="H213" s="637"/>
      <c r="I213" s="634"/>
      <c r="J213" s="634"/>
      <c r="K213" s="634"/>
      <c r="L213" s="634"/>
      <c r="M213" s="634"/>
      <c r="N213" s="634"/>
    </row>
    <row r="214" spans="5:14" x14ac:dyDescent="0.2">
      <c r="F214" s="637"/>
      <c r="G214" s="637"/>
      <c r="H214" s="634"/>
      <c r="I214" s="641"/>
      <c r="J214" s="634"/>
      <c r="K214" s="634"/>
      <c r="L214" s="634"/>
      <c r="M214" s="634"/>
      <c r="N214" s="634"/>
    </row>
    <row r="215" spans="5:14" x14ac:dyDescent="0.2">
      <c r="F215" s="637"/>
      <c r="G215" s="637"/>
      <c r="H215" s="634"/>
      <c r="I215" s="641"/>
      <c r="J215" s="634"/>
      <c r="K215" s="634"/>
      <c r="L215" s="634"/>
      <c r="M215" s="634"/>
      <c r="N215" s="634"/>
    </row>
    <row r="216" spans="5:14" x14ac:dyDescent="0.2">
      <c r="F216" s="634"/>
      <c r="G216" s="634"/>
      <c r="H216" s="639"/>
      <c r="I216" s="634"/>
      <c r="J216" s="634"/>
      <c r="K216" s="634"/>
      <c r="L216" s="634"/>
      <c r="M216" s="634"/>
      <c r="N216" s="634"/>
    </row>
    <row r="217" spans="5:14" x14ac:dyDescent="0.2">
      <c r="F217" s="634"/>
      <c r="G217" s="634"/>
      <c r="H217" s="634"/>
      <c r="I217" s="634"/>
      <c r="J217" s="634"/>
      <c r="K217" s="634"/>
      <c r="L217" s="634"/>
      <c r="M217" s="634"/>
      <c r="N217" s="634"/>
    </row>
    <row r="218" spans="5:14" x14ac:dyDescent="0.2">
      <c r="F218" s="634"/>
      <c r="G218" s="634"/>
      <c r="H218" s="634"/>
      <c r="I218" s="634"/>
      <c r="J218" s="634"/>
      <c r="K218" s="634"/>
      <c r="L218" s="634"/>
      <c r="M218" s="634"/>
      <c r="N218" s="634"/>
    </row>
    <row r="219" spans="5:14" x14ac:dyDescent="0.2">
      <c r="F219" s="634"/>
      <c r="G219" s="634"/>
      <c r="H219" s="634"/>
      <c r="I219" s="634"/>
      <c r="J219" s="634"/>
      <c r="K219" s="634"/>
      <c r="L219" s="634"/>
      <c r="M219" s="634"/>
      <c r="N219" s="634"/>
    </row>
    <row r="220" spans="5:14" x14ac:dyDescent="0.2">
      <c r="F220" s="634"/>
      <c r="G220" s="634"/>
      <c r="H220" s="634"/>
      <c r="I220" s="634"/>
      <c r="J220" s="634"/>
      <c r="K220" s="634"/>
      <c r="L220" s="634"/>
      <c r="M220" s="634"/>
      <c r="N220" s="634"/>
    </row>
    <row r="221" spans="5:14" x14ac:dyDescent="0.2">
      <c r="F221" s="634"/>
      <c r="G221" s="634"/>
      <c r="H221" s="634"/>
      <c r="I221" s="634"/>
      <c r="J221" s="634"/>
      <c r="K221" s="634"/>
      <c r="L221" s="634"/>
      <c r="M221" s="634"/>
      <c r="N221" s="634"/>
    </row>
    <row r="222" spans="5:14" x14ac:dyDescent="0.2">
      <c r="F222" s="634"/>
      <c r="G222" s="634"/>
      <c r="H222" s="634"/>
      <c r="I222" s="634"/>
      <c r="J222" s="634"/>
      <c r="K222" s="634"/>
      <c r="L222" s="634"/>
      <c r="M222" s="634"/>
      <c r="N222" s="634"/>
    </row>
    <row r="223" spans="5:14" x14ac:dyDescent="0.2">
      <c r="F223" s="634"/>
      <c r="G223" s="634"/>
      <c r="H223" s="634"/>
      <c r="I223" s="634"/>
      <c r="J223" s="634"/>
      <c r="K223" s="634"/>
      <c r="L223" s="634"/>
      <c r="M223" s="634"/>
      <c r="N223" s="634"/>
    </row>
    <row r="224" spans="5:14" x14ac:dyDescent="0.2">
      <c r="F224" s="634"/>
      <c r="G224" s="634"/>
      <c r="H224" s="634"/>
      <c r="I224" s="634"/>
      <c r="J224" s="634"/>
      <c r="K224" s="634"/>
      <c r="L224" s="634"/>
      <c r="M224" s="634"/>
      <c r="N224" s="634"/>
    </row>
    <row r="225" spans="6:14" x14ac:dyDescent="0.2">
      <c r="F225" s="634"/>
      <c r="G225" s="634"/>
      <c r="H225" s="634"/>
      <c r="I225" s="634"/>
      <c r="J225" s="634"/>
      <c r="K225" s="634"/>
      <c r="L225" s="634"/>
      <c r="M225" s="634"/>
      <c r="N225" s="634"/>
    </row>
    <row r="226" spans="6:14" x14ac:dyDescent="0.2">
      <c r="F226" s="634"/>
      <c r="G226" s="634"/>
      <c r="H226" s="634"/>
      <c r="I226" s="634"/>
      <c r="J226" s="634"/>
      <c r="K226" s="634"/>
      <c r="L226" s="634"/>
      <c r="M226" s="634"/>
      <c r="N226" s="634"/>
    </row>
    <row r="227" spans="6:14" x14ac:dyDescent="0.2">
      <c r="F227" s="634"/>
      <c r="G227" s="634"/>
      <c r="H227" s="634"/>
      <c r="I227" s="634"/>
      <c r="J227" s="634"/>
      <c r="K227" s="634"/>
      <c r="L227" s="634"/>
      <c r="M227" s="634"/>
      <c r="N227" s="634"/>
    </row>
    <row r="228" spans="6:14" x14ac:dyDescent="0.2">
      <c r="F228" s="634"/>
      <c r="G228" s="634"/>
      <c r="H228" s="634"/>
      <c r="I228" s="634"/>
      <c r="J228" s="634"/>
      <c r="K228" s="634"/>
      <c r="L228" s="634"/>
      <c r="M228" s="634"/>
      <c r="N228" s="634"/>
    </row>
  </sheetData>
  <sheetProtection insertColumns="0" insertRows="0" deleteColumns="0" deleteRows="0"/>
  <customSheetViews>
    <customSheetView guid="{AD88818B-9F97-4B1E-9426-0DECE603685E}" scale="80" showGridLines="0" fitToPage="1" showRuler="0">
      <pane ySplit="19" topLeftCell="A20" activePane="bottomLeft" state="frozen"/>
      <selection pane="bottomLeft" activeCell="E3" sqref="E3"/>
      <pageMargins left="0.75" right="0.75" top="1" bottom="1" header="0.5" footer="0.5"/>
      <pageSetup paperSize="8" fitToHeight="0" orientation="landscape"/>
      <headerFooter alignWithMargins="0">
        <oddFooter>&amp;L&amp;8&amp;F&amp;C&amp;8&amp;A&amp;R&amp;8page&amp;P</oddFooter>
      </headerFooter>
    </customSheetView>
    <customSheetView guid="{7EB5D807-CE20-46E2-AEE6-2C193E010EA4}" scale="80" showGridLines="0" fitToPage="1" showRuler="0">
      <pane ySplit="19" topLeftCell="A20" activePane="bottomLeft" state="frozen"/>
      <selection pane="bottomLeft" activeCell="E3" sqref="E3"/>
      <pageMargins left="0.75" right="0.75" top="1" bottom="1" header="0.5" footer="0.5"/>
      <pageSetup paperSize="8" fitToHeight="0" orientation="landscape"/>
      <headerFooter alignWithMargins="0">
        <oddFooter>&amp;L&amp;8&amp;F&amp;C&amp;8&amp;A&amp;R&amp;8page&amp;P</oddFooter>
      </headerFooter>
    </customSheetView>
  </customSheetViews>
  <mergeCells count="5">
    <mergeCell ref="F176:L177"/>
    <mergeCell ref="H7:H8"/>
    <mergeCell ref="F157:L158"/>
    <mergeCell ref="F159:L160"/>
    <mergeCell ref="F174:L175"/>
  </mergeCells>
  <phoneticPr fontId="0" type="noConversion"/>
  <conditionalFormatting sqref="O9:O19">
    <cfRule type="cellIs" dxfId="89" priority="1" stopIfTrue="1" operator="notBetween">
      <formula>-0.05</formula>
      <formula>0.05</formula>
    </cfRule>
  </conditionalFormatting>
  <conditionalFormatting sqref="E15">
    <cfRule type="expression" dxfId="88" priority="3" stopIfTrue="1">
      <formula>($E15="Combined result of previous calculation")</formula>
    </cfRule>
  </conditionalFormatting>
  <conditionalFormatting sqref="A15:D15 F15:G15">
    <cfRule type="expression" dxfId="87" priority="4" stopIfTrue="1">
      <formula>($E15="Combined result of previous calculation")</formula>
    </cfRule>
  </conditionalFormatting>
  <conditionalFormatting sqref="A7:G8 A12:G12">
    <cfRule type="expression" dxfId="86" priority="5" stopIfTrue="1">
      <formula>($E7&lt;&gt;"")</formula>
    </cfRule>
  </conditionalFormatting>
  <conditionalFormatting sqref="A16:D16 F16:G16">
    <cfRule type="expression" dxfId="85" priority="6" stopIfTrue="1">
      <formula>($E16="Esca included in combined result of previous calculation")</formula>
    </cfRule>
  </conditionalFormatting>
  <conditionalFormatting sqref="E16">
    <cfRule type="expression" dxfId="84" priority="7" stopIfTrue="1">
      <formula>($E16="Esca included in combined result of previous calculation")</formula>
    </cfRule>
  </conditionalFormatting>
  <dataValidations count="8">
    <dataValidation type="list" allowBlank="1" showInputMessage="1" showErrorMessage="1" sqref="F11 F9 F6" xr:uid="{00000000-0002-0000-1000-000000000000}">
      <formula1>"A,D"</formula1>
    </dataValidation>
    <dataValidation type="list" showDropDown="1" showInputMessage="1" showErrorMessage="1" errorTitle="Wrong input" error="Only values &quot;0&quot; and &quot;29&quot; are allowed_x000a_" sqref="C166" xr:uid="{00000000-0002-0000-1000-000001000000}">
      <formula1>"0,29"</formula1>
    </dataValidation>
    <dataValidation allowBlank="1" showInputMessage="1" showErrorMessage="1" promptTitle="Input value for manure" prompt="Use of manure will not lead to direct GHG emissions as the emission coeffient is 0 g CO2,eq/MJ._x000a_Use of manure will indirectly lead to GHG emissions. When using actual inputs, field N2O emissions must be calculated which increase due to use of manure." sqref="C31" xr:uid="{00000000-0002-0000-1000-000002000000}"/>
    <dataValidation type="list" allowBlank="1" showInputMessage="1" showErrorMessage="1" sqref="E15" xr:uid="{00000000-0002-0000-1000-000003000000}">
      <formula1>"- , Combined result of previous calculation"</formula1>
    </dataValidation>
    <dataValidation type="list" allowBlank="1" showInputMessage="1" showErrorMessage="1" sqref="E7:E8 E12" xr:uid="{00000000-0002-0000-1000-000004000000}">
      <formula1>"- ,Individual result of previous calculation, Combined result of previous calculation"</formula1>
    </dataValidation>
    <dataValidation type="list" allowBlank="1" showInputMessage="1" showErrorMessage="1" sqref="E16" xr:uid="{00000000-0002-0000-1000-000005000000}">
      <formula1>"- , Esca included in combined result of previous calculation"</formula1>
    </dataValidation>
    <dataValidation allowBlank="1" showInputMessage="1" showErrorMessage="1" promptTitle="Please note !" prompt="When changing the value in this cell, you must indicate in column E under &quot;overview results&quot; that you have used the result of a previous calculation. Please refer to paragraph 4.2 of the user manual for further instructions and examples." sqref="N44 N66 N75" xr:uid="{00000000-0002-0000-1000-000006000000}"/>
    <dataValidation allowBlank="1" showInputMessage="1" showErrorMessage="1" promptTitle="Electricity mix" sqref="B151 B135:B137" xr:uid="{00000000-0002-0000-1000-000007000000}"/>
  </dataValidations>
  <hyperlinks>
    <hyperlink ref="C177" location="Esca!A1" display="Esca!A1" xr:uid="{00000000-0004-0000-1000-000000000000}"/>
    <hyperlink ref="C160" location="LUC!A1" display="LUC!A1" xr:uid="{00000000-0004-0000-1000-000001000000}"/>
    <hyperlink ref="C45" location="'N2O emissions IPCC '!A1" display="N2O emissions IPCC" xr:uid="{00000000-0004-0000-1000-000002000000}"/>
  </hyperlinks>
  <pageMargins left="0.75" right="0.75" top="1" bottom="1" header="0.5" footer="0.5"/>
  <pageSetup paperSize="8" fitToHeight="0" orientation="landscape"/>
  <headerFooter alignWithMargins="0">
    <oddFooter>&amp;L&amp;8&amp;F&amp;C&amp;8&amp;A&amp;R&amp;8page&amp;P</oddFooter>
  </headerFooter>
  <drawing r:id="rId1"/>
  <legacyDrawing r:id="rId2"/>
  <controls>
    <mc:AlternateContent xmlns:mc="http://schemas.openxmlformats.org/markup-compatibility/2006">
      <mc:Choice Requires="x14">
        <control shapeId="16389" r:id="rId3" name="CheckBox2">
          <controlPr autoLine="0" linkedCell="About!N86" r:id="rId4">
            <anchor moveWithCells="1">
              <from>
                <xdr:col>9</xdr:col>
                <xdr:colOff>38100</xdr:colOff>
                <xdr:row>14</xdr:row>
                <xdr:rowOff>47625</xdr:rowOff>
              </from>
              <to>
                <xdr:col>13</xdr:col>
                <xdr:colOff>876300</xdr:colOff>
                <xdr:row>16</xdr:row>
                <xdr:rowOff>85725</xdr:rowOff>
              </to>
            </anchor>
          </controlPr>
        </control>
      </mc:Choice>
      <mc:Fallback>
        <control shapeId="16389" r:id="rId3" name="CheckBox2"/>
      </mc:Fallback>
    </mc:AlternateContent>
    <mc:AlternateContent xmlns:mc="http://schemas.openxmlformats.org/markup-compatibility/2006">
      <mc:Choice Requires="x14">
        <control shapeId="16390" r:id="rId5" name="CheckBox1">
          <controlPr autoLine="0" linkedCell="About!N88" r:id="rId6">
            <anchor moveWithCells="1">
              <from>
                <xdr:col>9</xdr:col>
                <xdr:colOff>38100</xdr:colOff>
                <xdr:row>12</xdr:row>
                <xdr:rowOff>0</xdr:rowOff>
              </from>
              <to>
                <xdr:col>13</xdr:col>
                <xdr:colOff>866775</xdr:colOff>
                <xdr:row>14</xdr:row>
                <xdr:rowOff>161925</xdr:rowOff>
              </to>
            </anchor>
          </controlPr>
        </control>
      </mc:Choice>
      <mc:Fallback>
        <control shapeId="16390" r:id="rId5" name="CheckBox1"/>
      </mc:Fallback>
    </mc:AlternateContent>
    <mc:AlternateContent xmlns:mc="http://schemas.openxmlformats.org/markup-compatibility/2006">
      <mc:Choice Requires="x14">
        <control shapeId="16426" r:id="rId7" name="ComboBox1">
          <controlPr locked="0" defaultSize="0" autoLine="0" linkedCell="D159" listFillRange="D157:D158" r:id="rId8">
            <anchor moveWithCells="1">
              <from>
                <xdr:col>1</xdr:col>
                <xdr:colOff>1714500</xdr:colOff>
                <xdr:row>157</xdr:row>
                <xdr:rowOff>0</xdr:rowOff>
              </from>
              <to>
                <xdr:col>3</xdr:col>
                <xdr:colOff>38100</xdr:colOff>
                <xdr:row>158</xdr:row>
                <xdr:rowOff>47625</xdr:rowOff>
              </to>
            </anchor>
          </controlPr>
        </control>
      </mc:Choice>
      <mc:Fallback>
        <control shapeId="16426" r:id="rId7" name="ComboBox1"/>
      </mc:Fallback>
    </mc:AlternateContent>
    <mc:AlternateContent xmlns:mc="http://schemas.openxmlformats.org/markup-compatibility/2006">
      <mc:Choice Requires="x14">
        <control shapeId="16653" r:id="rId9" name="ComboBox2">
          <controlPr locked="0" defaultSize="0" autoLine="0" linkedCell="D176" listFillRange="D174:D175" r:id="rId10">
            <anchor moveWithCells="1">
              <from>
                <xdr:col>2</xdr:col>
                <xdr:colOff>0</xdr:colOff>
                <xdr:row>173</xdr:row>
                <xdr:rowOff>190500</xdr:rowOff>
              </from>
              <to>
                <xdr:col>3</xdr:col>
                <xdr:colOff>9525</xdr:colOff>
                <xdr:row>175</xdr:row>
                <xdr:rowOff>0</xdr:rowOff>
              </to>
            </anchor>
          </controlPr>
        </control>
      </mc:Choice>
      <mc:Fallback>
        <control shapeId="16653" r:id="rId9" name="ComboBox2"/>
      </mc:Fallback>
    </mc:AlternateContent>
    <mc:AlternateContent xmlns:mc="http://schemas.openxmlformats.org/markup-compatibility/2006">
      <mc:Choice Requires="x14">
        <control shapeId="16981" r:id="rId11" name="cmdTrackChanges">
          <controlPr defaultSize="0" autoLine="0" r:id="rId12">
            <anchor moveWithCells="1">
              <from>
                <xdr:col>1</xdr:col>
                <xdr:colOff>1419225</xdr:colOff>
                <xdr:row>18</xdr:row>
                <xdr:rowOff>95250</xdr:rowOff>
              </from>
              <to>
                <xdr:col>3</xdr:col>
                <xdr:colOff>590550</xdr:colOff>
                <xdr:row>19</xdr:row>
                <xdr:rowOff>219075</xdr:rowOff>
              </to>
            </anchor>
          </controlPr>
        </control>
      </mc:Choice>
      <mc:Fallback>
        <control shapeId="16981" r:id="rId11" name="cmdTrackChanges"/>
      </mc:Fallback>
    </mc:AlternateContent>
    <mc:AlternateContent xmlns:mc="http://schemas.openxmlformats.org/markup-compatibility/2006">
      <mc:Choice Requires="x14">
        <control shapeId="17057" r:id="rId13" name="Label 673">
          <controlPr defaultSize="0" autoFill="0" autoLine="0" autoPict="0" macro="[0]!GoToAbout">
            <anchor moveWithCells="1" sizeWithCells="1">
              <from>
                <xdr:col>10</xdr:col>
                <xdr:colOff>428625</xdr:colOff>
                <xdr:row>0</xdr:row>
                <xdr:rowOff>800100</xdr:rowOff>
              </from>
              <to>
                <xdr:col>12</xdr:col>
                <xdr:colOff>76200</xdr:colOff>
                <xdr:row>1</xdr:row>
                <xdr:rowOff>0</xdr:rowOff>
              </to>
            </anchor>
          </controlPr>
        </control>
      </mc:Choice>
    </mc:AlternateContent>
    <mc:AlternateContent xmlns:mc="http://schemas.openxmlformats.org/markup-compatibility/2006">
      <mc:Choice Requires="x14">
        <control shapeId="17058" r:id="rId14" name="Label 674">
          <controlPr defaultSize="0" autoFill="0" autoLine="0" autoPict="0" macro="[0]!GoToDirectory">
            <anchor moveWithCells="1" sizeWithCells="1">
              <from>
                <xdr:col>12</xdr:col>
                <xdr:colOff>161925</xdr:colOff>
                <xdr:row>0</xdr:row>
                <xdr:rowOff>800100</xdr:rowOff>
              </from>
              <to>
                <xdr:col>13</xdr:col>
                <xdr:colOff>990600</xdr:colOff>
                <xdr:row>1</xdr:row>
                <xdr:rowOff>0</xdr:rowOff>
              </to>
            </anchor>
          </controlPr>
        </control>
      </mc:Choice>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F1">
    <pageSetUpPr fitToPage="1"/>
  </sheetPr>
  <dimension ref="A1:Q276"/>
  <sheetViews>
    <sheetView showGridLines="0" tabSelected="1" topLeftCell="A64" zoomScale="80" workbookViewId="0">
      <selection activeCell="B74" sqref="B74"/>
    </sheetView>
  </sheetViews>
  <sheetFormatPr baseColWidth="10" defaultColWidth="8.85546875" defaultRowHeight="12.75" x14ac:dyDescent="0.2"/>
  <cols>
    <col min="1" max="1" width="22.5703125" style="360" customWidth="1"/>
    <col min="2" max="2" width="25.85546875" style="360" customWidth="1"/>
    <col min="3" max="3" width="9.7109375" style="360" customWidth="1"/>
    <col min="4" max="4" width="20.140625" style="360" customWidth="1"/>
    <col min="5" max="5" width="14.85546875" style="360" customWidth="1"/>
    <col min="6" max="6" width="8.5703125" style="360" customWidth="1"/>
    <col min="7" max="7" width="2.85546875" style="360" customWidth="1"/>
    <col min="8" max="8" width="19.5703125" style="360" customWidth="1"/>
    <col min="9" max="12" width="9.140625" style="360" customWidth="1"/>
    <col min="13" max="13" width="2.5703125" style="360" customWidth="1"/>
    <col min="14" max="14" width="16.7109375" style="360" customWidth="1"/>
    <col min="15" max="15" width="13.7109375" style="360" customWidth="1"/>
    <col min="16" max="16384" width="8.85546875" style="361"/>
  </cols>
  <sheetData>
    <row r="1" spans="1:15" ht="102" customHeight="1" x14ac:dyDescent="0.2">
      <c r="A1" s="1467"/>
    </row>
    <row r="2" spans="1:15" ht="27.75" customHeight="1" x14ac:dyDescent="0.25">
      <c r="A2" s="1466" t="s">
        <v>952</v>
      </c>
      <c r="B2" s="363"/>
      <c r="C2" s="364"/>
      <c r="D2" s="364"/>
      <c r="E2" s="364"/>
      <c r="F2" s="365"/>
      <c r="G2" s="365"/>
      <c r="H2" s="366"/>
      <c r="I2" s="367"/>
      <c r="J2" s="368"/>
      <c r="K2" s="369"/>
      <c r="L2" s="370"/>
      <c r="M2" s="367"/>
      <c r="N2" s="367"/>
      <c r="O2" s="371" t="str">
        <f>About!D2</f>
        <v>Version 4d for Testing</v>
      </c>
    </row>
    <row r="3" spans="1:15" ht="27.75" customHeight="1" x14ac:dyDescent="0.25">
      <c r="A3" s="372" t="s">
        <v>1050</v>
      </c>
      <c r="B3" s="373"/>
      <c r="C3" s="374"/>
      <c r="D3" s="374"/>
      <c r="E3" s="373"/>
      <c r="F3" s="373"/>
      <c r="G3" s="373"/>
      <c r="H3" s="375"/>
      <c r="I3" s="376"/>
      <c r="J3" s="377"/>
      <c r="K3" s="378"/>
      <c r="L3" s="377"/>
      <c r="M3" s="377"/>
      <c r="N3" s="379"/>
      <c r="O3" s="378"/>
    </row>
    <row r="4" spans="1:15" ht="16.5" customHeight="1" x14ac:dyDescent="0.25">
      <c r="A4" s="380" t="s">
        <v>861</v>
      </c>
      <c r="B4" s="381" t="s">
        <v>854</v>
      </c>
      <c r="C4" s="381" t="s">
        <v>1057</v>
      </c>
      <c r="D4" s="381" t="s">
        <v>852</v>
      </c>
      <c r="E4" s="382" t="s">
        <v>1047</v>
      </c>
      <c r="F4" s="383" t="s">
        <v>1125</v>
      </c>
      <c r="G4" s="384"/>
      <c r="H4" s="385" t="s">
        <v>869</v>
      </c>
      <c r="I4" s="386"/>
      <c r="J4" s="387" t="s">
        <v>1063</v>
      </c>
      <c r="K4" s="388"/>
      <c r="L4" s="389"/>
      <c r="M4" s="390"/>
      <c r="N4" s="387" t="s">
        <v>391</v>
      </c>
      <c r="O4" s="391"/>
    </row>
    <row r="5" spans="1:15" ht="16.5" customHeight="1" x14ac:dyDescent="0.25">
      <c r="A5" s="392" t="s">
        <v>862</v>
      </c>
      <c r="B5" s="393" t="s">
        <v>853</v>
      </c>
      <c r="C5" s="393" t="s">
        <v>1062</v>
      </c>
      <c r="D5" s="393" t="s">
        <v>853</v>
      </c>
      <c r="E5" s="394"/>
      <c r="F5" s="395" t="s">
        <v>1126</v>
      </c>
      <c r="G5" s="396"/>
      <c r="H5" s="397" t="s">
        <v>866</v>
      </c>
      <c r="I5" s="390"/>
      <c r="J5" s="398" t="str">
        <f>A72</f>
        <v>Extraction of oil</v>
      </c>
      <c r="K5" s="399"/>
      <c r="L5" s="400"/>
      <c r="M5" s="390"/>
      <c r="N5" s="398" t="s">
        <v>395</v>
      </c>
      <c r="O5" s="400"/>
    </row>
    <row r="6" spans="1:15" ht="16.5" customHeight="1" x14ac:dyDescent="0.35">
      <c r="A6" s="401" t="s">
        <v>170</v>
      </c>
      <c r="B6" s="402"/>
      <c r="C6" s="403"/>
      <c r="D6" s="404"/>
      <c r="E6" s="405">
        <f>IF(F6="A",D7+D8,H6)</f>
        <v>28.910138345305299</v>
      </c>
      <c r="F6" s="406" t="s">
        <v>1127</v>
      </c>
      <c r="G6" s="407"/>
      <c r="H6" s="408">
        <v>29</v>
      </c>
      <c r="I6" s="390"/>
      <c r="J6" s="409">
        <f>F97/F99</f>
        <v>0.61250210048731302</v>
      </c>
      <c r="K6" s="410" t="s">
        <v>660</v>
      </c>
      <c r="L6" s="411"/>
      <c r="M6" s="390"/>
      <c r="N6" s="1468">
        <v>94</v>
      </c>
      <c r="O6" s="413" t="s">
        <v>394</v>
      </c>
    </row>
    <row r="7" spans="1:15" ht="12" customHeight="1" x14ac:dyDescent="0.2">
      <c r="A7" s="398" t="str">
        <f>A25</f>
        <v>Cultivation of rapeseed</v>
      </c>
      <c r="B7" s="414">
        <f>L48</f>
        <v>48.625584586274798</v>
      </c>
      <c r="C7" s="1465">
        <f>J6*J9</f>
        <v>0.58589129582531174</v>
      </c>
      <c r="D7" s="416">
        <f>C7*B7</f>
        <v>28.489306763515845</v>
      </c>
      <c r="E7" s="1215"/>
      <c r="F7" s="418"/>
      <c r="G7" s="418"/>
      <c r="H7" s="419">
        <f>28.51</f>
        <v>28.51</v>
      </c>
      <c r="I7" s="390"/>
      <c r="J7" s="744">
        <f>1-J6</f>
        <v>0.38749789951268698</v>
      </c>
      <c r="K7" s="733" t="s">
        <v>661</v>
      </c>
      <c r="L7" s="411"/>
      <c r="M7" s="390"/>
      <c r="N7" s="398" t="s">
        <v>393</v>
      </c>
      <c r="O7" s="400"/>
    </row>
    <row r="8" spans="1:15" ht="12" customHeight="1" x14ac:dyDescent="0.2">
      <c r="A8" s="398" t="str">
        <f>A51</f>
        <v>Rapeseed drying</v>
      </c>
      <c r="B8" s="414">
        <f>L59</f>
        <v>0.71827587265424875</v>
      </c>
      <c r="C8" s="415">
        <f>J6*J9</f>
        <v>0.58589129582531174</v>
      </c>
      <c r="D8" s="416">
        <f>C8*B8</f>
        <v>0.4208315817894544</v>
      </c>
      <c r="E8" s="1215"/>
      <c r="F8" s="418"/>
      <c r="G8" s="418"/>
      <c r="H8" s="419">
        <f>0.42</f>
        <v>0.42</v>
      </c>
      <c r="I8" s="390"/>
      <c r="J8" s="398" t="str">
        <f>A144</f>
        <v>Esterification</v>
      </c>
      <c r="K8" s="399"/>
      <c r="L8" s="400"/>
      <c r="M8" s="390"/>
      <c r="N8" s="426">
        <f>(N6-E22)/N6</f>
        <v>0.44645703900251632</v>
      </c>
      <c r="O8" s="427"/>
    </row>
    <row r="9" spans="1:15" ht="16.5" customHeight="1" x14ac:dyDescent="0.35">
      <c r="A9" s="401" t="s">
        <v>544</v>
      </c>
      <c r="B9" s="423"/>
      <c r="C9" s="423"/>
      <c r="D9" s="424"/>
      <c r="E9" s="425">
        <f>IF(F9="A",D10+D11+D12, H9)</f>
        <v>21.685787905408169</v>
      </c>
      <c r="F9" s="406" t="s">
        <v>1127</v>
      </c>
      <c r="G9" s="407"/>
      <c r="H9" s="408">
        <v>22</v>
      </c>
      <c r="I9" s="390"/>
      <c r="J9" s="409">
        <f>F173/F175</f>
        <v>0.95655393729943228</v>
      </c>
      <c r="K9" s="410" t="s">
        <v>662</v>
      </c>
      <c r="L9" s="411"/>
      <c r="M9" s="390"/>
      <c r="N9" s="390"/>
      <c r="O9" s="430"/>
    </row>
    <row r="10" spans="1:15" ht="12" customHeight="1" x14ac:dyDescent="0.2">
      <c r="A10" s="398" t="str">
        <f>A72</f>
        <v>Extraction of oil</v>
      </c>
      <c r="B10" s="414">
        <f>L91</f>
        <v>6.529481765397402</v>
      </c>
      <c r="C10" s="415">
        <f>J6*J9</f>
        <v>0.58589129582531174</v>
      </c>
      <c r="D10" s="416">
        <f>C10*B10</f>
        <v>3.8255665325964281</v>
      </c>
      <c r="E10" s="1215"/>
      <c r="F10" s="418"/>
      <c r="G10" s="418"/>
      <c r="H10" s="419">
        <f>1.4*2.73</f>
        <v>3.8219999999999996</v>
      </c>
      <c r="I10" s="390"/>
      <c r="J10" s="420">
        <f>1-J9</f>
        <v>4.3446062700567722E-2</v>
      </c>
      <c r="K10" s="421" t="s">
        <v>317</v>
      </c>
      <c r="L10" s="422"/>
      <c r="M10" s="390"/>
      <c r="N10" s="390"/>
      <c r="O10" s="441"/>
    </row>
    <row r="11" spans="1:15" ht="12" customHeight="1" x14ac:dyDescent="0.2">
      <c r="A11" s="398" t="str">
        <f>A113</f>
        <v>Refining of vegetable oil</v>
      </c>
      <c r="B11" s="414">
        <f>L131</f>
        <v>1.0648296229465017</v>
      </c>
      <c r="C11" s="415">
        <f>J9</f>
        <v>0.95655393729943228</v>
      </c>
      <c r="D11" s="416">
        <f>C11*B11</f>
        <v>1.0185669683825462</v>
      </c>
      <c r="E11" s="1215"/>
      <c r="F11" s="418"/>
      <c r="G11" s="418"/>
      <c r="H11" s="1429">
        <f>1.4*12.77</f>
        <v>17.877999999999997</v>
      </c>
      <c r="I11" s="390"/>
      <c r="J11" s="390"/>
      <c r="K11" s="390"/>
      <c r="L11" s="390"/>
      <c r="M11" s="390"/>
      <c r="N11" s="390"/>
      <c r="O11" s="1428"/>
    </row>
    <row r="12" spans="1:15" ht="12" customHeight="1" x14ac:dyDescent="0.2">
      <c r="A12" s="398" t="str">
        <f>A144</f>
        <v>Esterification</v>
      </c>
      <c r="B12" s="414">
        <f>L167</f>
        <v>17.606591481894881</v>
      </c>
      <c r="C12" s="415">
        <f>J9</f>
        <v>0.95655393729943228</v>
      </c>
      <c r="D12" s="416">
        <f>C12*B12</f>
        <v>16.841654404429196</v>
      </c>
      <c r="E12" s="417"/>
      <c r="F12" s="418"/>
      <c r="G12" s="418"/>
      <c r="H12" s="1431"/>
      <c r="I12" s="390"/>
      <c r="J12" s="390"/>
      <c r="K12" s="390"/>
      <c r="L12" s="390"/>
      <c r="M12" s="390"/>
      <c r="N12" s="390"/>
      <c r="O12" s="1428"/>
    </row>
    <row r="13" spans="1:15" ht="16.5" customHeight="1" x14ac:dyDescent="0.35">
      <c r="A13" s="401" t="s">
        <v>545</v>
      </c>
      <c r="B13" s="423"/>
      <c r="C13" s="423"/>
      <c r="D13" s="424"/>
      <c r="E13" s="425">
        <f>IF(F13="A",D14+D15+D16+D17+D18, H13)</f>
        <v>1.4371120830499982</v>
      </c>
      <c r="F13" s="406" t="s">
        <v>1127</v>
      </c>
      <c r="G13" s="407"/>
      <c r="H13" s="648">
        <v>1</v>
      </c>
      <c r="I13" s="390"/>
      <c r="J13" s="390"/>
      <c r="K13" s="390"/>
      <c r="L13" s="390"/>
      <c r="M13" s="390"/>
      <c r="N13" s="390"/>
      <c r="O13" s="430"/>
    </row>
    <row r="14" spans="1:15" ht="12" customHeight="1" x14ac:dyDescent="0.2">
      <c r="A14" s="398" t="str">
        <f>A62</f>
        <v>Transport of rapeseed</v>
      </c>
      <c r="B14" s="414">
        <f>L69</f>
        <v>0.29591818375690176</v>
      </c>
      <c r="C14" s="415">
        <f>J6*J9</f>
        <v>0.58589129582531174</v>
      </c>
      <c r="D14" s="416">
        <f t="shared" ref="D14:D21" si="0">C14*B14</f>
        <v>0.17337588813960389</v>
      </c>
      <c r="E14" s="1215"/>
      <c r="F14" s="418"/>
      <c r="G14" s="418"/>
      <c r="H14" s="419">
        <f>0.17</f>
        <v>0.17</v>
      </c>
      <c r="I14" s="390"/>
      <c r="J14" s="390"/>
      <c r="K14" s="390"/>
      <c r="L14" s="390"/>
      <c r="M14" s="390"/>
      <c r="N14" s="390"/>
      <c r="O14" s="430"/>
    </row>
    <row r="15" spans="1:15" ht="12" customHeight="1" thickBot="1" x14ac:dyDescent="0.25">
      <c r="A15" s="398" t="str">
        <f>A103</f>
        <v>Transport of rapeseed oil</v>
      </c>
      <c r="B15" s="414">
        <f>L110</f>
        <v>0</v>
      </c>
      <c r="C15" s="415">
        <f>J9</f>
        <v>0.95655393729943228</v>
      </c>
      <c r="D15" s="416">
        <f t="shared" si="0"/>
        <v>0</v>
      </c>
      <c r="E15" s="1215"/>
      <c r="F15" s="418"/>
      <c r="G15" s="418"/>
      <c r="H15" s="419">
        <v>0</v>
      </c>
      <c r="I15" s="390"/>
      <c r="J15" s="390"/>
      <c r="K15" s="390"/>
      <c r="L15" s="390"/>
      <c r="M15" s="390"/>
      <c r="N15" s="390"/>
      <c r="O15" s="430"/>
    </row>
    <row r="16" spans="1:15" ht="12" customHeight="1" x14ac:dyDescent="0.2">
      <c r="A16" s="398" t="str">
        <f>A134</f>
        <v>Transport of refined vegetable oil</v>
      </c>
      <c r="B16" s="414">
        <f>L141</f>
        <v>0</v>
      </c>
      <c r="C16" s="415">
        <f>J9</f>
        <v>0.95655393729943228</v>
      </c>
      <c r="D16" s="416">
        <f t="shared" si="0"/>
        <v>0</v>
      </c>
      <c r="E16" s="1215"/>
      <c r="F16" s="418"/>
      <c r="G16" s="418"/>
      <c r="H16" s="419">
        <v>0</v>
      </c>
      <c r="I16" s="390"/>
      <c r="J16" s="432" t="s">
        <v>140</v>
      </c>
      <c r="K16" s="433"/>
      <c r="L16" s="433"/>
      <c r="M16" s="433"/>
      <c r="N16" s="434"/>
      <c r="O16" s="441"/>
    </row>
    <row r="17" spans="1:15" ht="12" customHeight="1" x14ac:dyDescent="0.2">
      <c r="A17" s="398" t="str">
        <f>A179</f>
        <v>Transport of FAME to depot</v>
      </c>
      <c r="B17" s="414">
        <f>L188</f>
        <v>0.46573714634408603</v>
      </c>
      <c r="C17" s="415">
        <v>1</v>
      </c>
      <c r="D17" s="416">
        <f t="shared" si="0"/>
        <v>0.46573714634408603</v>
      </c>
      <c r="E17" s="436"/>
      <c r="F17" s="437"/>
      <c r="G17" s="437"/>
      <c r="H17" s="419">
        <f>0.82</f>
        <v>0.82</v>
      </c>
      <c r="I17" s="390"/>
      <c r="J17" s="438"/>
      <c r="K17" s="439"/>
      <c r="L17" s="439"/>
      <c r="M17" s="439"/>
      <c r="N17" s="440"/>
      <c r="O17" s="441"/>
    </row>
    <row r="18" spans="1:15" ht="12" customHeight="1" x14ac:dyDescent="0.2">
      <c r="A18" s="398" t="str">
        <f>A191</f>
        <v>Transport to filling station</v>
      </c>
      <c r="B18" s="414">
        <f>L200</f>
        <v>0.79799904856630821</v>
      </c>
      <c r="C18" s="415">
        <v>1</v>
      </c>
      <c r="D18" s="416">
        <f t="shared" si="0"/>
        <v>0.79799904856630821</v>
      </c>
      <c r="E18" s="436"/>
      <c r="F18" s="437"/>
      <c r="G18" s="437"/>
      <c r="H18" s="419">
        <f>0.44</f>
        <v>0.44</v>
      </c>
      <c r="I18" s="379"/>
      <c r="J18" s="438"/>
      <c r="K18" s="439"/>
      <c r="L18" s="439"/>
      <c r="M18" s="442"/>
      <c r="N18" s="443"/>
      <c r="O18" s="441"/>
    </row>
    <row r="19" spans="1:15" ht="17.25" customHeight="1" x14ac:dyDescent="0.35">
      <c r="A19" s="444" t="s">
        <v>551</v>
      </c>
      <c r="B19" s="445">
        <f>L212</f>
        <v>0</v>
      </c>
      <c r="C19" s="446">
        <f>J6*J9</f>
        <v>0.58589129582531174</v>
      </c>
      <c r="D19" s="445">
        <f t="shared" si="0"/>
        <v>0</v>
      </c>
      <c r="E19" s="425">
        <f>D19</f>
        <v>0</v>
      </c>
      <c r="F19" s="451"/>
      <c r="G19" s="451"/>
      <c r="H19" s="447">
        <v>0</v>
      </c>
      <c r="I19" s="379"/>
      <c r="J19" s="438"/>
      <c r="K19" s="439"/>
      <c r="L19" s="439"/>
      <c r="M19" s="448"/>
      <c r="N19" s="449"/>
      <c r="O19" s="649"/>
    </row>
    <row r="20" spans="1:15" ht="16.5" customHeight="1" x14ac:dyDescent="0.35">
      <c r="A20" s="444" t="s">
        <v>724</v>
      </c>
      <c r="B20" s="445">
        <f>L231-L215</f>
        <v>0</v>
      </c>
      <c r="C20" s="446">
        <v>1</v>
      </c>
      <c r="D20" s="445">
        <f t="shared" si="0"/>
        <v>0</v>
      </c>
      <c r="E20" s="425">
        <f>D20</f>
        <v>0</v>
      </c>
      <c r="F20" s="451"/>
      <c r="G20" s="451"/>
      <c r="H20" s="447">
        <v>0</v>
      </c>
      <c r="I20" s="379"/>
      <c r="J20" s="438"/>
      <c r="K20" s="439"/>
      <c r="L20" s="439"/>
      <c r="M20" s="448"/>
      <c r="N20" s="449"/>
      <c r="O20" s="649"/>
    </row>
    <row r="21" spans="1:15" ht="16.5" customHeight="1" thickBot="1" x14ac:dyDescent="0.4">
      <c r="A21" s="444" t="s">
        <v>725</v>
      </c>
      <c r="B21" s="445">
        <f>L237+L243</f>
        <v>0</v>
      </c>
      <c r="C21" s="446">
        <v>1</v>
      </c>
      <c r="D21" s="445">
        <f t="shared" si="0"/>
        <v>0</v>
      </c>
      <c r="E21" s="425">
        <f>D21</f>
        <v>0</v>
      </c>
      <c r="F21" s="451"/>
      <c r="G21" s="451"/>
      <c r="H21" s="447">
        <v>0</v>
      </c>
      <c r="I21" s="379"/>
      <c r="J21" s="459" t="s">
        <v>1</v>
      </c>
      <c r="K21" s="460"/>
      <c r="L21" s="460"/>
      <c r="M21" s="461"/>
      <c r="N21" s="462"/>
      <c r="O21" s="649"/>
    </row>
    <row r="22" spans="1:15" ht="16.5" customHeight="1" thickBot="1" x14ac:dyDescent="0.3">
      <c r="A22" s="452" t="s">
        <v>1049</v>
      </c>
      <c r="B22" s="453">
        <f>SUM(B7:B19)-SUM(B20:B21)</f>
        <v>76.104417707835125</v>
      </c>
      <c r="C22" s="454"/>
      <c r="D22" s="454"/>
      <c r="E22" s="456">
        <f>SUM(E6:E19)-SUM(E20:E21)</f>
        <v>52.033038333763464</v>
      </c>
      <c r="F22" s="457"/>
      <c r="G22" s="457"/>
      <c r="H22" s="458">
        <v>52</v>
      </c>
      <c r="I22" s="379"/>
      <c r="J22" s="650"/>
      <c r="K22" s="651"/>
      <c r="L22" s="651"/>
      <c r="M22" s="652"/>
      <c r="N22" s="652"/>
      <c r="O22" s="463"/>
    </row>
    <row r="23" spans="1:15" ht="16.5" customHeight="1" x14ac:dyDescent="0.25">
      <c r="A23" s="464"/>
      <c r="B23" s="465"/>
      <c r="E23" s="466" t="s">
        <v>859</v>
      </c>
      <c r="F23" s="467"/>
      <c r="G23" s="467"/>
      <c r="H23" s="468"/>
      <c r="I23" s="469"/>
      <c r="J23" s="470"/>
      <c r="K23" s="433"/>
      <c r="L23" s="471"/>
      <c r="M23" s="433"/>
      <c r="N23" s="433"/>
      <c r="O23" s="472"/>
    </row>
    <row r="24" spans="1:15" ht="22.5" customHeight="1" thickBot="1" x14ac:dyDescent="0.25">
      <c r="A24" s="473" t="s">
        <v>1051</v>
      </c>
      <c r="B24" s="379"/>
      <c r="E24" s="474" t="s">
        <v>860</v>
      </c>
      <c r="F24" s="442"/>
      <c r="G24" s="442"/>
      <c r="H24" s="442"/>
      <c r="I24" s="439"/>
      <c r="J24" s="475"/>
      <c r="K24" s="475"/>
      <c r="L24" s="476"/>
      <c r="M24" s="477"/>
      <c r="N24" s="477"/>
      <c r="O24" s="478"/>
    </row>
    <row r="25" spans="1:15" ht="15.75" x14ac:dyDescent="0.25">
      <c r="A25" s="479" t="s">
        <v>737</v>
      </c>
      <c r="B25" s="480"/>
      <c r="C25" s="480"/>
      <c r="D25" s="480"/>
      <c r="E25" s="479" t="s">
        <v>513</v>
      </c>
      <c r="F25" s="481"/>
      <c r="G25" s="481"/>
      <c r="H25" s="480"/>
      <c r="I25" s="482" t="s">
        <v>532</v>
      </c>
      <c r="J25" s="481"/>
      <c r="K25" s="481"/>
      <c r="L25" s="483"/>
      <c r="M25" s="715"/>
      <c r="N25" s="610" t="s">
        <v>162</v>
      </c>
      <c r="O25" s="653"/>
    </row>
    <row r="26" spans="1:15" ht="15.75" x14ac:dyDescent="0.25">
      <c r="A26" s="486"/>
      <c r="B26" s="487" t="s">
        <v>524</v>
      </c>
      <c r="C26" s="488"/>
      <c r="D26" s="488"/>
      <c r="E26" s="489" t="s">
        <v>524</v>
      </c>
      <c r="F26" s="490"/>
      <c r="G26" s="490"/>
      <c r="H26" s="491"/>
      <c r="I26" s="492" t="s">
        <v>746</v>
      </c>
      <c r="J26" s="490"/>
      <c r="K26" s="490"/>
      <c r="L26" s="493"/>
      <c r="M26" s="484"/>
      <c r="N26" s="538" t="s">
        <v>637</v>
      </c>
      <c r="O26" s="749" t="s">
        <v>139</v>
      </c>
    </row>
    <row r="27" spans="1:15" ht="16.5" x14ac:dyDescent="0.3">
      <c r="A27" s="494"/>
      <c r="B27" s="495" t="s">
        <v>512</v>
      </c>
      <c r="C27" s="655">
        <v>3113.4428644904001</v>
      </c>
      <c r="D27" s="497" t="s">
        <v>527</v>
      </c>
      <c r="E27" s="656">
        <f>C27*(1-C28)*VLOOKUP($B27,'Standard values'!$C$9:$S$162,14, FALSE)</f>
        <v>73975.402460291909</v>
      </c>
      <c r="F27" s="499" t="s">
        <v>415</v>
      </c>
      <c r="G27" s="499"/>
      <c r="H27" s="499"/>
      <c r="I27" s="500" t="s">
        <v>1053</v>
      </c>
      <c r="J27" s="500" t="s">
        <v>1054</v>
      </c>
      <c r="K27" s="500" t="s">
        <v>1055</v>
      </c>
      <c r="L27" s="501" t="s">
        <v>1056</v>
      </c>
      <c r="M27" s="379"/>
      <c r="N27" s="540" t="s">
        <v>1056</v>
      </c>
      <c r="O27" s="540" t="s">
        <v>550</v>
      </c>
    </row>
    <row r="28" spans="1:15" ht="15.75" x14ac:dyDescent="0.3">
      <c r="A28" s="503"/>
      <c r="B28" s="495" t="s">
        <v>521</v>
      </c>
      <c r="C28" s="658">
        <v>0.1</v>
      </c>
      <c r="D28" s="497"/>
      <c r="E28" s="505">
        <v>1</v>
      </c>
      <c r="F28" s="506" t="s">
        <v>740</v>
      </c>
      <c r="G28" s="506"/>
      <c r="H28" s="495"/>
      <c r="I28" s="507"/>
      <c r="J28" s="508"/>
      <c r="K28" s="508"/>
      <c r="L28" s="509"/>
      <c r="M28" s="379"/>
      <c r="N28" s="541"/>
      <c r="O28" s="541"/>
    </row>
    <row r="29" spans="1:15" ht="15.75" x14ac:dyDescent="0.3">
      <c r="A29" s="503"/>
      <c r="B29" s="495" t="s">
        <v>124</v>
      </c>
      <c r="C29" s="659" t="s">
        <v>738</v>
      </c>
      <c r="D29" s="497" t="s">
        <v>527</v>
      </c>
      <c r="E29" s="510">
        <f>+C27/E248</f>
        <v>7.2759385452978095E-2</v>
      </c>
      <c r="F29" s="506" t="s">
        <v>741</v>
      </c>
      <c r="G29" s="506"/>
      <c r="H29" s="495"/>
      <c r="I29" s="508"/>
      <c r="J29" s="508"/>
      <c r="K29" s="508"/>
      <c r="L29" s="509"/>
      <c r="M29" s="379"/>
      <c r="N29" s="541"/>
      <c r="O29" s="541"/>
    </row>
    <row r="30" spans="1:15" x14ac:dyDescent="0.2">
      <c r="A30" s="503"/>
      <c r="B30" s="495"/>
      <c r="C30" s="660"/>
      <c r="D30" s="497"/>
      <c r="E30" s="503"/>
      <c r="F30" s="495"/>
      <c r="G30" s="495"/>
      <c r="H30" s="495"/>
      <c r="I30" s="546"/>
      <c r="J30" s="546"/>
      <c r="K30" s="546"/>
      <c r="L30" s="661"/>
      <c r="M30" s="379"/>
      <c r="N30" s="541"/>
      <c r="O30" s="541"/>
    </row>
    <row r="31" spans="1:15" x14ac:dyDescent="0.2">
      <c r="A31" s="503"/>
      <c r="B31" s="511" t="s">
        <v>525</v>
      </c>
      <c r="C31" s="660"/>
      <c r="D31" s="497"/>
      <c r="E31" s="503"/>
      <c r="F31" s="495"/>
      <c r="G31" s="495"/>
      <c r="H31" s="495"/>
      <c r="I31" s="546"/>
      <c r="J31" s="546"/>
      <c r="K31" s="546"/>
      <c r="L31" s="661"/>
      <c r="M31" s="379"/>
      <c r="N31" s="541"/>
      <c r="O31" s="541"/>
    </row>
    <row r="32" spans="1:15" ht="14.25" x14ac:dyDescent="0.2">
      <c r="A32" s="503"/>
      <c r="B32" s="495" t="s">
        <v>509</v>
      </c>
      <c r="C32" s="662">
        <v>2963</v>
      </c>
      <c r="D32" s="497" t="s">
        <v>528</v>
      </c>
      <c r="E32" s="513"/>
      <c r="F32" s="495"/>
      <c r="G32" s="495"/>
      <c r="H32" s="495"/>
      <c r="I32" s="508">
        <f>$C32*VLOOKUP($B32,'Standard values'!$C$9:$S$162,7, FALSE)/$E$248</f>
        <v>6.0684340460197106</v>
      </c>
      <c r="J32" s="508">
        <f>$C32*VLOOKUP($B32,'Standard values'!$C$9:$S$162,8, FALSE)/$E$248</f>
        <v>0</v>
      </c>
      <c r="K32" s="508">
        <f>$C32*VLOOKUP($B32,'Standard values'!$C$9:$S$162,9, FALSE)/$E$248</f>
        <v>0</v>
      </c>
      <c r="L32" s="509">
        <f>I32*'Standard values'!$D$10+J32*'Standard values'!$D$11+K32*'Standard values'!$D$12</f>
        <v>6.0684340460197106</v>
      </c>
      <c r="M32" s="379"/>
      <c r="N32" s="562">
        <f>+L32/$E$29</f>
        <v>83.404141036093989</v>
      </c>
      <c r="O32" s="750">
        <f>L32*$E$248/1000</f>
        <v>259.67402777777784</v>
      </c>
    </row>
    <row r="33" spans="1:17" x14ac:dyDescent="0.2">
      <c r="A33" s="503"/>
      <c r="B33" s="495"/>
      <c r="C33" s="660"/>
      <c r="D33" s="497"/>
      <c r="E33" s="513"/>
      <c r="F33" s="495"/>
      <c r="G33" s="495"/>
      <c r="H33" s="495"/>
      <c r="I33" s="508"/>
      <c r="J33" s="508"/>
      <c r="K33" s="508"/>
      <c r="L33" s="509"/>
      <c r="M33" s="379"/>
      <c r="N33" s="562"/>
      <c r="O33" s="750"/>
    </row>
    <row r="34" spans="1:17" x14ac:dyDescent="0.2">
      <c r="A34" s="503"/>
      <c r="B34" s="511" t="s">
        <v>1045</v>
      </c>
      <c r="C34" s="660"/>
      <c r="D34" s="497"/>
      <c r="E34" s="513"/>
      <c r="F34" s="495"/>
      <c r="G34" s="495"/>
      <c r="H34" s="495"/>
      <c r="I34" s="508"/>
      <c r="J34" s="508"/>
      <c r="K34" s="508"/>
      <c r="L34" s="509"/>
      <c r="M34" s="379"/>
      <c r="N34" s="562"/>
      <c r="O34" s="750"/>
    </row>
    <row r="35" spans="1:17" ht="14.25" x14ac:dyDescent="0.2">
      <c r="A35" s="503"/>
      <c r="B35" s="495" t="s">
        <v>231</v>
      </c>
      <c r="C35" s="664">
        <v>137.42915126138399</v>
      </c>
      <c r="D35" s="497" t="s">
        <v>529</v>
      </c>
      <c r="E35" s="513"/>
      <c r="F35" s="495"/>
      <c r="G35" s="495"/>
      <c r="H35" s="495"/>
      <c r="I35" s="508">
        <f>$C35*VLOOKUP($B35,'Standard values'!$C$9:$S$162,3, FALSE)/$E$248</f>
        <v>9.0793246936288181</v>
      </c>
      <c r="J35" s="508">
        <f>$C35*VLOOKUP($B35,'Standard values'!$C$9:$S$162,4, FALSE)/$E$248</f>
        <v>2.7873189449040502E-2</v>
      </c>
      <c r="K35" s="508">
        <f>$C35*VLOOKUP($B35,'Standard values'!$C$9:$S$162,5, FALSE)/$E$248</f>
        <v>3.0965999680803644E-2</v>
      </c>
      <c r="L35" s="509">
        <f>I35*'Standard values'!$D$10+J35*'Standard values'!$D$11+K35*'Standard values'!$D$12</f>
        <v>19.004022334734316</v>
      </c>
      <c r="M35" s="379"/>
      <c r="N35" s="562">
        <f t="shared" ref="N35:N40" si="1">+L35/$E$29</f>
        <v>261.18997867314266</v>
      </c>
      <c r="O35" s="750">
        <f t="shared" ref="O35:O40" si="2">L35*$E$248/1000</f>
        <v>813.20007537629579</v>
      </c>
    </row>
    <row r="36" spans="1:17" ht="14.25" x14ac:dyDescent="0.2">
      <c r="A36" s="503"/>
      <c r="B36" s="495" t="s">
        <v>504</v>
      </c>
      <c r="C36" s="556">
        <v>0</v>
      </c>
      <c r="D36" s="497" t="s">
        <v>529</v>
      </c>
      <c r="E36" s="513"/>
      <c r="F36" s="495"/>
      <c r="G36" s="495"/>
      <c r="H36" s="495"/>
      <c r="I36" s="508">
        <f>$C36*VLOOKUP($B36,'Standard values'!$C$9:$S$162,3, FALSE)/$E$248</f>
        <v>0</v>
      </c>
      <c r="J36" s="508">
        <f>$C36*VLOOKUP($B36,'Standard values'!$C$9:$S$162,4, FALSE)/$E$248</f>
        <v>0</v>
      </c>
      <c r="K36" s="508">
        <f>$C36*VLOOKUP($B36,'Standard values'!$C$9:$S$162,5, FALSE)/$E$248</f>
        <v>0</v>
      </c>
      <c r="L36" s="509">
        <f>I36*'Standard values'!$D$10+J36*'Standard values'!$D$11+K36*'Standard values'!$D$12</f>
        <v>0</v>
      </c>
      <c r="M36" s="379"/>
      <c r="N36" s="562">
        <f t="shared" si="1"/>
        <v>0</v>
      </c>
      <c r="O36" s="750">
        <f t="shared" si="2"/>
        <v>0</v>
      </c>
    </row>
    <row r="37" spans="1:17" ht="14.25" x14ac:dyDescent="0.2">
      <c r="A37" s="503"/>
      <c r="B37" s="495" t="s">
        <v>234</v>
      </c>
      <c r="C37" s="664">
        <v>19</v>
      </c>
      <c r="D37" s="497" t="s">
        <v>745</v>
      </c>
      <c r="E37" s="513"/>
      <c r="F37" s="495"/>
      <c r="G37" s="495"/>
      <c r="H37" s="495"/>
      <c r="I37" s="508">
        <f>$C37*VLOOKUP($B37,'Standard values'!$C$9:$S$162,3, FALSE)/$E$248</f>
        <v>5.2889787724328285E-2</v>
      </c>
      <c r="J37" s="508">
        <f>$C37*VLOOKUP($B37,'Standard values'!$C$9:$S$162,4, FALSE)/$E$248</f>
        <v>9.586373929348262E-5</v>
      </c>
      <c r="K37" s="508">
        <f>$C37*VLOOKUP($B37,'Standard values'!$C$9:$S$162,5, FALSE)/$E$248</f>
        <v>8.1255508525740255E-6</v>
      </c>
      <c r="L37" s="509">
        <f>I37*'Standard values'!$D$10+J37*'Standard values'!$D$11+K37*'Standard values'!$D$12</f>
        <v>5.7707795360732415E-2</v>
      </c>
      <c r="M37" s="379"/>
      <c r="N37" s="562">
        <f t="shared" si="1"/>
        <v>0.79313197880192365</v>
      </c>
      <c r="O37" s="750">
        <f t="shared" si="2"/>
        <v>2.4693711000000005</v>
      </c>
    </row>
    <row r="38" spans="1:17" ht="15.75" x14ac:dyDescent="0.3">
      <c r="A38" s="503"/>
      <c r="B38" s="495" t="s">
        <v>233</v>
      </c>
      <c r="C38" s="664">
        <v>49.456704071183701</v>
      </c>
      <c r="D38" s="497" t="s">
        <v>530</v>
      </c>
      <c r="E38" s="513"/>
      <c r="F38" s="495"/>
      <c r="G38" s="495"/>
      <c r="H38" s="495"/>
      <c r="I38" s="508">
        <f>$C38*VLOOKUP($B38,'Standard values'!$C$9:$S$162,3, FALSE)/$E$248</f>
        <v>0.61985472494265181</v>
      </c>
      <c r="J38" s="508">
        <f>$C38*VLOOKUP($B38,'Standard values'!$C$9:$S$162,4, FALSE)/$E$248</f>
        <v>1.8156069313758339E-3</v>
      </c>
      <c r="K38" s="508">
        <f>$C38*VLOOKUP($B38,'Standard values'!$C$9:$S$162,5, FALSE)/$E$248</f>
        <v>1.421603237374929E-5</v>
      </c>
      <c r="L38" s="509">
        <f>I38*'Standard values'!$D$10+J38*'Standard values'!$D$11+K38*'Standard values'!$D$12</f>
        <v>0.66948127587442496</v>
      </c>
      <c r="M38" s="379"/>
      <c r="N38" s="562">
        <f t="shared" si="1"/>
        <v>9.2013047073780996</v>
      </c>
      <c r="O38" s="750">
        <f t="shared" si="2"/>
        <v>28.647736485188272</v>
      </c>
    </row>
    <row r="39" spans="1:17" ht="15.75" x14ac:dyDescent="0.3">
      <c r="A39" s="503"/>
      <c r="B39" s="495" t="s">
        <v>232</v>
      </c>
      <c r="C39" s="664">
        <v>33.673145974586099</v>
      </c>
      <c r="D39" s="497" t="s">
        <v>531</v>
      </c>
      <c r="E39" s="513"/>
      <c r="F39" s="495"/>
      <c r="G39" s="495"/>
      <c r="H39" s="495"/>
      <c r="I39" s="508">
        <f>$C39*VLOOKUP($B39,'Standard values'!$C$9:$S$162,3, FALSE)/$E$248</f>
        <v>0.75929063797425067</v>
      </c>
      <c r="J39" s="508">
        <f>$C39*VLOOKUP($B39,'Standard values'!$C$9:$S$162,4, FALSE)/$E$248</f>
        <v>1.047393490471395E-3</v>
      </c>
      <c r="K39" s="508">
        <f>$C39*VLOOKUP($B39,'Standard values'!$C$9:$S$162,5, FALSE)/$E$248</f>
        <v>4.052649493559492E-5</v>
      </c>
      <c r="L39" s="509">
        <f>I39*'Standard values'!$D$10+J39*'Standard values'!$D$11+K39*'Standard values'!$D$12</f>
        <v>0.79755237072684282</v>
      </c>
      <c r="M39" s="379"/>
      <c r="N39" s="562">
        <f t="shared" si="1"/>
        <v>10.961505045177624</v>
      </c>
      <c r="O39" s="750">
        <f t="shared" si="2"/>
        <v>34.128019666983796</v>
      </c>
    </row>
    <row r="40" spans="1:17" ht="14.25" x14ac:dyDescent="0.2">
      <c r="A40" s="503"/>
      <c r="B40" s="495" t="s">
        <v>502</v>
      </c>
      <c r="C40" s="664">
        <v>1.23</v>
      </c>
      <c r="D40" s="497" t="s">
        <v>527</v>
      </c>
      <c r="E40" s="513"/>
      <c r="F40" s="665"/>
      <c r="G40" s="665"/>
      <c r="H40" s="665"/>
      <c r="I40" s="508">
        <f>$C40*VLOOKUP($B40,'Standard values'!$C$9:$S$162,3, FALSE)/$E$248</f>
        <v>0.28418155866765027</v>
      </c>
      <c r="J40" s="508">
        <f>$C40*VLOOKUP($B40,'Standard values'!$C$9:$S$162,4, FALSE)/$E$248</f>
        <v>7.3376114891444673E-4</v>
      </c>
      <c r="K40" s="508">
        <f>$C40*VLOOKUP($B40,'Standard values'!$C$9:$S$162,5, FALSE)/$E$248</f>
        <v>4.8330832557742582E-5</v>
      </c>
      <c r="L40" s="509">
        <f>I40*'Standard values'!$D$10+J40*'Standard values'!$D$11+K40*'Standard values'!$D$12</f>
        <v>0.31692817549271873</v>
      </c>
      <c r="M40" s="379"/>
      <c r="N40" s="562">
        <f t="shared" si="1"/>
        <v>4.3558390923675212</v>
      </c>
      <c r="O40" s="750">
        <f t="shared" si="2"/>
        <v>13.561656141</v>
      </c>
    </row>
    <row r="41" spans="1:17" x14ac:dyDescent="0.2">
      <c r="A41" s="503"/>
      <c r="B41" s="495"/>
      <c r="C41" s="666"/>
      <c r="D41" s="497"/>
      <c r="E41" s="513"/>
      <c r="F41" s="665"/>
      <c r="G41" s="665"/>
      <c r="H41" s="665"/>
      <c r="I41" s="508"/>
      <c r="J41" s="508"/>
      <c r="K41" s="508"/>
      <c r="L41" s="509"/>
      <c r="M41" s="379"/>
      <c r="N41" s="562"/>
      <c r="O41" s="750"/>
    </row>
    <row r="42" spans="1:17" x14ac:dyDescent="0.2">
      <c r="A42" s="503"/>
      <c r="B42" s="511" t="s">
        <v>511</v>
      </c>
      <c r="C42" s="666"/>
      <c r="D42" s="497"/>
      <c r="E42" s="513"/>
      <c r="F42" s="495"/>
      <c r="G42" s="495"/>
      <c r="H42" s="665"/>
      <c r="I42" s="508"/>
      <c r="J42" s="508"/>
      <c r="K42" s="508"/>
      <c r="L42" s="509"/>
      <c r="M42" s="379"/>
      <c r="N42" s="562"/>
      <c r="O42" s="750"/>
    </row>
    <row r="43" spans="1:17" ht="14.25" x14ac:dyDescent="0.2">
      <c r="A43" s="503"/>
      <c r="B43" s="499" t="s">
        <v>1075</v>
      </c>
      <c r="C43" s="667">
        <v>6</v>
      </c>
      <c r="D43" s="497" t="s">
        <v>527</v>
      </c>
      <c r="E43" s="513"/>
      <c r="F43" s="495"/>
      <c r="G43" s="495"/>
      <c r="H43" s="495"/>
      <c r="I43" s="508">
        <f>$C43*VLOOKUP($B43,'Standard values'!$C$9:$S$162,3, FALSE)/$E$248</f>
        <v>5.7780602820269929E-2</v>
      </c>
      <c r="J43" s="508">
        <f>$C43*VLOOKUP($B43,'Standard values'!$C$9:$S$162,4, FALSE)/$E$248</f>
        <v>1.2797567322078192E-4</v>
      </c>
      <c r="K43" s="508">
        <f>$C43*VLOOKUP($B43,'Standard values'!$C$9:$S$162,5, FALSE)/$E$248</f>
        <v>1.4060918714342075E-4</v>
      </c>
      <c r="L43" s="509">
        <f>I43*'Standard values'!$D$10+J43*'Standard values'!$D$11+K43*'Standard values'!$D$12</f>
        <v>0.10288153241952885</v>
      </c>
      <c r="M43" s="379"/>
      <c r="N43" s="562">
        <f>+L43/$E$29</f>
        <v>1.4139967205470374</v>
      </c>
      <c r="O43" s="750">
        <f>L43*$E$248/1000</f>
        <v>4.4023979999999998</v>
      </c>
    </row>
    <row r="44" spans="1:17" x14ac:dyDescent="0.2">
      <c r="A44" s="503"/>
      <c r="B44" s="511"/>
      <c r="C44" s="668"/>
      <c r="D44" s="497"/>
      <c r="E44" s="513"/>
      <c r="F44" s="495"/>
      <c r="G44" s="495"/>
      <c r="H44" s="495"/>
      <c r="I44" s="508"/>
      <c r="J44" s="508"/>
      <c r="K44" s="508"/>
      <c r="L44" s="509"/>
      <c r="M44" s="379"/>
      <c r="N44" s="562"/>
      <c r="O44" s="750"/>
    </row>
    <row r="45" spans="1:17" ht="15" x14ac:dyDescent="0.25">
      <c r="A45" s="503"/>
      <c r="B45" s="511" t="s">
        <v>1046</v>
      </c>
      <c r="C45" s="669">
        <v>3.1028571587511329</v>
      </c>
      <c r="D45" s="497" t="s">
        <v>527</v>
      </c>
      <c r="E45" s="513"/>
      <c r="F45" s="495"/>
      <c r="G45" s="495"/>
      <c r="H45" s="495"/>
      <c r="I45" s="508">
        <v>0</v>
      </c>
      <c r="J45" s="508">
        <v>0</v>
      </c>
      <c r="K45" s="508">
        <f>1000*$C45/$E$248</f>
        <v>7.2512003542437975E-2</v>
      </c>
      <c r="L45" s="509">
        <f>I45*'Standard values'!$D$10+J45*'Standard values'!$D$11+K45*'Standard values'!$D$12</f>
        <v>21.608577055646517</v>
      </c>
      <c r="M45" s="379"/>
      <c r="N45" s="562">
        <f>+L45/$E$29</f>
        <v>296.98680000000002</v>
      </c>
      <c r="O45" s="750">
        <f>L45*$E$248/1000</f>
        <v>924.65143330783758</v>
      </c>
      <c r="Q45" s="751"/>
    </row>
    <row r="46" spans="1:17" ht="15.75" x14ac:dyDescent="0.3">
      <c r="A46" s="503"/>
      <c r="B46" s="511"/>
      <c r="C46" s="670" t="s">
        <v>664</v>
      </c>
      <c r="D46" s="495"/>
      <c r="E46" s="513"/>
      <c r="F46" s="514"/>
      <c r="G46" s="514"/>
      <c r="H46" s="514" t="s">
        <v>1047</v>
      </c>
      <c r="I46" s="515">
        <f>SUM(I28:I45)</f>
        <v>16.921756051777681</v>
      </c>
      <c r="J46" s="515">
        <f>SUM(J28:J45)</f>
        <v>3.1693790432316446E-2</v>
      </c>
      <c r="K46" s="515">
        <f>SUM(K28:K45)</f>
        <v>0.1037298113211047</v>
      </c>
      <c r="L46" s="516">
        <f>I46*'Standard values'!$D$10+J46*'Standard values'!$D$11+K46*'Standard values'!$D$12</f>
        <v>48.625584586274798</v>
      </c>
      <c r="M46" s="379"/>
      <c r="N46" s="1201">
        <f>+L46/E$29</f>
        <v>668.30669725350901</v>
      </c>
      <c r="O46" s="1202">
        <f>L46*$E$248/1000</f>
        <v>2080.7347178550835</v>
      </c>
    </row>
    <row r="47" spans="1:17" x14ac:dyDescent="0.2">
      <c r="A47" s="503"/>
      <c r="B47" s="511"/>
      <c r="C47" s="671" t="s">
        <v>665</v>
      </c>
      <c r="D47" s="495"/>
      <c r="E47" s="513"/>
      <c r="F47" s="514"/>
      <c r="G47" s="514"/>
      <c r="H47" s="514"/>
      <c r="I47" s="416"/>
      <c r="J47" s="416"/>
      <c r="K47" s="416"/>
      <c r="L47" s="436"/>
      <c r="M47" s="379"/>
      <c r="N47" s="1203"/>
      <c r="O47" s="1204"/>
    </row>
    <row r="48" spans="1:17" ht="14.25" x14ac:dyDescent="0.25">
      <c r="A48" s="519"/>
      <c r="B48" s="520"/>
      <c r="C48" s="520"/>
      <c r="D48" s="520"/>
      <c r="E48" s="519"/>
      <c r="F48" s="521"/>
      <c r="G48" s="521"/>
      <c r="H48" s="521" t="s">
        <v>534</v>
      </c>
      <c r="I48" s="522"/>
      <c r="J48" s="523" t="s">
        <v>747</v>
      </c>
      <c r="K48" s="524"/>
      <c r="L48" s="525">
        <f>N46*E$29</f>
        <v>48.625584586274798</v>
      </c>
      <c r="M48" s="379"/>
      <c r="N48" s="390"/>
      <c r="O48" s="390"/>
    </row>
    <row r="49" spans="1:15" x14ac:dyDescent="0.2">
      <c r="A49" s="379"/>
      <c r="B49" s="379"/>
      <c r="C49" s="379"/>
      <c r="D49" s="379"/>
      <c r="E49" s="379"/>
      <c r="F49" s="526"/>
      <c r="G49" s="526"/>
      <c r="H49" s="526"/>
      <c r="I49" s="527"/>
      <c r="J49" s="528"/>
      <c r="K49" s="484"/>
      <c r="L49" s="430"/>
      <c r="M49" s="379"/>
      <c r="N49" s="390"/>
      <c r="O49" s="390"/>
    </row>
    <row r="50" spans="1:15" x14ac:dyDescent="0.2">
      <c r="A50" s="390"/>
      <c r="B50" s="390"/>
      <c r="C50" s="390"/>
      <c r="D50" s="390"/>
      <c r="E50" s="390"/>
      <c r="F50" s="390"/>
      <c r="G50" s="390"/>
      <c r="H50" s="390"/>
      <c r="I50" s="529"/>
      <c r="J50" s="529"/>
      <c r="K50" s="529"/>
      <c r="L50" s="529"/>
      <c r="M50" s="379"/>
      <c r="N50" s="390"/>
      <c r="O50" s="390"/>
    </row>
    <row r="51" spans="1:15" ht="15.75" x14ac:dyDescent="0.25">
      <c r="A51" s="530" t="s">
        <v>742</v>
      </c>
      <c r="B51" s="531"/>
      <c r="C51" s="531"/>
      <c r="D51" s="531"/>
      <c r="E51" s="530" t="s">
        <v>513</v>
      </c>
      <c r="F51" s="532"/>
      <c r="G51" s="532"/>
      <c r="H51" s="531"/>
      <c r="I51" s="532" t="s">
        <v>532</v>
      </c>
      <c r="J51" s="533"/>
      <c r="K51" s="533"/>
      <c r="L51" s="534"/>
      <c r="M51" s="379"/>
      <c r="N51" s="535" t="s">
        <v>162</v>
      </c>
      <c r="O51" s="390"/>
    </row>
    <row r="52" spans="1:15" ht="15.75" x14ac:dyDescent="0.3">
      <c r="A52" s="587"/>
      <c r="B52" s="511" t="s">
        <v>512</v>
      </c>
      <c r="C52" s="593">
        <v>1</v>
      </c>
      <c r="D52" s="495" t="s">
        <v>744</v>
      </c>
      <c r="E52" s="1470">
        <f>E27*C52</f>
        <v>73975.402460291909</v>
      </c>
      <c r="F52" s="499" t="s">
        <v>415</v>
      </c>
      <c r="G52" s="499"/>
      <c r="H52" s="495"/>
      <c r="I52" s="492" t="s">
        <v>746</v>
      </c>
      <c r="J52" s="514"/>
      <c r="K52" s="514"/>
      <c r="L52" s="537"/>
      <c r="M52" s="379"/>
      <c r="N52" s="554" t="s">
        <v>637</v>
      </c>
      <c r="O52" s="390"/>
    </row>
    <row r="53" spans="1:15" ht="15.75" x14ac:dyDescent="0.3">
      <c r="A53" s="587"/>
      <c r="B53" s="495"/>
      <c r="C53" s="512"/>
      <c r="D53" s="495"/>
      <c r="E53" s="505">
        <f>E28*C52</f>
        <v>1</v>
      </c>
      <c r="F53" s="506" t="s">
        <v>740</v>
      </c>
      <c r="G53" s="506"/>
      <c r="H53" s="495"/>
      <c r="I53" s="539" t="s">
        <v>1053</v>
      </c>
      <c r="J53" s="539" t="s">
        <v>1054</v>
      </c>
      <c r="K53" s="539" t="s">
        <v>1055</v>
      </c>
      <c r="L53" s="540" t="s">
        <v>1056</v>
      </c>
      <c r="M53" s="379"/>
      <c r="N53" s="540" t="s">
        <v>1056</v>
      </c>
      <c r="O53" s="390"/>
    </row>
    <row r="54" spans="1:15" x14ac:dyDescent="0.2">
      <c r="A54" s="503"/>
      <c r="B54" s="511" t="s">
        <v>525</v>
      </c>
      <c r="C54" s="495"/>
      <c r="D54" s="495"/>
      <c r="E54" s="503"/>
      <c r="F54" s="495"/>
      <c r="G54" s="495"/>
      <c r="H54" s="495"/>
      <c r="I54" s="495"/>
      <c r="J54" s="495"/>
      <c r="K54" s="495"/>
      <c r="L54" s="541"/>
      <c r="M54" s="379"/>
      <c r="N54" s="541"/>
      <c r="O54" s="390"/>
    </row>
    <row r="55" spans="1:15" ht="15.75" x14ac:dyDescent="0.3">
      <c r="A55" s="503"/>
      <c r="B55" s="499" t="s">
        <v>509</v>
      </c>
      <c r="C55" s="672">
        <v>1.8100000000000001E-4</v>
      </c>
      <c r="D55" s="495" t="s">
        <v>638</v>
      </c>
      <c r="E55" s="503"/>
      <c r="F55" s="495"/>
      <c r="G55" s="495"/>
      <c r="H55" s="495"/>
      <c r="I55" s="544">
        <f>$C55*$E$53*VLOOKUP($B55,'Standard values'!$C$9:$S$162,7, FALSE)/$E$249</f>
        <v>2.7422743167501266E-2</v>
      </c>
      <c r="J55" s="544">
        <f>$C55*$E$53*VLOOKUP($B55,'Standard values'!$C$9:$S$162,8, FALSE)/$E$249</f>
        <v>0</v>
      </c>
      <c r="K55" s="544">
        <f>$C55*$E$53*VLOOKUP($B55,'Standard values'!$C$9:$S$162,9, FALSE)/$E$249</f>
        <v>0</v>
      </c>
      <c r="L55" s="419">
        <f>I55*'Standard values'!$D$10+J55*'Standard values'!$D$11+K55*'Standard values'!$D$12</f>
        <v>2.7422743167501266E-2</v>
      </c>
      <c r="M55" s="379"/>
      <c r="N55" s="562">
        <f>+L55/$E$29</f>
        <v>0.37689629999999996</v>
      </c>
      <c r="O55" s="390"/>
    </row>
    <row r="56" spans="1:15" ht="15.75" x14ac:dyDescent="0.3">
      <c r="A56" s="503"/>
      <c r="B56" s="1301" t="s">
        <v>49</v>
      </c>
      <c r="C56" s="559">
        <v>3.0790000000000001E-3</v>
      </c>
      <c r="D56" s="495" t="s">
        <v>638</v>
      </c>
      <c r="E56" s="503"/>
      <c r="F56" s="495"/>
      <c r="G56" s="495"/>
      <c r="H56" s="495"/>
      <c r="I56" s="544">
        <f>$C56*$E$53*VLOOKUP($B56,'Standard values'!$C$9:$S$162,7, FALSE)/$E$249</f>
        <v>0.64297236591564377</v>
      </c>
      <c r="J56" s="544">
        <f>$C56*$E$53*VLOOKUP($B56,'Standard values'!$C$9:$S$162,8, FALSE)/$E$249</f>
        <v>1.5680262163645701E-3</v>
      </c>
      <c r="K56" s="544">
        <f>$C56*$E$53*VLOOKUP($B56,'Standard values'!$C$9:$S$162,9, FALSE)/$E$249</f>
        <v>2.9127879738219736E-5</v>
      </c>
      <c r="L56" s="419">
        <f>I56*'Standard values'!$D$10+J56*'Standard values'!$D$11+K56*'Standard values'!$D$12</f>
        <v>0.69085312948674749</v>
      </c>
      <c r="M56" s="379"/>
      <c r="N56" s="562">
        <f>+L56/$E$29</f>
        <v>9.4950379966199989</v>
      </c>
      <c r="O56" s="390"/>
    </row>
    <row r="57" spans="1:15" x14ac:dyDescent="0.2">
      <c r="A57" s="503"/>
      <c r="B57" s="495"/>
      <c r="C57" s="492"/>
      <c r="D57" s="495"/>
      <c r="E57" s="503"/>
      <c r="F57" s="495"/>
      <c r="G57" s="495"/>
      <c r="H57" s="514" t="s">
        <v>1047</v>
      </c>
      <c r="I57" s="515">
        <f>SUM(I54:I56)</f>
        <v>0.67039510908314504</v>
      </c>
      <c r="J57" s="515">
        <f>SUM(J54:J56)</f>
        <v>1.5680262163645701E-3</v>
      </c>
      <c r="K57" s="515">
        <f>SUM(K54:K56)</f>
        <v>2.9127879738219736E-5</v>
      </c>
      <c r="L57" s="516">
        <f>I57*'Standard values'!$D$10+J57*'Standard values'!$D$11+K57*'Standard values'!$D$12</f>
        <v>0.71827587265424875</v>
      </c>
      <c r="M57" s="379"/>
      <c r="N57" s="1201">
        <f>+L57/E$29</f>
        <v>9.8719342966199992</v>
      </c>
      <c r="O57" s="518"/>
    </row>
    <row r="58" spans="1:15" x14ac:dyDescent="0.2">
      <c r="A58" s="590"/>
      <c r="B58" s="495"/>
      <c r="C58" s="492"/>
      <c r="D58" s="495"/>
      <c r="E58" s="503"/>
      <c r="F58" s="495"/>
      <c r="G58" s="495"/>
      <c r="H58" s="495"/>
      <c r="I58" s="495"/>
      <c r="J58" s="495"/>
      <c r="K58" s="495"/>
      <c r="L58" s="541"/>
      <c r="M58" s="379"/>
      <c r="N58" s="1203"/>
      <c r="O58" s="390"/>
    </row>
    <row r="59" spans="1:15" ht="14.25" x14ac:dyDescent="0.25">
      <c r="A59" s="519"/>
      <c r="B59" s="520"/>
      <c r="C59" s="520"/>
      <c r="D59" s="520"/>
      <c r="E59" s="519"/>
      <c r="F59" s="521"/>
      <c r="G59" s="521"/>
      <c r="H59" s="521" t="s">
        <v>534</v>
      </c>
      <c r="I59" s="520"/>
      <c r="J59" s="523" t="s">
        <v>747</v>
      </c>
      <c r="K59" s="549"/>
      <c r="L59" s="525">
        <f>N57*E$29</f>
        <v>0.71827587265424875</v>
      </c>
      <c r="M59" s="379"/>
      <c r="N59" s="390"/>
      <c r="O59" s="390"/>
    </row>
    <row r="60" spans="1:15" x14ac:dyDescent="0.2">
      <c r="A60" s="390"/>
      <c r="B60" s="390"/>
      <c r="C60" s="390"/>
      <c r="D60" s="390"/>
      <c r="E60" s="390"/>
      <c r="F60" s="376"/>
      <c r="G60" s="376"/>
      <c r="H60" s="376"/>
      <c r="I60" s="390"/>
      <c r="J60" s="550"/>
      <c r="K60" s="551"/>
      <c r="L60" s="552"/>
      <c r="M60" s="379"/>
      <c r="N60" s="390"/>
      <c r="O60" s="390"/>
    </row>
    <row r="61" spans="1:15" x14ac:dyDescent="0.2">
      <c r="A61" s="390"/>
      <c r="B61" s="390"/>
      <c r="C61" s="390"/>
      <c r="D61" s="390"/>
      <c r="E61" s="390"/>
      <c r="F61" s="390"/>
      <c r="G61" s="390"/>
      <c r="H61" s="390"/>
      <c r="I61" s="529"/>
      <c r="J61" s="529"/>
      <c r="K61" s="529"/>
      <c r="L61" s="529"/>
      <c r="M61" s="379"/>
      <c r="N61" s="390"/>
      <c r="O61" s="390"/>
    </row>
    <row r="62" spans="1:15" ht="15.75" x14ac:dyDescent="0.25">
      <c r="A62" s="530" t="s">
        <v>743</v>
      </c>
      <c r="B62" s="531"/>
      <c r="C62" s="531"/>
      <c r="D62" s="531"/>
      <c r="E62" s="530" t="s">
        <v>513</v>
      </c>
      <c r="F62" s="532"/>
      <c r="G62" s="532"/>
      <c r="H62" s="531"/>
      <c r="I62" s="532" t="s">
        <v>532</v>
      </c>
      <c r="J62" s="533"/>
      <c r="K62" s="533"/>
      <c r="L62" s="534"/>
      <c r="M62" s="379"/>
      <c r="N62" s="535" t="s">
        <v>162</v>
      </c>
      <c r="O62" s="390"/>
    </row>
    <row r="63" spans="1:15" ht="15.75" x14ac:dyDescent="0.3">
      <c r="A63" s="503"/>
      <c r="B63" s="511" t="s">
        <v>512</v>
      </c>
      <c r="C63" s="593">
        <v>0.99009900990099009</v>
      </c>
      <c r="D63" s="495" t="s">
        <v>744</v>
      </c>
      <c r="E63" s="1469">
        <f>E52*C63</f>
        <v>73242.972732962284</v>
      </c>
      <c r="F63" s="499" t="s">
        <v>415</v>
      </c>
      <c r="G63" s="499"/>
      <c r="H63" s="495"/>
      <c r="I63" s="492" t="s">
        <v>746</v>
      </c>
      <c r="J63" s="514"/>
      <c r="K63" s="514"/>
      <c r="L63" s="537"/>
      <c r="M63" s="379"/>
      <c r="N63" s="554" t="s">
        <v>637</v>
      </c>
      <c r="O63" s="390"/>
    </row>
    <row r="64" spans="1:15" ht="15.75" x14ac:dyDescent="0.3">
      <c r="A64" s="503"/>
      <c r="B64" s="495"/>
      <c r="C64" s="495"/>
      <c r="D64" s="495"/>
      <c r="E64" s="505">
        <f>E53*C63</f>
        <v>0.99009900990099009</v>
      </c>
      <c r="F64" s="506" t="s">
        <v>740</v>
      </c>
      <c r="G64" s="506"/>
      <c r="H64" s="495"/>
      <c r="I64" s="539" t="s">
        <v>1053</v>
      </c>
      <c r="J64" s="539" t="s">
        <v>1054</v>
      </c>
      <c r="K64" s="539" t="s">
        <v>1055</v>
      </c>
      <c r="L64" s="540" t="s">
        <v>1056</v>
      </c>
      <c r="M64" s="379"/>
      <c r="N64" s="540" t="s">
        <v>1056</v>
      </c>
      <c r="O64" s="390"/>
    </row>
    <row r="65" spans="1:15" x14ac:dyDescent="0.2">
      <c r="A65" s="503"/>
      <c r="B65" s="511" t="s">
        <v>498</v>
      </c>
      <c r="C65" s="495"/>
      <c r="D65" s="495"/>
      <c r="E65" s="505"/>
      <c r="F65" s="506"/>
      <c r="G65" s="506"/>
      <c r="H65" s="495"/>
      <c r="I65" s="539"/>
      <c r="J65" s="539"/>
      <c r="K65" s="539"/>
      <c r="L65" s="540"/>
      <c r="M65" s="379"/>
      <c r="N65" s="541"/>
      <c r="O65" s="390"/>
    </row>
    <row r="66" spans="1:15" ht="15.75" x14ac:dyDescent="0.3">
      <c r="A66" s="503"/>
      <c r="B66" s="495" t="s">
        <v>1111</v>
      </c>
      <c r="C66" s="595">
        <v>50</v>
      </c>
      <c r="D66" s="495" t="s">
        <v>510</v>
      </c>
      <c r="E66" s="543">
        <f>(C66*E64)/(VLOOKUP($B63,'Standard values'!$C$9:$S$162,14, FALSE))/(1-$C$28)/1000</f>
        <v>2.0835416875020834E-3</v>
      </c>
      <c r="F66" s="495" t="s">
        <v>244</v>
      </c>
      <c r="G66" s="495"/>
      <c r="H66" s="495"/>
      <c r="I66" s="544">
        <f>$E66*VLOOKUP($B66,'Standard values'!$C$9:$S$162,15, FALSE)*VLOOKUP(C67,'Standard values'!$C$9:$S$162,7, FALSE)/$E$249</f>
        <v>0.29546794003503929</v>
      </c>
      <c r="J66" s="544">
        <f>$E66*((VLOOKUP($B66,'Standard values'!$C$9:$S$162,15, FALSE)*VLOOKUP(C67,'Standard values'!$C$9:$S$162,8, FALSE))+VLOOKUP($B66,'Standard values'!$C$9:$S$162,16, FALSE))/$E$249</f>
        <v>1.8009748874499528E-5</v>
      </c>
      <c r="K66" s="544">
        <f>$E66*((VLOOKUP($B66,'Standard values'!$C$9:$S$162,15, FALSE)*VLOOKUP(C67,'Standard values'!$C$9:$S$162,9, FALSE))+VLOOKUP($B66,'Standard values'!$C$9:$S$162,17, FALSE))/$E$249</f>
        <v>0</v>
      </c>
      <c r="L66" s="516">
        <f>I66*'Standard values'!$D$10+J66*'Standard values'!$D$11+K66*'Standard values'!$D$12</f>
        <v>0.29591818375690176</v>
      </c>
      <c r="M66" s="379"/>
      <c r="N66" s="1201">
        <f>+L66/E$29</f>
        <v>4.0670792079207922</v>
      </c>
      <c r="O66" s="390"/>
    </row>
    <row r="67" spans="1:15" x14ac:dyDescent="0.2">
      <c r="A67" s="503"/>
      <c r="B67" s="546" t="s">
        <v>54</v>
      </c>
      <c r="C67" s="673" t="s">
        <v>509</v>
      </c>
      <c r="D67" s="495"/>
      <c r="E67" s="543"/>
      <c r="F67" s="495"/>
      <c r="G67" s="495"/>
      <c r="H67" s="495"/>
      <c r="I67" s="544"/>
      <c r="J67" s="544"/>
      <c r="K67" s="544"/>
      <c r="L67" s="516"/>
      <c r="M67" s="379"/>
      <c r="N67" s="1203"/>
      <c r="O67" s="390"/>
    </row>
    <row r="68" spans="1:15" x14ac:dyDescent="0.2">
      <c r="A68" s="503"/>
      <c r="B68" s="495"/>
      <c r="C68" s="495"/>
      <c r="D68" s="495"/>
      <c r="E68" s="503"/>
      <c r="F68" s="495"/>
      <c r="G68" s="495"/>
      <c r="H68" s="548"/>
      <c r="I68" s="544"/>
      <c r="J68" s="544"/>
      <c r="K68" s="544"/>
      <c r="L68" s="516"/>
      <c r="M68" s="379"/>
      <c r="N68" s="390"/>
      <c r="O68" s="390"/>
    </row>
    <row r="69" spans="1:15" ht="14.25" x14ac:dyDescent="0.25">
      <c r="A69" s="519"/>
      <c r="B69" s="520"/>
      <c r="C69" s="520"/>
      <c r="D69" s="520"/>
      <c r="E69" s="519"/>
      <c r="F69" s="521"/>
      <c r="G69" s="521"/>
      <c r="H69" s="521" t="s">
        <v>534</v>
      </c>
      <c r="I69" s="520"/>
      <c r="J69" s="523" t="s">
        <v>747</v>
      </c>
      <c r="K69" s="549"/>
      <c r="L69" s="525">
        <f>N66*E$29</f>
        <v>0.29591818375690176</v>
      </c>
      <c r="M69" s="379"/>
      <c r="N69" s="390"/>
      <c r="O69" s="390"/>
    </row>
    <row r="70" spans="1:15" x14ac:dyDescent="0.2">
      <c r="A70" s="390"/>
      <c r="B70" s="390"/>
      <c r="C70" s="390"/>
      <c r="D70" s="390"/>
      <c r="E70" s="390"/>
      <c r="F70" s="376"/>
      <c r="G70" s="376"/>
      <c r="H70" s="376"/>
      <c r="I70" s="390"/>
      <c r="J70" s="550"/>
      <c r="K70" s="551"/>
      <c r="L70" s="552"/>
      <c r="M70" s="379"/>
      <c r="N70" s="379"/>
      <c r="O70" s="379"/>
    </row>
    <row r="71" spans="1:15" x14ac:dyDescent="0.2">
      <c r="A71" s="390"/>
      <c r="B71" s="390"/>
      <c r="C71" s="390"/>
      <c r="D71" s="390"/>
      <c r="E71" s="390"/>
      <c r="F71" s="390"/>
      <c r="G71" s="390"/>
      <c r="H71" s="390"/>
      <c r="I71" s="390"/>
      <c r="J71" s="390"/>
      <c r="K71" s="390"/>
      <c r="L71" s="375"/>
      <c r="M71" s="379"/>
      <c r="N71" s="379"/>
      <c r="O71" s="379"/>
    </row>
    <row r="72" spans="1:15" ht="15.75" x14ac:dyDescent="0.25">
      <c r="A72" s="530" t="s">
        <v>639</v>
      </c>
      <c r="B72" s="531"/>
      <c r="C72" s="531"/>
      <c r="D72" s="531"/>
      <c r="E72" s="530" t="s">
        <v>513</v>
      </c>
      <c r="F72" s="532"/>
      <c r="G72" s="532"/>
      <c r="H72" s="531"/>
      <c r="I72" s="532" t="s">
        <v>532</v>
      </c>
      <c r="J72" s="533"/>
      <c r="K72" s="533"/>
      <c r="L72" s="534"/>
      <c r="M72" s="379"/>
      <c r="N72" s="535" t="s">
        <v>162</v>
      </c>
      <c r="O72" s="379"/>
    </row>
    <row r="73" spans="1:15" x14ac:dyDescent="0.2">
      <c r="A73" s="503"/>
      <c r="B73" s="511" t="s">
        <v>524</v>
      </c>
      <c r="C73" s="495"/>
      <c r="D73" s="495"/>
      <c r="E73" s="553"/>
      <c r="F73" s="674"/>
      <c r="G73" s="674"/>
      <c r="H73" s="495"/>
      <c r="I73" s="492" t="s">
        <v>746</v>
      </c>
      <c r="J73" s="514"/>
      <c r="K73" s="514"/>
      <c r="L73" s="537"/>
      <c r="M73" s="379"/>
      <c r="N73" s="554" t="s">
        <v>588</v>
      </c>
      <c r="O73" s="379"/>
    </row>
    <row r="74" spans="1:15" ht="15.75" x14ac:dyDescent="0.3">
      <c r="A74" s="503"/>
      <c r="B74" s="495" t="s">
        <v>1039</v>
      </c>
      <c r="C74" s="675">
        <v>0.61250210048731302</v>
      </c>
      <c r="D74" s="495" t="s">
        <v>643</v>
      </c>
      <c r="E74" s="553">
        <f>E63*C74</f>
        <v>44861.47464487439</v>
      </c>
      <c r="F74" s="499" t="s">
        <v>654</v>
      </c>
      <c r="G74" s="499"/>
      <c r="H74" s="495"/>
      <c r="I74" s="539" t="s">
        <v>1053</v>
      </c>
      <c r="J74" s="539" t="s">
        <v>1054</v>
      </c>
      <c r="K74" s="539" t="s">
        <v>1055</v>
      </c>
      <c r="L74" s="540" t="s">
        <v>1056</v>
      </c>
      <c r="M74" s="379"/>
      <c r="N74" s="540" t="s">
        <v>1056</v>
      </c>
      <c r="O74" s="379"/>
    </row>
    <row r="75" spans="1:15" ht="15.75" x14ac:dyDescent="0.3">
      <c r="A75" s="563"/>
      <c r="B75" s="506" t="s">
        <v>127</v>
      </c>
      <c r="C75" s="675">
        <v>0.38749789951268698</v>
      </c>
      <c r="D75" s="495" t="s">
        <v>666</v>
      </c>
      <c r="E75" s="505">
        <f>E64*C74</f>
        <v>0.6064377232547653</v>
      </c>
      <c r="F75" s="506" t="s">
        <v>740</v>
      </c>
      <c r="G75" s="506"/>
      <c r="H75" s="495"/>
      <c r="I75" s="495"/>
      <c r="J75" s="495"/>
      <c r="K75" s="495"/>
      <c r="L75" s="541"/>
      <c r="M75" s="379"/>
      <c r="N75" s="541"/>
      <c r="O75" s="379"/>
    </row>
    <row r="76" spans="1:15" ht="15.75" x14ac:dyDescent="0.3">
      <c r="A76" s="563"/>
      <c r="B76" s="506"/>
      <c r="C76" s="564"/>
      <c r="D76" s="506"/>
      <c r="E76" s="557">
        <f>E74/$E$248/VLOOKUP($B74,'Standard values'!$C$9:$S$162,14, FALSE)</f>
        <v>2.8334786399302526E-2</v>
      </c>
      <c r="F76" s="499" t="s">
        <v>542</v>
      </c>
      <c r="G76" s="499"/>
      <c r="H76" s="495"/>
      <c r="I76" s="495"/>
      <c r="J76" s="495"/>
      <c r="K76" s="495"/>
      <c r="L76" s="541"/>
      <c r="M76" s="379"/>
      <c r="N76" s="541"/>
      <c r="O76" s="379"/>
    </row>
    <row r="77" spans="1:15" x14ac:dyDescent="0.2">
      <c r="A77" s="503"/>
      <c r="B77" s="511" t="s">
        <v>525</v>
      </c>
      <c r="C77" s="564"/>
      <c r="D77" s="495"/>
      <c r="E77" s="513"/>
      <c r="F77" s="495"/>
      <c r="G77" s="495"/>
      <c r="H77" s="495"/>
      <c r="I77" s="495"/>
      <c r="J77" s="495"/>
      <c r="K77" s="495"/>
      <c r="L77" s="541"/>
      <c r="M77" s="379"/>
      <c r="N77" s="541"/>
      <c r="O77" s="379"/>
    </row>
    <row r="78" spans="1:15" ht="15.75" x14ac:dyDescent="0.3">
      <c r="A78" s="503"/>
      <c r="B78" s="1301" t="s">
        <v>50</v>
      </c>
      <c r="C78" s="676">
        <f>1.4*0.00839506172839506</f>
        <v>1.1753086419753084E-2</v>
      </c>
      <c r="D78" s="495" t="s">
        <v>644</v>
      </c>
      <c r="E78" s="503"/>
      <c r="F78" s="495"/>
      <c r="G78" s="495"/>
      <c r="H78" s="495"/>
      <c r="I78" s="544">
        <f>$C78*$E$75*VLOOKUP($B78,'Standard values'!$C$9:$S$162,7, FALSE)/$E$249</f>
        <v>1.4707548533120931</v>
      </c>
      <c r="J78" s="544">
        <f>$C78*$E$75*VLOOKUP($B78,'Standard values'!$C$9:$S$162,8, FALSE)/$E$249</f>
        <v>3.5866660029204821E-3</v>
      </c>
      <c r="K78" s="544">
        <f>$C78*$E$75*VLOOKUP($B78,'Standard values'!$C$9:$S$162,9, FALSE)/$E$249</f>
        <v>6.640072569582723E-5</v>
      </c>
      <c r="L78" s="419">
        <f>I78*'Standard values'!$D$10+J78*'Standard values'!$D$11+K78*'Standard values'!$D$12</f>
        <v>1.5802089196424618</v>
      </c>
      <c r="M78" s="379"/>
      <c r="N78" s="561">
        <f>L78/$E$76</f>
        <v>55.769219410150889</v>
      </c>
      <c r="O78" s="379"/>
    </row>
    <row r="79" spans="1:15" ht="15.75" x14ac:dyDescent="0.3">
      <c r="A79" s="503"/>
      <c r="B79" s="495" t="s">
        <v>827</v>
      </c>
      <c r="C79" s="675">
        <f>1.4*0.0397805212620027</f>
        <v>5.569272976680377E-2</v>
      </c>
      <c r="D79" s="495" t="s">
        <v>644</v>
      </c>
      <c r="E79" s="503"/>
      <c r="F79" s="495"/>
      <c r="G79" s="495"/>
      <c r="H79" s="495"/>
      <c r="I79" s="544"/>
      <c r="J79" s="544"/>
      <c r="K79" s="544"/>
      <c r="L79" s="419"/>
      <c r="M79" s="379"/>
      <c r="N79" s="562"/>
      <c r="O79" s="379"/>
    </row>
    <row r="80" spans="1:15" x14ac:dyDescent="0.2">
      <c r="A80" s="503"/>
      <c r="B80" s="571" t="s">
        <v>729</v>
      </c>
      <c r="C80" s="566"/>
      <c r="D80" s="566"/>
      <c r="E80" s="567"/>
      <c r="F80" s="568"/>
      <c r="G80" s="568"/>
      <c r="H80" s="568"/>
      <c r="I80" s="569" t="s">
        <v>830</v>
      </c>
      <c r="J80" s="568"/>
      <c r="K80" s="568"/>
      <c r="L80" s="688"/>
      <c r="M80" s="379"/>
      <c r="N80" s="562"/>
      <c r="O80" s="379"/>
    </row>
    <row r="81" spans="1:15" ht="15.75" x14ac:dyDescent="0.3">
      <c r="A81" s="503"/>
      <c r="B81" s="679" t="s">
        <v>826</v>
      </c>
      <c r="C81" s="573"/>
      <c r="D81" s="566"/>
      <c r="E81" s="567"/>
      <c r="F81" s="568"/>
      <c r="G81" s="568"/>
      <c r="H81" s="568"/>
      <c r="I81" s="574">
        <f>$C79*$E$75*VLOOKUP($B81,'Standard values'!$C$9:$S$159,7, FALSE)/$E$249</f>
        <v>0</v>
      </c>
      <c r="J81" s="574">
        <f>$C79*$E$75*VLOOKUP($B81,'Standard values'!$C$9:$S$159,8, FALSE)/$E$249</f>
        <v>1.6218760908791419E-4</v>
      </c>
      <c r="K81" s="574">
        <f>$C79*$E$75*VLOOKUP($B81,'Standard values'!$C$9:$S$159,9, FALSE)/$E$249</f>
        <v>6.4875043635165676E-5</v>
      </c>
      <c r="L81" s="575">
        <f>I81*'Standard values'!$D$10+J81*'Standard values'!$D$11+K81*'Standard values'!$D$12</f>
        <v>2.3387453230477227E-2</v>
      </c>
      <c r="M81" s="379"/>
      <c r="N81" s="561">
        <f>L81/$E$76</f>
        <v>0.8253971955494579</v>
      </c>
      <c r="O81" s="379"/>
    </row>
    <row r="82" spans="1:15" ht="14.25" x14ac:dyDescent="0.25">
      <c r="A82" s="503"/>
      <c r="B82" s="582" t="s">
        <v>828</v>
      </c>
      <c r="C82" s="536">
        <f>1/0.9</f>
        <v>1.1111111111111112</v>
      </c>
      <c r="D82" s="568" t="s">
        <v>419</v>
      </c>
      <c r="E82" s="567"/>
      <c r="F82" s="568"/>
      <c r="G82" s="568"/>
      <c r="H82" s="568"/>
      <c r="I82" s="574"/>
      <c r="J82" s="581"/>
      <c r="K82" s="581"/>
      <c r="L82" s="575"/>
      <c r="M82" s="379"/>
      <c r="N82" s="562"/>
      <c r="O82" s="379"/>
    </row>
    <row r="83" spans="1:15" ht="29.25" customHeight="1" x14ac:dyDescent="0.3">
      <c r="A83" s="503"/>
      <c r="B83" s="680" t="s">
        <v>158</v>
      </c>
      <c r="C83" s="573">
        <f>C82*C79</f>
        <v>6.1880810852004191E-2</v>
      </c>
      <c r="D83" s="568" t="s">
        <v>644</v>
      </c>
      <c r="E83" s="567"/>
      <c r="F83" s="568"/>
      <c r="G83" s="568"/>
      <c r="H83" s="568"/>
      <c r="I83" s="574">
        <f>$C83*$E$75*VLOOKUP($B83,'Standard values'!$C$9:$S$162,7, FALSE)/$E$249</f>
        <v>4.0847922474445717</v>
      </c>
      <c r="J83" s="574">
        <f>$C83*$E$75*VLOOKUP($B83,'Standard values'!$C$9:$S$162,8, FALSE)/$E$249</f>
        <v>1.2854269062489912E-2</v>
      </c>
      <c r="K83" s="574">
        <f>$C83*$E$75*VLOOKUP($B83,'Standard values'!$C$9:$S$162,9, FALSE)/$E$249</f>
        <v>1.4416676363370153E-5</v>
      </c>
      <c r="L83" s="575">
        <f>I83*'Standard values'!$D$10+J83*'Standard values'!$D$11+K83*'Standard values'!$D$12</f>
        <v>4.4104451435631038</v>
      </c>
      <c r="M83" s="379"/>
      <c r="N83" s="561">
        <f>L83/$E$76</f>
        <v>155.65478706667324</v>
      </c>
      <c r="O83" s="379"/>
    </row>
    <row r="84" spans="1:15" ht="14.25" x14ac:dyDescent="0.25">
      <c r="A84" s="503"/>
      <c r="B84" s="582" t="s">
        <v>829</v>
      </c>
      <c r="C84" s="536">
        <v>0.02</v>
      </c>
      <c r="D84" s="568" t="s">
        <v>419</v>
      </c>
      <c r="E84" s="567"/>
      <c r="F84" s="568"/>
      <c r="G84" s="568"/>
      <c r="H84" s="568"/>
      <c r="I84" s="574"/>
      <c r="J84" s="581"/>
      <c r="K84" s="581"/>
      <c r="L84" s="575"/>
      <c r="M84" s="379"/>
      <c r="N84" s="561"/>
      <c r="O84" s="379"/>
    </row>
    <row r="85" spans="1:15" ht="15.75" x14ac:dyDescent="0.3">
      <c r="A85" s="503"/>
      <c r="B85" s="1301" t="s">
        <v>50</v>
      </c>
      <c r="C85" s="573">
        <f>C84*C79</f>
        <v>1.1138545953360754E-3</v>
      </c>
      <c r="D85" s="568" t="s">
        <v>644</v>
      </c>
      <c r="E85" s="567"/>
      <c r="F85" s="568"/>
      <c r="G85" s="568"/>
      <c r="H85" s="568"/>
      <c r="I85" s="574">
        <f>$C85*$E$75*VLOOKUP($B85,'Standard values'!$C$9:$S$162,7, FALSE)/$E$249</f>
        <v>0.13938526387598252</v>
      </c>
      <c r="J85" s="574">
        <f>$C85*$E$75*VLOOKUP($B85,'Standard values'!$C$9:$S$162,8, FALSE)/$E$249</f>
        <v>3.3991279112645059E-4</v>
      </c>
      <c r="K85" s="574">
        <f>$C85*$E$75*VLOOKUP($B85,'Standard values'!$C$9:$S$162,9, FALSE)/$E$249</f>
        <v>6.2928792326110703E-6</v>
      </c>
      <c r="L85" s="575">
        <f>I85*'Standard values'!$D$10+J85*'Standard values'!$D$11+K85*'Standard values'!$D$12</f>
        <v>0.14975836166546189</v>
      </c>
      <c r="M85" s="379"/>
      <c r="N85" s="561">
        <f>L85/$E$76</f>
        <v>5.2853181793933786</v>
      </c>
      <c r="O85" s="379"/>
    </row>
    <row r="86" spans="1:15" x14ac:dyDescent="0.2">
      <c r="A86" s="503"/>
      <c r="B86" s="682"/>
      <c r="C86" s="499"/>
      <c r="D86" s="499"/>
      <c r="E86" s="503"/>
      <c r="F86" s="495"/>
      <c r="G86" s="495"/>
      <c r="H86" s="495"/>
      <c r="I86" s="495"/>
      <c r="J86" s="495"/>
      <c r="K86" s="495"/>
      <c r="L86" s="541"/>
      <c r="M86" s="379"/>
      <c r="N86" s="561"/>
      <c r="O86" s="379"/>
    </row>
    <row r="87" spans="1:15" x14ac:dyDescent="0.2">
      <c r="A87" s="503"/>
      <c r="B87" s="511" t="s">
        <v>641</v>
      </c>
      <c r="C87" s="499"/>
      <c r="D87" s="495"/>
      <c r="E87" s="503"/>
      <c r="F87" s="495"/>
      <c r="G87" s="495"/>
      <c r="H87" s="495"/>
      <c r="I87" s="544"/>
      <c r="J87" s="544"/>
      <c r="K87" s="544"/>
      <c r="L87" s="419"/>
      <c r="M87" s="379"/>
      <c r="N87" s="561"/>
      <c r="O87" s="379"/>
    </row>
    <row r="88" spans="1:15" ht="15.75" x14ac:dyDescent="0.3">
      <c r="A88" s="503"/>
      <c r="B88" s="674" t="s">
        <v>1106</v>
      </c>
      <c r="C88" s="675">
        <v>4.3313580246913579E-3</v>
      </c>
      <c r="D88" s="495" t="s">
        <v>644</v>
      </c>
      <c r="E88" s="503"/>
      <c r="F88" s="495"/>
      <c r="G88" s="495"/>
      <c r="H88" s="495"/>
      <c r="I88" s="544">
        <f>$C88*$E$75*VLOOKUP($B88,'Standard values'!$C$9:$S$162,7, FALSE)/$E$249</f>
        <v>0.36365360082304521</v>
      </c>
      <c r="J88" s="544">
        <f>$C88*$E$75*VLOOKUP($B88,'Standard values'!$C$9:$S$162,8, FALSE)/$E$249</f>
        <v>6.6095902473560777E-5</v>
      </c>
      <c r="K88" s="544">
        <f>$C88*$E$75*VLOOKUP($B88,'Standard values'!$C$9:$S$162,9, FALSE)/$E$249</f>
        <v>1.2613721846099385E-6</v>
      </c>
      <c r="L88" s="419">
        <f>I88*'Standard values'!$D$10+J88*'Standard values'!$D$11+K88*'Standard values'!$D$12</f>
        <v>0.36568188729589796</v>
      </c>
      <c r="M88" s="379"/>
      <c r="N88" s="561">
        <f>L88/$E$76</f>
        <v>12.905757683950615</v>
      </c>
      <c r="O88" s="379"/>
    </row>
    <row r="89" spans="1:15" x14ac:dyDescent="0.2">
      <c r="A89" s="503"/>
      <c r="B89" s="495"/>
      <c r="C89" s="499"/>
      <c r="D89" s="499"/>
      <c r="E89" s="681"/>
      <c r="F89" s="495"/>
      <c r="G89" s="495"/>
      <c r="H89" s="514" t="s">
        <v>1047</v>
      </c>
      <c r="I89" s="583">
        <f>SUM(I75:I88)</f>
        <v>6.0585859654556922</v>
      </c>
      <c r="J89" s="583">
        <f>SUM(J75:J88)</f>
        <v>1.7009131368098319E-2</v>
      </c>
      <c r="K89" s="583">
        <f>SUM(K75:K88)</f>
        <v>1.5324669711158406E-4</v>
      </c>
      <c r="L89" s="516">
        <f>I89*'Standard values'!$D$10+J89*'Standard values'!$D$11+K89*'Standard values'!$D$12</f>
        <v>6.529481765397402</v>
      </c>
      <c r="M89" s="379"/>
      <c r="N89" s="1201">
        <f>+L89/E$76</f>
        <v>230.44047953571757</v>
      </c>
      <c r="O89" s="379"/>
    </row>
    <row r="90" spans="1:15" x14ac:dyDescent="0.2">
      <c r="A90" s="503"/>
      <c r="B90" s="682"/>
      <c r="C90" s="499"/>
      <c r="D90" s="499"/>
      <c r="E90" s="503"/>
      <c r="F90" s="495"/>
      <c r="G90" s="495"/>
      <c r="H90" s="495"/>
      <c r="I90" s="495"/>
      <c r="J90" s="495"/>
      <c r="K90" s="495"/>
      <c r="L90" s="541"/>
      <c r="M90" s="379"/>
      <c r="N90" s="1203"/>
      <c r="O90" s="379"/>
    </row>
    <row r="91" spans="1:15" ht="14.25" x14ac:dyDescent="0.25">
      <c r="A91" s="519"/>
      <c r="B91" s="520"/>
      <c r="C91" s="520"/>
      <c r="D91" s="520"/>
      <c r="E91" s="519"/>
      <c r="F91" s="521"/>
      <c r="G91" s="521"/>
      <c r="H91" s="521" t="s">
        <v>534</v>
      </c>
      <c r="I91" s="520"/>
      <c r="J91" s="523" t="s">
        <v>747</v>
      </c>
      <c r="K91" s="549"/>
      <c r="L91" s="525">
        <f>N89*E$76</f>
        <v>6.529481765397402</v>
      </c>
      <c r="M91" s="379"/>
      <c r="N91" s="390"/>
      <c r="O91" s="379"/>
    </row>
    <row r="92" spans="1:15" x14ac:dyDescent="0.2">
      <c r="A92" s="390"/>
      <c r="B92" s="390"/>
      <c r="C92" s="390"/>
      <c r="D92" s="390"/>
      <c r="E92" s="390"/>
      <c r="F92" s="376"/>
      <c r="G92" s="376"/>
      <c r="H92" s="376"/>
      <c r="I92" s="390"/>
      <c r="J92" s="550"/>
      <c r="K92" s="551"/>
      <c r="L92" s="585"/>
      <c r="M92" s="379"/>
      <c r="N92" s="390"/>
      <c r="O92" s="390"/>
    </row>
    <row r="93" spans="1:15" x14ac:dyDescent="0.2">
      <c r="A93" s="390"/>
      <c r="B93" s="390"/>
      <c r="C93" s="390"/>
      <c r="D93" s="390"/>
      <c r="E93" s="390"/>
      <c r="F93" s="376"/>
      <c r="G93" s="376"/>
      <c r="H93" s="376"/>
      <c r="I93" s="390"/>
      <c r="J93" s="550"/>
      <c r="K93" s="551"/>
      <c r="L93" s="585"/>
      <c r="M93" s="379"/>
      <c r="N93" s="390"/>
      <c r="O93" s="390"/>
    </row>
    <row r="94" spans="1:15" ht="15.75" x14ac:dyDescent="0.25">
      <c r="A94" s="530" t="s">
        <v>1057</v>
      </c>
      <c r="B94" s="531"/>
      <c r="C94" s="531"/>
      <c r="D94" s="531"/>
      <c r="E94" s="608" t="s">
        <v>526</v>
      </c>
      <c r="F94" s="606"/>
      <c r="G94" s="606"/>
      <c r="H94" s="606"/>
      <c r="I94" s="607"/>
      <c r="J94" s="608" t="s">
        <v>747</v>
      </c>
      <c r="K94" s="607"/>
      <c r="L94" s="609">
        <f>L48+L59+L69+L91</f>
        <v>56.169260408083346</v>
      </c>
      <c r="M94" s="379"/>
      <c r="N94" s="390"/>
      <c r="O94" s="390"/>
    </row>
    <row r="95" spans="1:15" ht="15.75" x14ac:dyDescent="0.25">
      <c r="A95" s="610" t="s">
        <v>937</v>
      </c>
      <c r="B95" s="611"/>
      <c r="C95" s="611"/>
      <c r="D95" s="611"/>
      <c r="E95" s="613"/>
      <c r="F95" s="613"/>
      <c r="G95" s="613"/>
      <c r="H95" s="613"/>
      <c r="I95" s="613"/>
      <c r="J95" s="613"/>
      <c r="K95" s="613"/>
      <c r="L95" s="614"/>
      <c r="M95" s="379"/>
      <c r="N95" s="535" t="s">
        <v>162</v>
      </c>
      <c r="O95" s="390"/>
    </row>
    <row r="96" spans="1:15" ht="15.75" x14ac:dyDescent="0.3">
      <c r="A96" s="567"/>
      <c r="B96" s="568"/>
      <c r="C96" s="568"/>
      <c r="D96" s="683"/>
      <c r="E96" s="683"/>
      <c r="F96" s="683"/>
      <c r="G96" s="683"/>
      <c r="H96" s="683" t="s">
        <v>667</v>
      </c>
      <c r="I96" s="684">
        <f>L94</f>
        <v>56.169260408083346</v>
      </c>
      <c r="J96" s="568" t="s">
        <v>321</v>
      </c>
      <c r="K96" s="568"/>
      <c r="L96" s="685"/>
      <c r="M96" s="379"/>
      <c r="N96" s="554" t="s">
        <v>588</v>
      </c>
      <c r="O96" s="390"/>
    </row>
    <row r="97" spans="1:15" ht="15.75" x14ac:dyDescent="0.3">
      <c r="A97" s="567"/>
      <c r="B97" s="568" t="s">
        <v>51</v>
      </c>
      <c r="C97" s="568" t="s">
        <v>640</v>
      </c>
      <c r="D97" s="568"/>
      <c r="E97" s="683" t="s">
        <v>659</v>
      </c>
      <c r="F97" s="686">
        <v>1</v>
      </c>
      <c r="G97" s="686"/>
      <c r="H97" s="568" t="s">
        <v>501</v>
      </c>
      <c r="I97" s="574">
        <f>$I$96*F97/F$99</f>
        <v>34.403789982769915</v>
      </c>
      <c r="J97" s="568" t="s">
        <v>321</v>
      </c>
      <c r="K97" s="568"/>
      <c r="L97" s="685"/>
      <c r="M97" s="379"/>
      <c r="N97" s="540" t="s">
        <v>1056</v>
      </c>
      <c r="O97" s="390"/>
    </row>
    <row r="98" spans="1:15" ht="15.75" x14ac:dyDescent="0.3">
      <c r="A98" s="567"/>
      <c r="B98" s="568" t="s">
        <v>123</v>
      </c>
      <c r="C98" s="568" t="s">
        <v>658</v>
      </c>
      <c r="D98" s="568"/>
      <c r="E98" s="683" t="s">
        <v>134</v>
      </c>
      <c r="F98" s="686">
        <f>C75/C74</f>
        <v>0.63264746227709201</v>
      </c>
      <c r="G98" s="686"/>
      <c r="H98" s="568" t="s">
        <v>501</v>
      </c>
      <c r="I98" s="574">
        <f>$I$96*F98/F$99</f>
        <v>21.765470425313428</v>
      </c>
      <c r="J98" s="568" t="s">
        <v>321</v>
      </c>
      <c r="K98" s="568"/>
      <c r="L98" s="685"/>
      <c r="M98" s="379"/>
      <c r="N98" s="541"/>
      <c r="O98" s="390"/>
    </row>
    <row r="99" spans="1:15" x14ac:dyDescent="0.2">
      <c r="A99" s="567"/>
      <c r="B99" s="568"/>
      <c r="C99" s="568"/>
      <c r="D99" s="568"/>
      <c r="E99" s="568" t="s">
        <v>533</v>
      </c>
      <c r="F99" s="686">
        <f>SUM(F97:F98)</f>
        <v>1.6326474622770921</v>
      </c>
      <c r="G99" s="686"/>
      <c r="H99" s="568" t="s">
        <v>501</v>
      </c>
      <c r="I99" s="568"/>
      <c r="J99" s="568"/>
      <c r="K99" s="568"/>
      <c r="L99" s="685"/>
      <c r="M99" s="379"/>
      <c r="N99" s="541"/>
      <c r="O99" s="390"/>
    </row>
    <row r="100" spans="1:15" ht="14.25" x14ac:dyDescent="0.25">
      <c r="A100" s="519"/>
      <c r="B100" s="520"/>
      <c r="C100" s="520"/>
      <c r="D100" s="520"/>
      <c r="E100" s="523" t="s">
        <v>1058</v>
      </c>
      <c r="F100" s="521"/>
      <c r="G100" s="521"/>
      <c r="H100" s="687"/>
      <c r="I100" s="520"/>
      <c r="J100" s="523" t="s">
        <v>747</v>
      </c>
      <c r="K100" s="687"/>
      <c r="L100" s="525">
        <f>I97</f>
        <v>34.403789982769915</v>
      </c>
      <c r="M100" s="379"/>
      <c r="N100" s="545">
        <f>L100/$E$76</f>
        <v>1214.1891418534492</v>
      </c>
      <c r="O100" s="379"/>
    </row>
    <row r="101" spans="1:15" x14ac:dyDescent="0.2">
      <c r="A101" s="390"/>
      <c r="B101" s="390"/>
      <c r="C101" s="390"/>
      <c r="D101" s="379"/>
      <c r="E101" s="379"/>
      <c r="F101" s="551"/>
      <c r="G101" s="551"/>
      <c r="H101" s="437"/>
      <c r="I101" s="378"/>
      <c r="J101" s="379"/>
      <c r="K101" s="379"/>
      <c r="L101" s="586"/>
      <c r="M101" s="379"/>
      <c r="O101" s="379"/>
    </row>
    <row r="102" spans="1:15" x14ac:dyDescent="0.2">
      <c r="A102" s="390"/>
      <c r="B102" s="390"/>
      <c r="C102" s="390"/>
      <c r="D102" s="379"/>
      <c r="E102" s="379"/>
      <c r="F102" s="551"/>
      <c r="G102" s="551"/>
      <c r="H102" s="437"/>
      <c r="I102" s="378"/>
      <c r="J102" s="379"/>
      <c r="K102" s="379"/>
      <c r="L102" s="586"/>
      <c r="M102" s="379"/>
      <c r="O102" s="379"/>
    </row>
    <row r="103" spans="1:15" ht="15.75" x14ac:dyDescent="0.25">
      <c r="A103" s="530" t="s">
        <v>1208</v>
      </c>
      <c r="B103" s="531"/>
      <c r="C103" s="531"/>
      <c r="D103" s="531"/>
      <c r="E103" s="530" t="s">
        <v>513</v>
      </c>
      <c r="F103" s="532"/>
      <c r="G103" s="532"/>
      <c r="H103" s="531"/>
      <c r="I103" s="532" t="s">
        <v>532</v>
      </c>
      <c r="J103" s="533"/>
      <c r="K103" s="533"/>
      <c r="L103" s="534"/>
      <c r="M103" s="379"/>
      <c r="N103" s="535" t="s">
        <v>162</v>
      </c>
      <c r="O103" s="390"/>
    </row>
    <row r="104" spans="1:15" ht="15.75" x14ac:dyDescent="0.3">
      <c r="A104" s="503"/>
      <c r="B104" s="511" t="s">
        <v>1039</v>
      </c>
      <c r="C104" s="593">
        <v>1</v>
      </c>
      <c r="D104" s="495" t="s">
        <v>645</v>
      </c>
      <c r="E104" s="553">
        <f>E74*C104</f>
        <v>44861.47464487439</v>
      </c>
      <c r="F104" s="499" t="s">
        <v>654</v>
      </c>
      <c r="G104" s="499"/>
      <c r="H104" s="495"/>
      <c r="I104" s="492" t="s">
        <v>746</v>
      </c>
      <c r="J104" s="514"/>
      <c r="K104" s="514"/>
      <c r="L104" s="537"/>
      <c r="M104" s="379"/>
      <c r="N104" s="554" t="s">
        <v>588</v>
      </c>
      <c r="O104" s="390"/>
    </row>
    <row r="105" spans="1:15" ht="15.75" x14ac:dyDescent="0.3">
      <c r="A105" s="503"/>
      <c r="B105" s="495"/>
      <c r="C105" s="495"/>
      <c r="D105" s="495"/>
      <c r="E105" s="505">
        <f>E75*C104</f>
        <v>0.6064377232547653</v>
      </c>
      <c r="F105" s="506" t="s">
        <v>740</v>
      </c>
      <c r="G105" s="506"/>
      <c r="H105" s="495"/>
      <c r="I105" s="539" t="s">
        <v>1053</v>
      </c>
      <c r="J105" s="539" t="s">
        <v>1054</v>
      </c>
      <c r="K105" s="539" t="s">
        <v>1055</v>
      </c>
      <c r="L105" s="540" t="s">
        <v>1056</v>
      </c>
      <c r="M105" s="379"/>
      <c r="N105" s="540" t="s">
        <v>1056</v>
      </c>
      <c r="O105" s="390"/>
    </row>
    <row r="106" spans="1:15" x14ac:dyDescent="0.2">
      <c r="A106" s="503"/>
      <c r="B106" s="511" t="s">
        <v>498</v>
      </c>
      <c r="C106" s="495"/>
      <c r="D106" s="495"/>
      <c r="E106" s="505"/>
      <c r="F106" s="506"/>
      <c r="G106" s="506"/>
      <c r="H106" s="495"/>
      <c r="I106" s="539"/>
      <c r="J106" s="539"/>
      <c r="K106" s="539"/>
      <c r="L106" s="540"/>
      <c r="M106" s="379"/>
      <c r="N106" s="541"/>
      <c r="O106" s="390"/>
    </row>
    <row r="107" spans="1:15" ht="15.75" x14ac:dyDescent="0.3">
      <c r="A107" s="503"/>
      <c r="B107" s="495" t="s">
        <v>159</v>
      </c>
      <c r="C107" s="595">
        <v>0</v>
      </c>
      <c r="D107" s="495" t="s">
        <v>510</v>
      </c>
      <c r="E107" s="543">
        <f>(C107*E105)/(VLOOKUP($B104,'Standard values'!$C$9:$S$162,14, FALSE))/1000</f>
        <v>0</v>
      </c>
      <c r="F107" s="495" t="s">
        <v>244</v>
      </c>
      <c r="G107" s="495"/>
      <c r="H107" s="495"/>
      <c r="I107" s="544">
        <f>$E107*VLOOKUP($B107,'Standard values'!$C$9:$S$162,15, FALSE)*VLOOKUP(C108,'Standard values'!$C$9:$S$162,7, FALSE)/$E$249</f>
        <v>0</v>
      </c>
      <c r="J107" s="544">
        <f>$E107*((VLOOKUP($B107,'Standard values'!$C$9:$S$162,15, FALSE)*VLOOKUP(C108,'Standard values'!$C$9:$S$162,8, FALSE))+VLOOKUP($B107,'Standard values'!$C$9:$S$162,16, FALSE))/$E$249</f>
        <v>0</v>
      </c>
      <c r="K107" s="544">
        <f>$E107*((VLOOKUP($B107,'Standard values'!$C$9:$S$162,15, FALSE)*VLOOKUP(C108,'Standard values'!$C$9:$S$162,9, FALSE))+VLOOKUP($B107,'Standard values'!$C$9:$S$162,17, FALSE))/$E$249</f>
        <v>0</v>
      </c>
      <c r="L107" s="516">
        <f>I107*'Standard values'!$D$10+J107*'Standard values'!$D$11+K107*'Standard values'!$D$12</f>
        <v>0</v>
      </c>
      <c r="M107" s="379"/>
      <c r="N107" s="545">
        <f>L107/$E$76</f>
        <v>0</v>
      </c>
      <c r="O107" s="390"/>
    </row>
    <row r="108" spans="1:15" x14ac:dyDescent="0.2">
      <c r="A108" s="503"/>
      <c r="B108" s="546" t="s">
        <v>54</v>
      </c>
      <c r="C108" s="673" t="s">
        <v>509</v>
      </c>
      <c r="D108" s="495"/>
      <c r="E108" s="543"/>
      <c r="F108" s="495"/>
      <c r="G108" s="495"/>
      <c r="H108" s="495"/>
      <c r="I108" s="544"/>
      <c r="J108" s="544"/>
      <c r="K108" s="544"/>
      <c r="L108" s="516"/>
      <c r="M108" s="379"/>
      <c r="N108" s="390"/>
      <c r="O108" s="390"/>
    </row>
    <row r="109" spans="1:15" x14ac:dyDescent="0.2">
      <c r="A109" s="503"/>
      <c r="B109" s="495"/>
      <c r="C109" s="495"/>
      <c r="D109" s="495"/>
      <c r="E109" s="503"/>
      <c r="F109" s="495"/>
      <c r="G109" s="495"/>
      <c r="H109" s="548"/>
      <c r="I109" s="544"/>
      <c r="J109" s="544"/>
      <c r="K109" s="544"/>
      <c r="L109" s="516"/>
      <c r="M109" s="379"/>
      <c r="N109" s="390"/>
      <c r="O109" s="390"/>
    </row>
    <row r="110" spans="1:15" ht="14.25" x14ac:dyDescent="0.25">
      <c r="A110" s="519"/>
      <c r="B110" s="520"/>
      <c r="C110" s="520"/>
      <c r="D110" s="520"/>
      <c r="E110" s="519"/>
      <c r="F110" s="521"/>
      <c r="G110" s="521"/>
      <c r="H110" s="521" t="s">
        <v>534</v>
      </c>
      <c r="I110" s="520"/>
      <c r="J110" s="523" t="s">
        <v>747</v>
      </c>
      <c r="K110" s="549"/>
      <c r="L110" s="525">
        <f>L107</f>
        <v>0</v>
      </c>
      <c r="M110" s="379"/>
      <c r="N110" s="390"/>
      <c r="O110" s="390"/>
    </row>
    <row r="111" spans="1:15" x14ac:dyDescent="0.2">
      <c r="A111" s="390"/>
      <c r="B111" s="390"/>
      <c r="C111" s="390"/>
      <c r="D111" s="379"/>
      <c r="E111" s="379"/>
      <c r="F111" s="551"/>
      <c r="G111" s="551"/>
      <c r="H111" s="437"/>
      <c r="I111" s="378"/>
      <c r="J111" s="379"/>
      <c r="K111" s="379"/>
      <c r="L111" s="586"/>
      <c r="M111" s="379"/>
      <c r="O111" s="379"/>
    </row>
    <row r="112" spans="1:15" x14ac:dyDescent="0.2">
      <c r="A112" s="390"/>
      <c r="B112" s="390"/>
      <c r="C112" s="390"/>
      <c r="D112" s="379"/>
      <c r="E112" s="379"/>
      <c r="F112" s="551"/>
      <c r="G112" s="551"/>
      <c r="H112" s="437"/>
      <c r="I112" s="378"/>
      <c r="J112" s="379"/>
      <c r="K112" s="379"/>
      <c r="L112" s="586"/>
      <c r="M112" s="379"/>
      <c r="N112" s="379"/>
      <c r="O112" s="379"/>
    </row>
    <row r="113" spans="1:15" ht="15.75" x14ac:dyDescent="0.25">
      <c r="A113" s="530" t="s">
        <v>642</v>
      </c>
      <c r="B113" s="531"/>
      <c r="C113" s="531"/>
      <c r="D113" s="531"/>
      <c r="E113" s="530" t="s">
        <v>513</v>
      </c>
      <c r="F113" s="532"/>
      <c r="G113" s="532"/>
      <c r="H113" s="531"/>
      <c r="I113" s="532" t="s">
        <v>532</v>
      </c>
      <c r="J113" s="533"/>
      <c r="K113" s="533"/>
      <c r="L113" s="534"/>
      <c r="M113" s="379"/>
      <c r="N113" s="535" t="s">
        <v>162</v>
      </c>
      <c r="O113" s="379"/>
    </row>
    <row r="114" spans="1:15" x14ac:dyDescent="0.2">
      <c r="A114" s="503"/>
      <c r="B114" s="511" t="s">
        <v>524</v>
      </c>
      <c r="C114" s="495"/>
      <c r="D114" s="495"/>
      <c r="E114" s="553"/>
      <c r="F114" s="499"/>
      <c r="G114" s="499"/>
      <c r="H114" s="495"/>
      <c r="I114" s="492" t="s">
        <v>746</v>
      </c>
      <c r="J114" s="514"/>
      <c r="K114" s="514"/>
      <c r="L114" s="537"/>
      <c r="M114" s="379"/>
      <c r="N114" s="554" t="s">
        <v>541</v>
      </c>
      <c r="O114" s="379"/>
    </row>
    <row r="115" spans="1:15" ht="15.75" x14ac:dyDescent="0.3">
      <c r="A115" s="503"/>
      <c r="B115" s="495" t="s">
        <v>640</v>
      </c>
      <c r="C115" s="593">
        <v>0.96</v>
      </c>
      <c r="D115" s="495" t="s">
        <v>645</v>
      </c>
      <c r="E115" s="553">
        <f>E104*C115</f>
        <v>43067.015659079414</v>
      </c>
      <c r="F115" s="499" t="s">
        <v>654</v>
      </c>
      <c r="G115" s="499"/>
      <c r="H115" s="495"/>
      <c r="I115" s="539" t="s">
        <v>1053</v>
      </c>
      <c r="J115" s="539" t="s">
        <v>1054</v>
      </c>
      <c r="K115" s="539" t="s">
        <v>1055</v>
      </c>
      <c r="L115" s="540" t="s">
        <v>1056</v>
      </c>
      <c r="M115" s="379"/>
      <c r="N115" s="540" t="s">
        <v>1056</v>
      </c>
      <c r="O115" s="379"/>
    </row>
    <row r="116" spans="1:15" ht="15.75" x14ac:dyDescent="0.3">
      <c r="A116" s="563"/>
      <c r="B116" s="506"/>
      <c r="C116" s="564"/>
      <c r="D116" s="506"/>
      <c r="E116" s="505">
        <f>E105*C115</f>
        <v>0.58218021432457467</v>
      </c>
      <c r="F116" s="506" t="s">
        <v>740</v>
      </c>
      <c r="G116" s="506"/>
      <c r="H116" s="495"/>
      <c r="I116" s="495"/>
      <c r="J116" s="495"/>
      <c r="K116" s="495"/>
      <c r="L116" s="541"/>
      <c r="M116" s="379"/>
      <c r="N116" s="541"/>
      <c r="O116" s="379"/>
    </row>
    <row r="117" spans="1:15" ht="15.75" x14ac:dyDescent="0.3">
      <c r="A117" s="563"/>
      <c r="B117" s="511" t="s">
        <v>525</v>
      </c>
      <c r="C117" s="564"/>
      <c r="D117" s="506"/>
      <c r="E117" s="557">
        <f>E115/$E$248/VLOOKUP($B74,'Standard values'!$C$9:$S$162,14, FALSE)</f>
        <v>2.7201394943330424E-2</v>
      </c>
      <c r="F117" s="499" t="s">
        <v>542</v>
      </c>
      <c r="G117" s="499"/>
      <c r="H117" s="495"/>
      <c r="I117" s="495"/>
      <c r="J117" s="495"/>
      <c r="K117" s="495"/>
      <c r="L117" s="541"/>
      <c r="M117" s="379"/>
      <c r="N117" s="541"/>
      <c r="O117" s="379"/>
    </row>
    <row r="118" spans="1:15" ht="15.75" x14ac:dyDescent="0.3">
      <c r="A118" s="503"/>
      <c r="B118" s="1301" t="s">
        <v>50</v>
      </c>
      <c r="C118" s="676">
        <f>1.4*0.0006</f>
        <v>8.3999999999999993E-4</v>
      </c>
      <c r="D118" s="495" t="s">
        <v>644</v>
      </c>
      <c r="E118" s="513"/>
      <c r="F118" s="495"/>
      <c r="G118" s="495"/>
      <c r="H118" s="495"/>
      <c r="I118" s="544">
        <f>$C118*$E$116*VLOOKUP($B118,'Standard values'!$C$9:$S$162,7, FALSE)/$E$249</f>
        <v>0.10091108593548384</v>
      </c>
      <c r="J118" s="544">
        <f>$C118*$E$116*VLOOKUP($B118,'Standard values'!$C$9:$S$162,8, FALSE)/$E$249</f>
        <v>2.4608748387096768E-4</v>
      </c>
      <c r="K118" s="544">
        <f>$C118*$E$116*VLOOKUP($B118,'Standard values'!$C$9:$S$162,9, FALSE)/$E$249</f>
        <v>4.5558709677419341E-6</v>
      </c>
      <c r="L118" s="419">
        <f>I118*'Standard values'!$D$10+J118*'Standard values'!$D$11+K118*'Standard values'!$D$12</f>
        <v>0.10842092258064513</v>
      </c>
      <c r="M118" s="379"/>
      <c r="N118" s="562">
        <f>L118/$E$117</f>
        <v>3.985858916666666</v>
      </c>
      <c r="O118" s="379"/>
    </row>
    <row r="119" spans="1:15" ht="15.75" x14ac:dyDescent="0.3">
      <c r="A119" s="503"/>
      <c r="B119" s="495" t="s">
        <v>827</v>
      </c>
      <c r="C119" s="675">
        <f>1.4*0.00822222222222222</f>
        <v>1.1511111111111106E-2</v>
      </c>
      <c r="D119" s="495" t="s">
        <v>644</v>
      </c>
      <c r="E119" s="503"/>
      <c r="F119" s="495"/>
      <c r="G119" s="495"/>
      <c r="H119" s="495"/>
      <c r="I119" s="544"/>
      <c r="J119" s="544"/>
      <c r="K119" s="544"/>
      <c r="L119" s="419"/>
      <c r="M119" s="379"/>
      <c r="N119" s="562"/>
      <c r="O119" s="379"/>
    </row>
    <row r="120" spans="1:15" x14ac:dyDescent="0.2">
      <c r="A120" s="503"/>
      <c r="B120" s="571" t="s">
        <v>729</v>
      </c>
      <c r="C120" s="566"/>
      <c r="D120" s="566"/>
      <c r="E120" s="567"/>
      <c r="F120" s="568"/>
      <c r="G120" s="568"/>
      <c r="H120" s="568"/>
      <c r="I120" s="569" t="s">
        <v>830</v>
      </c>
      <c r="J120" s="568"/>
      <c r="K120" s="568"/>
      <c r="L120" s="570"/>
      <c r="M120" s="379"/>
      <c r="N120" s="562"/>
      <c r="O120" s="379"/>
    </row>
    <row r="121" spans="1:15" ht="15.75" x14ac:dyDescent="0.3">
      <c r="A121" s="503"/>
      <c r="B121" s="679" t="s">
        <v>826</v>
      </c>
      <c r="C121" s="573"/>
      <c r="D121" s="566"/>
      <c r="E121" s="567"/>
      <c r="F121" s="568"/>
      <c r="G121" s="568"/>
      <c r="H121" s="568"/>
      <c r="I121" s="574">
        <f>$C119*$E$116*VLOOKUP($B121,'Standard values'!$C$9:$S$159,7, FALSE)/$E$249</f>
        <v>0</v>
      </c>
      <c r="J121" s="574">
        <f>$C119*$E$116*VLOOKUP($B121,'Standard values'!$C$9:$S$159,8, FALSE)/$E$249</f>
        <v>3.2181600955794489E-5</v>
      </c>
      <c r="K121" s="574">
        <f>$C119*$E$116*VLOOKUP($B121,'Standard values'!$C$9:$S$159,9, FALSE)/$E$249</f>
        <v>1.2872640382317794E-5</v>
      </c>
      <c r="L121" s="575">
        <f>I121*'Standard values'!$D$10+J121*'Standard values'!$D$11+K121*'Standard values'!$D$12</f>
        <v>4.6405868578255653E-3</v>
      </c>
      <c r="M121" s="379"/>
      <c r="N121" s="562">
        <f>L121/$E$117</f>
        <v>0.17060106172839501</v>
      </c>
      <c r="O121" s="379"/>
    </row>
    <row r="122" spans="1:15" ht="14.25" x14ac:dyDescent="0.25">
      <c r="A122" s="503"/>
      <c r="B122" s="582" t="s">
        <v>828</v>
      </c>
      <c r="C122" s="536">
        <f>1/0.9</f>
        <v>1.1111111111111112</v>
      </c>
      <c r="D122" s="568" t="s">
        <v>419</v>
      </c>
      <c r="E122" s="567"/>
      <c r="F122" s="568"/>
      <c r="G122" s="568"/>
      <c r="H122" s="568"/>
      <c r="I122" s="574"/>
      <c r="J122" s="581"/>
      <c r="K122" s="581"/>
      <c r="L122" s="575"/>
      <c r="M122" s="379"/>
      <c r="N122" s="562"/>
      <c r="O122" s="379"/>
    </row>
    <row r="123" spans="1:15" ht="29.25" customHeight="1" x14ac:dyDescent="0.3">
      <c r="A123" s="503"/>
      <c r="B123" s="680" t="s">
        <v>158</v>
      </c>
      <c r="C123" s="573">
        <f>C122*C119</f>
        <v>1.2790123456790118E-2</v>
      </c>
      <c r="D123" s="568" t="s">
        <v>644</v>
      </c>
      <c r="E123" s="567"/>
      <c r="F123" s="568"/>
      <c r="G123" s="568"/>
      <c r="H123" s="568"/>
      <c r="I123" s="574">
        <f>$C123*$E$116*VLOOKUP($B123,'Standard values'!$C$9:$S$162,7, FALSE)/$E$249</f>
        <v>0.81051292903225769</v>
      </c>
      <c r="J123" s="574">
        <f>$C123*$E$116*VLOOKUP($B123,'Standard values'!$C$9:$S$162,8, FALSE)/$E$249</f>
        <v>2.55057066241869E-3</v>
      </c>
      <c r="K123" s="574">
        <f>$C123*$E$116*VLOOKUP($B123,'Standard values'!$C$9:$S$162,9, FALSE)/$E$249</f>
        <v>2.8605867516261772E-6</v>
      </c>
      <c r="L123" s="575">
        <f>I123*'Standard values'!$D$10+J123*'Standard values'!$D$11+K123*'Standard values'!$D$12</f>
        <v>0.87512965044470958</v>
      </c>
      <c r="M123" s="379"/>
      <c r="N123" s="562">
        <f>L123/$E$117</f>
        <v>32.172234264746216</v>
      </c>
      <c r="O123" s="379"/>
    </row>
    <row r="124" spans="1:15" ht="14.25" x14ac:dyDescent="0.25">
      <c r="A124" s="503"/>
      <c r="B124" s="582" t="s">
        <v>829</v>
      </c>
      <c r="C124" s="536">
        <v>0.02</v>
      </c>
      <c r="D124" s="568" t="s">
        <v>419</v>
      </c>
      <c r="E124" s="567"/>
      <c r="F124" s="568"/>
      <c r="G124" s="568"/>
      <c r="H124" s="568"/>
      <c r="I124" s="574"/>
      <c r="J124" s="581"/>
      <c r="K124" s="581"/>
      <c r="L124" s="575"/>
      <c r="M124" s="379"/>
      <c r="N124" s="562"/>
      <c r="O124" s="379"/>
    </row>
    <row r="125" spans="1:15" ht="15.75" x14ac:dyDescent="0.3">
      <c r="A125" s="503"/>
      <c r="B125" s="1301" t="s">
        <v>50</v>
      </c>
      <c r="C125" s="573">
        <f>C124*C119</f>
        <v>2.3022222222222213E-4</v>
      </c>
      <c r="D125" s="568" t="s">
        <v>644</v>
      </c>
      <c r="E125" s="567"/>
      <c r="F125" s="568"/>
      <c r="G125" s="568"/>
      <c r="H125" s="568"/>
      <c r="I125" s="574">
        <f>$C125*$E$116*VLOOKUP($B125,'Standard values'!$C$9:$S$162,7, FALSE)/$E$249</f>
        <v>2.7657112441577047E-2</v>
      </c>
      <c r="J125" s="574">
        <f>$C125*$E$116*VLOOKUP($B125,'Standard values'!$C$9:$S$162,8, FALSE)/$E$249</f>
        <v>6.7446199283154097E-5</v>
      </c>
      <c r="K125" s="574">
        <f>$C125*$E$116*VLOOKUP($B125,'Standard values'!$C$9:$S$162,9, FALSE)/$E$249</f>
        <v>1.2486461170848262E-6</v>
      </c>
      <c r="L125" s="575">
        <f>I125*'Standard values'!$D$10+J125*'Standard values'!$D$11+K125*'Standard values'!$D$12</f>
        <v>2.9715363966547177E-2</v>
      </c>
      <c r="M125" s="379"/>
      <c r="N125" s="562">
        <f>L125/$E$117</f>
        <v>1.0924205919753083</v>
      </c>
      <c r="O125" s="379"/>
    </row>
    <row r="126" spans="1:15" x14ac:dyDescent="0.2">
      <c r="A126" s="503"/>
      <c r="B126" s="495"/>
      <c r="C126" s="499"/>
      <c r="D126" s="495"/>
      <c r="E126" s="503"/>
      <c r="F126" s="495"/>
      <c r="G126" s="495"/>
      <c r="H126" s="495"/>
      <c r="I126" s="544"/>
      <c r="J126" s="544"/>
      <c r="K126" s="544"/>
      <c r="L126" s="419"/>
      <c r="M126" s="379"/>
      <c r="N126" s="562"/>
      <c r="O126" s="379"/>
    </row>
    <row r="127" spans="1:15" x14ac:dyDescent="0.2">
      <c r="A127" s="503"/>
      <c r="B127" s="511" t="s">
        <v>641</v>
      </c>
      <c r="C127" s="499"/>
      <c r="D127" s="495"/>
      <c r="E127" s="503"/>
      <c r="F127" s="495"/>
      <c r="G127" s="495"/>
      <c r="H127" s="495"/>
      <c r="I127" s="544"/>
      <c r="J127" s="544"/>
      <c r="K127" s="544"/>
      <c r="L127" s="419"/>
      <c r="M127" s="379"/>
      <c r="N127" s="562"/>
      <c r="O127" s="379"/>
    </row>
    <row r="128" spans="1:15" ht="15.75" x14ac:dyDescent="0.3">
      <c r="A128" s="503"/>
      <c r="B128" s="674" t="s">
        <v>142</v>
      </c>
      <c r="C128" s="675">
        <f>1.4*0.000166666666666667</f>
        <v>2.3333333333333379E-4</v>
      </c>
      <c r="D128" s="495" t="s">
        <v>646</v>
      </c>
      <c r="E128" s="503"/>
      <c r="F128" s="495"/>
      <c r="G128" s="495"/>
      <c r="H128" s="495"/>
      <c r="I128" s="544">
        <f>$C128*$E$116*VLOOKUP($B128,'Standard values'!$C$9:$S$162,3, FALSE)/$E$249</f>
        <v>4.6263225806451702E-2</v>
      </c>
      <c r="J128" s="544">
        <f>$C128*$E$116*VLOOKUP($B128,'Standard values'!$C$9:$S$162,4, FALSE)/$E$249</f>
        <v>8.7594838709677587E-6</v>
      </c>
      <c r="K128" s="544">
        <f>$C128*$E$116*VLOOKUP($B128,'Standard values'!$C$9:$S$162,5, FALSE)/$E$249</f>
        <v>1.4794838709677448E-6</v>
      </c>
      <c r="L128" s="419">
        <f>I128*'Standard values'!$D$10+J128*'Standard values'!$D$11+K128*'Standard values'!$D$12</f>
        <v>4.6923099096774286E-2</v>
      </c>
      <c r="M128" s="379"/>
      <c r="N128" s="562">
        <f>L128/$E$117</f>
        <v>1.7250254700000036</v>
      </c>
      <c r="O128" s="379"/>
    </row>
    <row r="129" spans="1:15" x14ac:dyDescent="0.2">
      <c r="A129" s="503"/>
      <c r="B129" s="682"/>
      <c r="C129" s="499"/>
      <c r="D129" s="499"/>
      <c r="E129" s="681"/>
      <c r="F129" s="495"/>
      <c r="G129" s="495"/>
      <c r="H129" s="514" t="s">
        <v>1047</v>
      </c>
      <c r="I129" s="583">
        <f>SUM(I116:I128)</f>
        <v>0.9853443532157703</v>
      </c>
      <c r="J129" s="583">
        <f>SUM(J116:J128)</f>
        <v>2.9050454303995743E-3</v>
      </c>
      <c r="K129" s="583">
        <f>SUM(K116:K128)</f>
        <v>2.3017228089738476E-5</v>
      </c>
      <c r="L129" s="516">
        <f>I129*'Standard values'!$D$10+J129*'Standard values'!$D$11+K129*'Standard values'!$D$12</f>
        <v>1.0648296229465017</v>
      </c>
      <c r="M129" s="379"/>
      <c r="N129" s="545">
        <f>L129/$E$117</f>
        <v>39.146140305116589</v>
      </c>
      <c r="O129" s="379"/>
    </row>
    <row r="130" spans="1:15" x14ac:dyDescent="0.2">
      <c r="A130" s="503"/>
      <c r="B130" s="682"/>
      <c r="C130" s="499"/>
      <c r="D130" s="499"/>
      <c r="E130" s="503"/>
      <c r="F130" s="495"/>
      <c r="G130" s="495"/>
      <c r="H130" s="495"/>
      <c r="I130" s="495"/>
      <c r="J130" s="495"/>
      <c r="K130" s="495"/>
      <c r="L130" s="541"/>
      <c r="M130" s="379"/>
      <c r="N130" s="390"/>
      <c r="O130" s="379"/>
    </row>
    <row r="131" spans="1:15" ht="14.25" x14ac:dyDescent="0.25">
      <c r="A131" s="519"/>
      <c r="B131" s="520"/>
      <c r="C131" s="520"/>
      <c r="D131" s="520"/>
      <c r="E131" s="519"/>
      <c r="F131" s="521"/>
      <c r="G131" s="521"/>
      <c r="H131" s="521" t="s">
        <v>534</v>
      </c>
      <c r="I131" s="520"/>
      <c r="J131" s="523" t="s">
        <v>747</v>
      </c>
      <c r="K131" s="549"/>
      <c r="L131" s="525">
        <f>L129</f>
        <v>1.0648296229465017</v>
      </c>
      <c r="M131" s="379"/>
      <c r="N131" s="390"/>
      <c r="O131" s="379"/>
    </row>
    <row r="132" spans="1:15" x14ac:dyDescent="0.2">
      <c r="A132" s="390"/>
      <c r="B132" s="390"/>
      <c r="C132" s="390"/>
      <c r="D132" s="379"/>
      <c r="E132" s="379"/>
      <c r="F132" s="551"/>
      <c r="G132" s="551"/>
      <c r="H132" s="437"/>
      <c r="I132" s="378"/>
      <c r="J132" s="379"/>
      <c r="K132" s="379"/>
      <c r="L132" s="586"/>
      <c r="M132" s="379"/>
      <c r="N132" s="379"/>
      <c r="O132" s="379"/>
    </row>
    <row r="133" spans="1:15" x14ac:dyDescent="0.2">
      <c r="A133" s="390"/>
      <c r="B133" s="390"/>
      <c r="C133" s="390"/>
      <c r="D133" s="390"/>
      <c r="E133" s="390"/>
      <c r="F133" s="390"/>
      <c r="G133" s="390"/>
      <c r="H133" s="390"/>
      <c r="I133" s="529"/>
      <c r="J133" s="529"/>
      <c r="K133" s="529"/>
      <c r="L133" s="529"/>
      <c r="M133" s="379"/>
      <c r="N133" s="390"/>
      <c r="O133" s="379"/>
    </row>
    <row r="134" spans="1:15" ht="15.75" x14ac:dyDescent="0.25">
      <c r="A134" s="530" t="s">
        <v>1209</v>
      </c>
      <c r="B134" s="531"/>
      <c r="C134" s="531"/>
      <c r="D134" s="531"/>
      <c r="E134" s="530" t="s">
        <v>513</v>
      </c>
      <c r="F134" s="532"/>
      <c r="G134" s="532"/>
      <c r="H134" s="531"/>
      <c r="I134" s="532" t="s">
        <v>532</v>
      </c>
      <c r="J134" s="533"/>
      <c r="K134" s="533"/>
      <c r="L134" s="534"/>
      <c r="M134" s="379"/>
      <c r="N134" s="535" t="s">
        <v>162</v>
      </c>
      <c r="O134" s="379"/>
    </row>
    <row r="135" spans="1:15" ht="15.75" x14ac:dyDescent="0.3">
      <c r="A135" s="503"/>
      <c r="B135" s="511" t="s">
        <v>1210</v>
      </c>
      <c r="C135" s="593">
        <v>1</v>
      </c>
      <c r="D135" s="495" t="s">
        <v>645</v>
      </c>
      <c r="E135" s="553">
        <f>E115*C135</f>
        <v>43067.015659079414</v>
      </c>
      <c r="F135" s="499" t="s">
        <v>654</v>
      </c>
      <c r="G135" s="499"/>
      <c r="H135" s="495"/>
      <c r="I135" s="492" t="s">
        <v>746</v>
      </c>
      <c r="J135" s="514"/>
      <c r="K135" s="514"/>
      <c r="L135" s="537"/>
      <c r="M135" s="379"/>
      <c r="N135" s="554" t="s">
        <v>541</v>
      </c>
      <c r="O135" s="379"/>
    </row>
    <row r="136" spans="1:15" ht="15.75" x14ac:dyDescent="0.3">
      <c r="A136" s="503"/>
      <c r="B136" s="495"/>
      <c r="C136" s="495"/>
      <c r="D136" s="495"/>
      <c r="E136" s="505">
        <f>E116*C135</f>
        <v>0.58218021432457467</v>
      </c>
      <c r="F136" s="506" t="s">
        <v>740</v>
      </c>
      <c r="G136" s="506"/>
      <c r="H136" s="495"/>
      <c r="I136" s="539" t="s">
        <v>1053</v>
      </c>
      <c r="J136" s="539" t="s">
        <v>1054</v>
      </c>
      <c r="K136" s="539" t="s">
        <v>1055</v>
      </c>
      <c r="L136" s="540" t="s">
        <v>1056</v>
      </c>
      <c r="M136" s="379"/>
      <c r="N136" s="540" t="s">
        <v>1056</v>
      </c>
      <c r="O136" s="379"/>
    </row>
    <row r="137" spans="1:15" x14ac:dyDescent="0.2">
      <c r="A137" s="503"/>
      <c r="B137" s="511" t="s">
        <v>498</v>
      </c>
      <c r="C137" s="495"/>
      <c r="D137" s="495"/>
      <c r="E137" s="505"/>
      <c r="F137" s="506"/>
      <c r="G137" s="506"/>
      <c r="H137" s="495"/>
      <c r="I137" s="539"/>
      <c r="J137" s="539"/>
      <c r="K137" s="539"/>
      <c r="L137" s="540"/>
      <c r="M137" s="379"/>
      <c r="N137" s="541"/>
      <c r="O137" s="379"/>
    </row>
    <row r="138" spans="1:15" ht="15.75" x14ac:dyDescent="0.3">
      <c r="A138" s="503"/>
      <c r="B138" s="495" t="s">
        <v>159</v>
      </c>
      <c r="C138" s="595">
        <v>0</v>
      </c>
      <c r="D138" s="495" t="s">
        <v>510</v>
      </c>
      <c r="E138" s="543">
        <f>(C138*E136)/(VLOOKUP($B135,'Standard values'!$C$9:$S$162,14, FALSE))/1000</f>
        <v>0</v>
      </c>
      <c r="F138" s="495" t="s">
        <v>244</v>
      </c>
      <c r="G138" s="495"/>
      <c r="H138" s="495"/>
      <c r="I138" s="544">
        <f>$E138*VLOOKUP($B138,'Standard values'!$C$9:$S$162,15, FALSE)*VLOOKUP(C139,'Standard values'!$C$9:$S$162,7, FALSE)/$E$249</f>
        <v>0</v>
      </c>
      <c r="J138" s="544">
        <f>$E138*((VLOOKUP($B138,'Standard values'!$C$9:$S$162,15, FALSE)*VLOOKUP(C139,'Standard values'!$C$9:$S$162,8, FALSE))+VLOOKUP($B138,'Standard values'!$C$9:$S$162,16, FALSE))/$E$249</f>
        <v>0</v>
      </c>
      <c r="K138" s="544">
        <f>$E138*((VLOOKUP($B138,'Standard values'!$C$9:$S$162,15, FALSE)*VLOOKUP(C139,'Standard values'!$C$9:$S$162,9, FALSE))+VLOOKUP($B138,'Standard values'!$C$9:$S$162,17, FALSE))/$E$249</f>
        <v>0</v>
      </c>
      <c r="L138" s="516">
        <f>I138*'Standard values'!$D$10+J138*'Standard values'!$D$11+K138*'Standard values'!$D$12</f>
        <v>0</v>
      </c>
      <c r="M138" s="379"/>
      <c r="N138" s="545">
        <f>L138/$E$117</f>
        <v>0</v>
      </c>
      <c r="O138" s="379"/>
    </row>
    <row r="139" spans="1:15" x14ac:dyDescent="0.2">
      <c r="A139" s="503"/>
      <c r="B139" s="546" t="s">
        <v>54</v>
      </c>
      <c r="C139" s="673" t="s">
        <v>509</v>
      </c>
      <c r="D139" s="495"/>
      <c r="E139" s="543"/>
      <c r="F139" s="495"/>
      <c r="G139" s="495"/>
      <c r="H139" s="495"/>
      <c r="I139" s="544"/>
      <c r="J139" s="544"/>
      <c r="K139" s="544"/>
      <c r="L139" s="516"/>
      <c r="M139" s="379"/>
      <c r="N139" s="390"/>
      <c r="O139" s="379"/>
    </row>
    <row r="140" spans="1:15" x14ac:dyDescent="0.2">
      <c r="A140" s="503"/>
      <c r="B140" s="495"/>
      <c r="C140" s="495"/>
      <c r="D140" s="495"/>
      <c r="E140" s="503"/>
      <c r="F140" s="495"/>
      <c r="G140" s="495"/>
      <c r="H140" s="548"/>
      <c r="I140" s="544"/>
      <c r="J140" s="544"/>
      <c r="K140" s="544"/>
      <c r="L140" s="516"/>
      <c r="M140" s="379"/>
      <c r="N140" s="390"/>
      <c r="O140" s="379"/>
    </row>
    <row r="141" spans="1:15" ht="14.25" x14ac:dyDescent="0.25">
      <c r="A141" s="519"/>
      <c r="B141" s="520"/>
      <c r="C141" s="520"/>
      <c r="D141" s="520"/>
      <c r="E141" s="519"/>
      <c r="F141" s="521"/>
      <c r="G141" s="521"/>
      <c r="H141" s="521" t="s">
        <v>534</v>
      </c>
      <c r="I141" s="520"/>
      <c r="J141" s="523" t="s">
        <v>747</v>
      </c>
      <c r="K141" s="549"/>
      <c r="L141" s="525">
        <f>L138</f>
        <v>0</v>
      </c>
      <c r="M141" s="379"/>
      <c r="N141" s="390"/>
      <c r="O141" s="379"/>
    </row>
    <row r="142" spans="1:15" x14ac:dyDescent="0.2">
      <c r="A142" s="390"/>
      <c r="B142" s="390"/>
      <c r="C142" s="390"/>
      <c r="D142" s="390"/>
      <c r="E142" s="390"/>
      <c r="F142" s="376"/>
      <c r="G142" s="376"/>
      <c r="H142" s="376"/>
      <c r="I142" s="390"/>
      <c r="J142" s="550"/>
      <c r="K142" s="551"/>
      <c r="L142" s="552"/>
      <c r="M142" s="379"/>
      <c r="N142" s="379"/>
      <c r="O142" s="379"/>
    </row>
    <row r="143" spans="1:15" x14ac:dyDescent="0.2">
      <c r="A143" s="390"/>
      <c r="B143" s="390"/>
      <c r="C143" s="390"/>
      <c r="D143" s="379"/>
      <c r="E143" s="379"/>
      <c r="F143" s="551"/>
      <c r="G143" s="551"/>
      <c r="H143" s="437"/>
      <c r="I143" s="378"/>
      <c r="J143" s="379"/>
      <c r="K143" s="379"/>
      <c r="L143" s="586"/>
      <c r="M143" s="379"/>
      <c r="N143" s="379"/>
      <c r="O143" s="379"/>
    </row>
    <row r="144" spans="1:15" ht="15.75" x14ac:dyDescent="0.25">
      <c r="A144" s="530" t="s">
        <v>647</v>
      </c>
      <c r="B144" s="531"/>
      <c r="C144" s="531"/>
      <c r="D144" s="531"/>
      <c r="E144" s="530" t="s">
        <v>513</v>
      </c>
      <c r="F144" s="532"/>
      <c r="G144" s="532"/>
      <c r="H144" s="531"/>
      <c r="I144" s="532" t="s">
        <v>532</v>
      </c>
      <c r="J144" s="533"/>
      <c r="K144" s="533"/>
      <c r="L144" s="534"/>
      <c r="M144" s="379"/>
      <c r="N144" s="535" t="s">
        <v>162</v>
      </c>
      <c r="O144" s="379"/>
    </row>
    <row r="145" spans="1:15" x14ac:dyDescent="0.2">
      <c r="A145" s="503"/>
      <c r="B145" s="511" t="s">
        <v>524</v>
      </c>
      <c r="C145" s="495"/>
      <c r="D145" s="495"/>
      <c r="E145" s="553"/>
      <c r="F145" s="499"/>
      <c r="G145" s="499"/>
      <c r="H145" s="495"/>
      <c r="I145" s="492" t="s">
        <v>746</v>
      </c>
      <c r="J145" s="514"/>
      <c r="K145" s="514"/>
      <c r="L145" s="537"/>
      <c r="M145" s="379"/>
      <c r="N145" s="554" t="s">
        <v>977</v>
      </c>
      <c r="O145" s="379"/>
    </row>
    <row r="146" spans="1:15" ht="15.75" x14ac:dyDescent="0.3">
      <c r="A146" s="503"/>
      <c r="B146" s="495" t="s">
        <v>1094</v>
      </c>
      <c r="C146" s="675">
        <v>0.99358974358974361</v>
      </c>
      <c r="D146" s="495" t="s">
        <v>649</v>
      </c>
      <c r="E146" s="553">
        <f>E135*C146</f>
        <v>42790.945045880188</v>
      </c>
      <c r="F146" s="499" t="s">
        <v>655</v>
      </c>
      <c r="G146" s="499"/>
      <c r="H146" s="495"/>
      <c r="I146" s="539" t="s">
        <v>1053</v>
      </c>
      <c r="J146" s="539" t="s">
        <v>1054</v>
      </c>
      <c r="K146" s="539" t="s">
        <v>1055</v>
      </c>
      <c r="L146" s="540" t="s">
        <v>1056</v>
      </c>
      <c r="M146" s="379"/>
      <c r="N146" s="540" t="s">
        <v>1056</v>
      </c>
      <c r="O146" s="379"/>
    </row>
    <row r="147" spans="1:15" ht="15.75" x14ac:dyDescent="0.3">
      <c r="A147" s="563"/>
      <c r="B147" s="495" t="s">
        <v>128</v>
      </c>
      <c r="C147" s="664">
        <v>105.6</v>
      </c>
      <c r="D147" s="674" t="s">
        <v>650</v>
      </c>
      <c r="E147" s="505">
        <f>E136*C146</f>
        <v>0.57844828987377617</v>
      </c>
      <c r="F147" s="506" t="s">
        <v>740</v>
      </c>
      <c r="G147" s="506"/>
      <c r="H147" s="495"/>
      <c r="I147" s="495"/>
      <c r="J147" s="495"/>
      <c r="K147" s="495"/>
      <c r="L147" s="541"/>
      <c r="M147" s="379"/>
      <c r="N147" s="541"/>
      <c r="O147" s="379"/>
    </row>
    <row r="148" spans="1:15" ht="15.75" x14ac:dyDescent="0.3">
      <c r="A148" s="563"/>
      <c r="B148" s="506"/>
      <c r="C148" s="564"/>
      <c r="D148" s="506"/>
      <c r="E148" s="557">
        <f>E146/$E$248/VLOOKUP($B146,'Standard values'!$C$9:$S$162,14, FALSE)</f>
        <v>2.6881720430107524E-2</v>
      </c>
      <c r="F148" s="499" t="s">
        <v>543</v>
      </c>
      <c r="G148" s="499"/>
      <c r="H148" s="495"/>
      <c r="I148" s="495"/>
      <c r="J148" s="495"/>
      <c r="K148" s="495"/>
      <c r="L148" s="541"/>
      <c r="M148" s="379"/>
      <c r="N148" s="562"/>
      <c r="O148" s="379"/>
    </row>
    <row r="149" spans="1:15" x14ac:dyDescent="0.2">
      <c r="A149" s="503"/>
      <c r="B149" s="511" t="s">
        <v>525</v>
      </c>
      <c r="C149" s="564"/>
      <c r="D149" s="495"/>
      <c r="E149" s="513"/>
      <c r="F149" s="495"/>
      <c r="G149" s="495"/>
      <c r="H149" s="495"/>
      <c r="I149" s="495"/>
      <c r="J149" s="495"/>
      <c r="K149" s="495"/>
      <c r="L149" s="541"/>
      <c r="M149" s="379"/>
      <c r="N149" s="562"/>
      <c r="O149" s="379"/>
    </row>
    <row r="150" spans="1:15" ht="15.75" x14ac:dyDescent="0.3">
      <c r="A150" s="503"/>
      <c r="B150" s="1301" t="s">
        <v>50</v>
      </c>
      <c r="C150" s="676">
        <f>1.4*0.00290322580645161</f>
        <v>4.0645161290322543E-3</v>
      </c>
      <c r="D150" s="495" t="s">
        <v>651</v>
      </c>
      <c r="E150" s="503"/>
      <c r="F150" s="495"/>
      <c r="G150" s="495"/>
      <c r="H150" s="495"/>
      <c r="I150" s="544">
        <f>$C150*$E$147*VLOOKUP($B150,'Standard values'!$C$9:$S$162,7, FALSE)/$E$249</f>
        <v>0.48514945161290279</v>
      </c>
      <c r="J150" s="544">
        <f>$C150*$E$147*VLOOKUP($B150,'Standard values'!$C$9:$S$162,8, FALSE)/$E$249</f>
        <v>1.1831129032258056E-3</v>
      </c>
      <c r="K150" s="544">
        <f>$C150*$E$147*VLOOKUP($B150,'Standard values'!$C$9:$S$162,9, FALSE)/$E$249</f>
        <v>2.1903225806451598E-5</v>
      </c>
      <c r="L150" s="419">
        <f>I150*'Standard values'!$D$10+J150*'Standard values'!$D$11+K150*'Standard values'!$D$12</f>
        <v>0.52125443548387052</v>
      </c>
      <c r="M150" s="379"/>
      <c r="N150" s="562">
        <f>L150/$E$148</f>
        <v>19.390664999999984</v>
      </c>
      <c r="O150" s="379"/>
    </row>
    <row r="151" spans="1:15" ht="15.75" x14ac:dyDescent="0.3">
      <c r="A151" s="503"/>
      <c r="B151" s="495" t="s">
        <v>827</v>
      </c>
      <c r="C151" s="675">
        <f>1.4*0.0718477788639079</f>
        <v>0.10058689040947107</v>
      </c>
      <c r="D151" s="495" t="s">
        <v>651</v>
      </c>
      <c r="E151" s="503"/>
      <c r="F151" s="495"/>
      <c r="G151" s="495"/>
      <c r="H151" s="495"/>
      <c r="I151" s="544"/>
      <c r="J151" s="544"/>
      <c r="K151" s="544"/>
      <c r="L151" s="419"/>
      <c r="M151" s="379"/>
      <c r="N151" s="562"/>
      <c r="O151" s="379"/>
    </row>
    <row r="152" spans="1:15" x14ac:dyDescent="0.2">
      <c r="A152" s="503"/>
      <c r="B152" s="571" t="s">
        <v>729</v>
      </c>
      <c r="C152" s="566"/>
      <c r="D152" s="566"/>
      <c r="E152" s="567"/>
      <c r="F152" s="568"/>
      <c r="G152" s="568"/>
      <c r="H152" s="568"/>
      <c r="I152" s="569" t="s">
        <v>830</v>
      </c>
      <c r="J152" s="568"/>
      <c r="K152" s="568"/>
      <c r="L152" s="688"/>
      <c r="M152" s="379"/>
      <c r="N152" s="562"/>
      <c r="O152" s="379"/>
    </row>
    <row r="153" spans="1:15" ht="15.75" x14ac:dyDescent="0.3">
      <c r="A153" s="503"/>
      <c r="B153" s="679" t="s">
        <v>826</v>
      </c>
      <c r="C153" s="573"/>
      <c r="D153" s="566"/>
      <c r="E153" s="567"/>
      <c r="F153" s="568"/>
      <c r="G153" s="568"/>
      <c r="H153" s="568"/>
      <c r="I153" s="574">
        <f>$C151*$E$147*VLOOKUP($B153,'Standard values'!$C$9:$S$159,7, FALSE)/$E$249</f>
        <v>0</v>
      </c>
      <c r="J153" s="574">
        <f>$C151*$E$147*VLOOKUP($B153,'Standard values'!$C$9:$S$159,8, FALSE)/$E$249</f>
        <v>2.7940802891519742E-4</v>
      </c>
      <c r="K153" s="574">
        <f>$C151*$E$147*VLOOKUP($B153,'Standard values'!$C$9:$S$159,9, FALSE)/$E$249</f>
        <v>1.1176321156607898E-4</v>
      </c>
      <c r="L153" s="575">
        <f>I153*'Standard values'!$D$10+J153*'Standard values'!$D$11+K153*'Standard values'!$D$12</f>
        <v>4.0290637769571466E-2</v>
      </c>
      <c r="M153" s="379"/>
      <c r="N153" s="562">
        <f>L153/$E$148</f>
        <v>1.4988117250280588</v>
      </c>
      <c r="O153" s="379"/>
    </row>
    <row r="154" spans="1:15" ht="14.25" x14ac:dyDescent="0.25">
      <c r="A154" s="503"/>
      <c r="B154" s="582" t="s">
        <v>828</v>
      </c>
      <c r="C154" s="536">
        <f>1/0.9</f>
        <v>1.1111111111111112</v>
      </c>
      <c r="D154" s="568" t="s">
        <v>419</v>
      </c>
      <c r="E154" s="567"/>
      <c r="F154" s="568"/>
      <c r="G154" s="568"/>
      <c r="H154" s="568"/>
      <c r="I154" s="574"/>
      <c r="J154" s="581"/>
      <c r="K154" s="581"/>
      <c r="L154" s="575"/>
      <c r="M154" s="379"/>
      <c r="N154" s="562"/>
      <c r="O154" s="379"/>
    </row>
    <row r="155" spans="1:15" ht="29.25" customHeight="1" x14ac:dyDescent="0.3">
      <c r="A155" s="503"/>
      <c r="B155" s="680" t="s">
        <v>158</v>
      </c>
      <c r="C155" s="573">
        <f>C154*C151</f>
        <v>0.11176321156607896</v>
      </c>
      <c r="D155" s="568" t="s">
        <v>651</v>
      </c>
      <c r="E155" s="567"/>
      <c r="F155" s="568"/>
      <c r="G155" s="568"/>
      <c r="H155" s="568"/>
      <c r="I155" s="574">
        <f>$C155*$E$147*VLOOKUP($B155,'Standard values'!$C$9:$S$162,7, FALSE)/$E$249</f>
        <v>7.037058853046597</v>
      </c>
      <c r="J155" s="574">
        <f>$C155*$E$147*VLOOKUP($B155,'Standard values'!$C$9:$S$162,8, FALSE)/$E$249</f>
        <v>2.2144638558356702E-2</v>
      </c>
      <c r="K155" s="574">
        <f>$C155*$E$147*VLOOKUP($B155,'Standard values'!$C$9:$S$162,9, FALSE)/$E$249</f>
        <v>2.4836269236906442E-5</v>
      </c>
      <c r="L155" s="575">
        <f>I155*'Standard values'!$D$10+J155*'Standard values'!$D$11+K155*'Standard values'!$D$12</f>
        <v>7.5980760252381128</v>
      </c>
      <c r="M155" s="379"/>
      <c r="N155" s="562">
        <f t="shared" ref="N155:N165" si="3">L155/$E$148</f>
        <v>282.64842813885781</v>
      </c>
      <c r="O155" s="379"/>
    </row>
    <row r="156" spans="1:15" ht="14.25" x14ac:dyDescent="0.25">
      <c r="A156" s="503"/>
      <c r="B156" s="582" t="s">
        <v>829</v>
      </c>
      <c r="C156" s="536">
        <v>0.02</v>
      </c>
      <c r="D156" s="568" t="s">
        <v>419</v>
      </c>
      <c r="E156" s="567"/>
      <c r="F156" s="568"/>
      <c r="G156" s="568"/>
      <c r="H156" s="568"/>
      <c r="I156" s="574"/>
      <c r="J156" s="581"/>
      <c r="K156" s="581"/>
      <c r="L156" s="575"/>
      <c r="M156" s="379"/>
      <c r="N156" s="562"/>
      <c r="O156" s="379"/>
    </row>
    <row r="157" spans="1:15" ht="15.75" x14ac:dyDescent="0.3">
      <c r="A157" s="503"/>
      <c r="B157" s="1301" t="s">
        <v>50</v>
      </c>
      <c r="C157" s="573">
        <f>C156*C151</f>
        <v>2.0117378081894212E-3</v>
      </c>
      <c r="D157" s="568" t="s">
        <v>651</v>
      </c>
      <c r="E157" s="567"/>
      <c r="F157" s="568"/>
      <c r="G157" s="568"/>
      <c r="H157" s="568"/>
      <c r="I157" s="574">
        <f>$C157*$E$147*VLOOKUP($B157,'Standard values'!$C$9:$S$162,7, FALSE)/$E$249</f>
        <v>0.2401253835507404</v>
      </c>
      <c r="J157" s="574">
        <f>$C157*$E$147*VLOOKUP($B157,'Standard values'!$C$9:$S$162,8, FALSE)/$E$249</f>
        <v>5.8558334700047076E-4</v>
      </c>
      <c r="K157" s="574">
        <f>$C157*$E$147*VLOOKUP($B157,'Standard values'!$C$9:$S$162,9, FALSE)/$E$249</f>
        <v>1.084103152190966E-5</v>
      </c>
      <c r="L157" s="575">
        <f>I157*'Standard values'!$D$10+J157*'Standard values'!$D$11+K157*'Standard values'!$D$12</f>
        <v>0.25799559461928123</v>
      </c>
      <c r="M157" s="379"/>
      <c r="N157" s="562">
        <f t="shared" si="3"/>
        <v>9.5974361198372637</v>
      </c>
      <c r="O157" s="379"/>
    </row>
    <row r="158" spans="1:15" x14ac:dyDescent="0.2">
      <c r="A158" s="503"/>
      <c r="B158" s="495"/>
      <c r="C158" s="499"/>
      <c r="D158" s="495"/>
      <c r="E158" s="503"/>
      <c r="F158" s="495"/>
      <c r="G158" s="495"/>
      <c r="H158" s="495"/>
      <c r="I158" s="544"/>
      <c r="J158" s="544"/>
      <c r="K158" s="544"/>
      <c r="L158" s="419"/>
      <c r="M158" s="379"/>
      <c r="N158" s="562"/>
      <c r="O158" s="379"/>
    </row>
    <row r="159" spans="1:15" x14ac:dyDescent="0.2">
      <c r="A159" s="503"/>
      <c r="B159" s="511" t="s">
        <v>641</v>
      </c>
      <c r="C159" s="499"/>
      <c r="D159" s="495"/>
      <c r="E159" s="503"/>
      <c r="F159" s="495"/>
      <c r="G159" s="495"/>
      <c r="H159" s="495"/>
      <c r="I159" s="544"/>
      <c r="J159" s="544"/>
      <c r="K159" s="544"/>
      <c r="L159" s="419"/>
      <c r="M159" s="379"/>
      <c r="N159" s="562"/>
      <c r="O159" s="379"/>
    </row>
    <row r="160" spans="1:15" ht="15.75" x14ac:dyDescent="0.3">
      <c r="A160" s="503"/>
      <c r="B160" s="674" t="s">
        <v>241</v>
      </c>
      <c r="C160" s="738">
        <f>1.4*0.0000456989247311828</f>
        <v>6.3978494623655906E-5</v>
      </c>
      <c r="D160" s="495" t="s">
        <v>652</v>
      </c>
      <c r="E160" s="503"/>
      <c r="F160" s="495"/>
      <c r="G160" s="495"/>
      <c r="H160" s="495"/>
      <c r="I160" s="544">
        <f>$C160*$E$147*VLOOKUP($B160,'Standard values'!$C$9:$S$162,3, FALSE)/$E$249</f>
        <v>0.17760430107526878</v>
      </c>
      <c r="J160" s="544">
        <f>$C160*$E$147*VLOOKUP($B160,'Standard values'!$C$9:$S$162,4, FALSE)/$E$249</f>
        <v>5.7112322580645154E-4</v>
      </c>
      <c r="K160" s="544">
        <f>$C160*$E$147*VLOOKUP($B160,'Standard values'!$C$9:$S$162,5, FALSE)/$E$249</f>
        <v>6.5769892473118279E-6</v>
      </c>
      <c r="L160" s="419">
        <f>I160*'Standard values'!$D$10+J160*'Standard values'!$D$11+K160*'Standard values'!$D$12</f>
        <v>0.19384232451612898</v>
      </c>
      <c r="M160" s="379"/>
      <c r="N160" s="562">
        <f t="shared" si="3"/>
        <v>7.210934471999999</v>
      </c>
      <c r="O160" s="379"/>
    </row>
    <row r="161" spans="1:15" ht="15.75" x14ac:dyDescent="0.3">
      <c r="A161" s="503"/>
      <c r="B161" s="674" t="s">
        <v>237</v>
      </c>
      <c r="C161" s="738">
        <f>1.4*0.000537634408602151</f>
        <v>7.5268817204301129E-4</v>
      </c>
      <c r="D161" s="495" t="s">
        <v>652</v>
      </c>
      <c r="E161" s="503"/>
      <c r="F161" s="495"/>
      <c r="G161" s="495"/>
      <c r="H161" s="495"/>
      <c r="I161" s="544">
        <f>$C161*$E$147*VLOOKUP($B161,'Standard values'!$C$9:$S$162,3, FALSE)/$E$249</f>
        <v>0.53996193548387139</v>
      </c>
      <c r="J161" s="544">
        <f>$C161*$E$147*VLOOKUP($B161,'Standard values'!$C$9:$S$162,4, FALSE)/$E$249</f>
        <v>8.4978494623655972E-4</v>
      </c>
      <c r="K161" s="544">
        <f>$C161*$E$147*VLOOKUP($B161,'Standard values'!$C$9:$S$162,5, FALSE)/$E$249</f>
        <v>1.9118279569892487E-5</v>
      </c>
      <c r="L161" s="419">
        <f>I161*'Standard values'!$D$10+J161*'Standard values'!$D$11+K161*'Standard values'!$D$12</f>
        <v>0.56690380645161331</v>
      </c>
      <c r="M161" s="379"/>
      <c r="N161" s="562">
        <f t="shared" si="3"/>
        <v>21.088821600000017</v>
      </c>
      <c r="O161" s="379"/>
    </row>
    <row r="162" spans="1:15" ht="15.75" x14ac:dyDescent="0.3">
      <c r="A162" s="503"/>
      <c r="B162" s="674" t="s">
        <v>648</v>
      </c>
      <c r="C162" s="738">
        <f>1.4*0.0000672043010752688</f>
        <v>9.4086021505376317E-5</v>
      </c>
      <c r="D162" s="495" t="s">
        <v>652</v>
      </c>
      <c r="E162" s="503"/>
      <c r="F162" s="495"/>
      <c r="G162" s="495"/>
      <c r="H162" s="495"/>
      <c r="I162" s="544">
        <f>$C162*$E$147*VLOOKUP($B162,'Standard values'!$C$9:$S$162,3, FALSE)/$E$249</f>
        <v>9.8413978494623633E-2</v>
      </c>
      <c r="J162" s="544">
        <f>$C162*$E$147*VLOOKUP($B162,'Standard values'!$C$9:$S$162,4, FALSE)/$E$249</f>
        <v>5.8333333333333327E-4</v>
      </c>
      <c r="K162" s="544">
        <f>$C162*$E$147*VLOOKUP($B162,'Standard values'!$C$9:$S$162,5, FALSE)/$E$249</f>
        <v>5.174731182795697E-7</v>
      </c>
      <c r="L162" s="419">
        <f>I162*'Standard values'!$D$10+J162*'Standard values'!$D$11+K162*'Standard values'!$D$12</f>
        <v>0.11315151881720428</v>
      </c>
      <c r="M162" s="379"/>
      <c r="N162" s="562">
        <f t="shared" si="3"/>
        <v>4.2092364999999994</v>
      </c>
      <c r="O162" s="379"/>
    </row>
    <row r="163" spans="1:15" ht="15.75" x14ac:dyDescent="0.3">
      <c r="A163" s="503"/>
      <c r="B163" s="674" t="s">
        <v>1107</v>
      </c>
      <c r="C163" s="738">
        <f>1.4*0.000180645161290323</f>
        <v>2.5290322580645222E-4</v>
      </c>
      <c r="D163" s="495" t="s">
        <v>652</v>
      </c>
      <c r="E163" s="503"/>
      <c r="F163" s="495"/>
      <c r="G163" s="495"/>
      <c r="H163" s="495"/>
      <c r="I163" s="544">
        <f>$C163*$E$147*VLOOKUP($B163,'Standard values'!$C$9:$S$162,3, FALSE)/$E$249</f>
        <v>0.11089634477419381</v>
      </c>
      <c r="J163" s="544">
        <f>$C163*$E$147*VLOOKUP($B163,'Standard values'!$C$9:$S$162,4, FALSE)/$E$249</f>
        <v>2.6051561290322644E-4</v>
      </c>
      <c r="K163" s="544">
        <f>$C163*$E$147*VLOOKUP($B163,'Standard values'!$C$9:$S$162,5, FALSE)/$E$249</f>
        <v>6.0696774193548535E-6</v>
      </c>
      <c r="L163" s="419">
        <f>I163*'Standard values'!$D$10+J163*'Standard values'!$D$11+K163*'Standard values'!$D$12</f>
        <v>0.11921799896774223</v>
      </c>
      <c r="M163" s="379"/>
      <c r="N163" s="562">
        <f t="shared" si="3"/>
        <v>4.4349095616000112</v>
      </c>
      <c r="O163" s="379"/>
    </row>
    <row r="164" spans="1:15" ht="15.75" x14ac:dyDescent="0.3">
      <c r="A164" s="503"/>
      <c r="B164" s="674" t="s">
        <v>500</v>
      </c>
      <c r="C164" s="675">
        <f>1.4*0.0584556451612903</f>
        <v>8.1837903225806419E-2</v>
      </c>
      <c r="D164" s="495" t="s">
        <v>651</v>
      </c>
      <c r="E164" s="503"/>
      <c r="F164" s="495"/>
      <c r="G164" s="495"/>
      <c r="H164" s="495"/>
      <c r="I164" s="544">
        <f>$C164*$E$147*VLOOKUP($B164,'Standard values'!$C$9:$S$162,7, FALSE)/$E$249</f>
        <v>7.5943482780465921</v>
      </c>
      <c r="J164" s="544">
        <f>$C164*$E$147*VLOOKUP($B164,'Standard values'!$C$9:$S$162,8, FALSE)/$E$249</f>
        <v>2.3735265210573467E-2</v>
      </c>
      <c r="K164" s="544">
        <f>$C164*$E$147*VLOOKUP($B164,'Standard values'!$C$9:$S$162,9, FALSE)/$E$249</f>
        <v>2.7279301075268806E-5</v>
      </c>
      <c r="L164" s="419">
        <f>I164*'Standard values'!$D$10+J164*'Standard values'!$D$11+K164*'Standard values'!$D$12</f>
        <v>8.1958591400313576</v>
      </c>
      <c r="M164" s="379"/>
      <c r="N164" s="562">
        <f t="shared" si="3"/>
        <v>304.88596000916652</v>
      </c>
      <c r="O164" s="379"/>
    </row>
    <row r="165" spans="1:15" x14ac:dyDescent="0.2">
      <c r="A165" s="503"/>
      <c r="B165" s="682"/>
      <c r="C165" s="499"/>
      <c r="D165" s="499"/>
      <c r="E165" s="681"/>
      <c r="F165" s="495"/>
      <c r="G165" s="495"/>
      <c r="H165" s="514" t="s">
        <v>1047</v>
      </c>
      <c r="I165" s="583">
        <f>SUM(I147:I164)</f>
        <v>16.283558526084789</v>
      </c>
      <c r="J165" s="583">
        <f>SUM(J147:J164)</f>
        <v>5.0192765166351211E-2</v>
      </c>
      <c r="K165" s="583">
        <f>SUM(K147:K164)</f>
        <v>2.2890545856145422E-4</v>
      </c>
      <c r="L165" s="516">
        <f>I165*'Standard values'!$D$10+J165*'Standard values'!$D$11+K165*'Standard values'!$D$12</f>
        <v>17.606591481894881</v>
      </c>
      <c r="M165" s="379"/>
      <c r="N165" s="545">
        <f t="shared" si="3"/>
        <v>654.96520312648966</v>
      </c>
      <c r="O165" s="379"/>
    </row>
    <row r="166" spans="1:15" x14ac:dyDescent="0.2">
      <c r="A166" s="503"/>
      <c r="B166" s="682"/>
      <c r="C166" s="499"/>
      <c r="D166" s="499"/>
      <c r="E166" s="503"/>
      <c r="F166" s="495"/>
      <c r="G166" s="495"/>
      <c r="H166" s="495"/>
      <c r="I166" s="495"/>
      <c r="J166" s="495"/>
      <c r="K166" s="495"/>
      <c r="L166" s="541"/>
      <c r="M166" s="379"/>
      <c r="N166" s="390"/>
      <c r="O166" s="379"/>
    </row>
    <row r="167" spans="1:15" ht="14.25" x14ac:dyDescent="0.25">
      <c r="A167" s="519"/>
      <c r="B167" s="520"/>
      <c r="C167" s="520"/>
      <c r="D167" s="520"/>
      <c r="E167" s="519"/>
      <c r="F167" s="521"/>
      <c r="G167" s="521"/>
      <c r="H167" s="521" t="s">
        <v>534</v>
      </c>
      <c r="I167" s="520"/>
      <c r="J167" s="523" t="s">
        <v>747</v>
      </c>
      <c r="K167" s="549"/>
      <c r="L167" s="525">
        <f>L165</f>
        <v>17.606591481894881</v>
      </c>
      <c r="M167" s="379"/>
      <c r="N167" s="390"/>
      <c r="O167" s="379"/>
    </row>
    <row r="168" spans="1:15" x14ac:dyDescent="0.2">
      <c r="A168" s="390"/>
      <c r="B168" s="390"/>
      <c r="C168" s="390"/>
      <c r="D168" s="379"/>
      <c r="E168" s="379"/>
      <c r="F168" s="551"/>
      <c r="G168" s="551"/>
      <c r="H168" s="437"/>
      <c r="I168" s="378"/>
      <c r="J168" s="379"/>
      <c r="K168" s="379"/>
      <c r="L168" s="586"/>
      <c r="M168" s="379"/>
      <c r="N168" s="379"/>
      <c r="O168" s="379"/>
    </row>
    <row r="169" spans="1:15" x14ac:dyDescent="0.2">
      <c r="A169" s="390"/>
      <c r="B169" s="390"/>
      <c r="C169" s="390"/>
      <c r="D169" s="379"/>
      <c r="E169" s="379"/>
      <c r="F169" s="551"/>
      <c r="G169" s="551"/>
      <c r="H169" s="437"/>
      <c r="I169" s="378"/>
      <c r="J169" s="379"/>
      <c r="K169" s="379"/>
      <c r="L169" s="586"/>
      <c r="M169" s="379"/>
      <c r="N169" s="379"/>
      <c r="O169" s="379"/>
    </row>
    <row r="170" spans="1:15" ht="15.75" x14ac:dyDescent="0.25">
      <c r="A170" s="530" t="s">
        <v>1057</v>
      </c>
      <c r="B170" s="531"/>
      <c r="C170" s="531"/>
      <c r="D170" s="531"/>
      <c r="E170" s="608" t="s">
        <v>526</v>
      </c>
      <c r="F170" s="606"/>
      <c r="G170" s="606"/>
      <c r="H170" s="606"/>
      <c r="I170" s="607"/>
      <c r="J170" s="608" t="s">
        <v>747</v>
      </c>
      <c r="K170" s="607"/>
      <c r="L170" s="609">
        <f>L100+L110+L131+L141+L167</f>
        <v>53.075211087611301</v>
      </c>
      <c r="M170" s="379"/>
      <c r="N170" s="535" t="s">
        <v>162</v>
      </c>
      <c r="O170" s="390"/>
    </row>
    <row r="171" spans="1:15" ht="15.75" x14ac:dyDescent="0.25">
      <c r="A171" s="610" t="s">
        <v>937</v>
      </c>
      <c r="B171" s="611"/>
      <c r="C171" s="611"/>
      <c r="D171" s="611"/>
      <c r="E171" s="613"/>
      <c r="F171" s="613"/>
      <c r="G171" s="613"/>
      <c r="H171" s="613"/>
      <c r="I171" s="613"/>
      <c r="J171" s="613"/>
      <c r="K171" s="613"/>
      <c r="L171" s="614"/>
      <c r="M171" s="379"/>
      <c r="N171" s="554" t="s">
        <v>977</v>
      </c>
      <c r="O171" s="390"/>
    </row>
    <row r="172" spans="1:15" ht="15.75" x14ac:dyDescent="0.3">
      <c r="A172" s="567"/>
      <c r="B172" s="568"/>
      <c r="C172" s="568"/>
      <c r="D172" s="683"/>
      <c r="E172" s="683"/>
      <c r="F172" s="683"/>
      <c r="G172" s="683"/>
      <c r="H172" s="683" t="s">
        <v>667</v>
      </c>
      <c r="I172" s="684">
        <f>L170</f>
        <v>53.075211087611301</v>
      </c>
      <c r="J172" s="568" t="s">
        <v>321</v>
      </c>
      <c r="K172" s="568"/>
      <c r="L172" s="685"/>
      <c r="M172" s="379"/>
      <c r="N172" s="540" t="s">
        <v>1056</v>
      </c>
      <c r="O172" s="390"/>
    </row>
    <row r="173" spans="1:15" ht="15.75" x14ac:dyDescent="0.3">
      <c r="A173" s="567"/>
      <c r="B173" s="568" t="s">
        <v>51</v>
      </c>
      <c r="C173" s="568" t="s">
        <v>1094</v>
      </c>
      <c r="D173" s="568"/>
      <c r="E173" s="683" t="s">
        <v>135</v>
      </c>
      <c r="F173" s="747">
        <f>1*1000*VLOOKUP($C173,'Standard values'!$C$9:$S$162,14, FALSE)</f>
        <v>37200</v>
      </c>
      <c r="G173" s="747"/>
      <c r="H173" s="568" t="s">
        <v>501</v>
      </c>
      <c r="I173" s="574">
        <f>$I$172*F173/F$175</f>
        <v>50.769302138853071</v>
      </c>
      <c r="J173" s="568" t="s">
        <v>321</v>
      </c>
      <c r="K173" s="568"/>
      <c r="L173" s="685"/>
      <c r="M173" s="379"/>
      <c r="N173" s="541"/>
      <c r="O173" s="390"/>
    </row>
    <row r="174" spans="1:15" ht="15.75" x14ac:dyDescent="0.3">
      <c r="A174" s="567"/>
      <c r="B174" s="568" t="s">
        <v>123</v>
      </c>
      <c r="C174" s="568" t="s">
        <v>1037</v>
      </c>
      <c r="D174" s="568"/>
      <c r="E174" s="683" t="s">
        <v>663</v>
      </c>
      <c r="F174" s="747">
        <f>C147*VLOOKUP($C174,'Standard values'!$C$9:$S$162,14, FALSE)</f>
        <v>1689.6</v>
      </c>
      <c r="G174" s="747"/>
      <c r="H174" s="568" t="s">
        <v>501</v>
      </c>
      <c r="I174" s="574">
        <f>$I$172*F174/F$175</f>
        <v>2.3059089487582298</v>
      </c>
      <c r="J174" s="568" t="s">
        <v>321</v>
      </c>
      <c r="K174" s="568"/>
      <c r="L174" s="685"/>
      <c r="M174" s="379"/>
      <c r="N174" s="541"/>
      <c r="O174" s="390"/>
    </row>
    <row r="175" spans="1:15" x14ac:dyDescent="0.2">
      <c r="A175" s="567"/>
      <c r="B175" s="568"/>
      <c r="C175" s="568" t="s">
        <v>316</v>
      </c>
      <c r="D175" s="568"/>
      <c r="E175" s="568" t="s">
        <v>533</v>
      </c>
      <c r="F175" s="747">
        <f>SUM(F173:F174)</f>
        <v>38889.599999999999</v>
      </c>
      <c r="G175" s="747"/>
      <c r="H175" s="568" t="s">
        <v>501</v>
      </c>
      <c r="I175" s="568"/>
      <c r="J175" s="568"/>
      <c r="K175" s="568"/>
      <c r="L175" s="685"/>
      <c r="M175" s="379"/>
      <c r="N175" s="562"/>
      <c r="O175" s="390"/>
    </row>
    <row r="176" spans="1:15" ht="14.25" x14ac:dyDescent="0.25">
      <c r="A176" s="519"/>
      <c r="B176" s="520"/>
      <c r="C176" s="520"/>
      <c r="D176" s="520"/>
      <c r="E176" s="523" t="s">
        <v>1058</v>
      </c>
      <c r="F176" s="521"/>
      <c r="G176" s="521"/>
      <c r="H176" s="687"/>
      <c r="I176" s="520"/>
      <c r="J176" s="523" t="s">
        <v>747</v>
      </c>
      <c r="K176" s="687"/>
      <c r="L176" s="525">
        <f>I173</f>
        <v>50.769302138853071</v>
      </c>
      <c r="M176" s="379"/>
      <c r="N176" s="545">
        <f>L176/$E$148</f>
        <v>1888.6180395653344</v>
      </c>
      <c r="O176" s="379"/>
    </row>
    <row r="177" spans="1:15" x14ac:dyDescent="0.2">
      <c r="A177" s="390"/>
      <c r="B177" s="390"/>
      <c r="C177" s="390"/>
      <c r="D177" s="379"/>
      <c r="E177" s="379"/>
      <c r="F177" s="551"/>
      <c r="G177" s="551"/>
      <c r="H177" s="437"/>
      <c r="I177" s="378"/>
      <c r="J177" s="379"/>
      <c r="K177" s="379"/>
      <c r="L177" s="586"/>
      <c r="M177" s="379"/>
      <c r="N177" s="379"/>
      <c r="O177" s="379"/>
    </row>
    <row r="178" spans="1:15" x14ac:dyDescent="0.2">
      <c r="A178" s="375"/>
      <c r="B178" s="585"/>
      <c r="C178" s="386"/>
      <c r="D178" s="390"/>
      <c r="E178" s="379"/>
      <c r="F178" s="379"/>
      <c r="G178" s="379"/>
      <c r="H178" s="379"/>
      <c r="I178" s="379"/>
      <c r="J178" s="591"/>
      <c r="K178" s="379"/>
      <c r="L178" s="379"/>
      <c r="M178" s="379"/>
      <c r="N178" s="379"/>
      <c r="O178" s="379"/>
    </row>
    <row r="179" spans="1:15" ht="15.75" x14ac:dyDescent="0.25">
      <c r="A179" s="530" t="s">
        <v>812</v>
      </c>
      <c r="B179" s="532"/>
      <c r="C179" s="531"/>
      <c r="D179" s="531"/>
      <c r="E179" s="530" t="s">
        <v>513</v>
      </c>
      <c r="F179" s="532"/>
      <c r="G179" s="532"/>
      <c r="H179" s="531"/>
      <c r="I179" s="532" t="s">
        <v>532</v>
      </c>
      <c r="J179" s="533"/>
      <c r="K179" s="533"/>
      <c r="L179" s="534"/>
      <c r="M179" s="379"/>
      <c r="N179" s="535" t="s">
        <v>162</v>
      </c>
      <c r="O179" s="379"/>
    </row>
    <row r="180" spans="1:15" ht="15.75" x14ac:dyDescent="0.3">
      <c r="A180" s="503"/>
      <c r="B180" s="511" t="s">
        <v>1094</v>
      </c>
      <c r="C180" s="593">
        <v>1</v>
      </c>
      <c r="D180" s="495" t="s">
        <v>653</v>
      </c>
      <c r="E180" s="513">
        <f>E146*C180</f>
        <v>42790.945045880188</v>
      </c>
      <c r="F180" s="499" t="s">
        <v>655</v>
      </c>
      <c r="G180" s="499"/>
      <c r="H180" s="594"/>
      <c r="I180" s="492" t="s">
        <v>746</v>
      </c>
      <c r="J180" s="514"/>
      <c r="K180" s="514"/>
      <c r="L180" s="537"/>
      <c r="M180" s="379"/>
      <c r="N180" s="554" t="s">
        <v>977</v>
      </c>
      <c r="O180" s="379"/>
    </row>
    <row r="181" spans="1:15" ht="15.75" x14ac:dyDescent="0.3">
      <c r="A181" s="503"/>
      <c r="B181" s="495"/>
      <c r="C181" s="689"/>
      <c r="D181" s="495"/>
      <c r="E181" s="505">
        <f>E147*C180</f>
        <v>0.57844828987377617</v>
      </c>
      <c r="F181" s="506" t="s">
        <v>740</v>
      </c>
      <c r="G181" s="506"/>
      <c r="H181" s="594"/>
      <c r="I181" s="539" t="s">
        <v>1053</v>
      </c>
      <c r="J181" s="539" t="s">
        <v>1054</v>
      </c>
      <c r="K181" s="539" t="s">
        <v>1055</v>
      </c>
      <c r="L181" s="540" t="s">
        <v>1056</v>
      </c>
      <c r="M181" s="379"/>
      <c r="N181" s="540" t="s">
        <v>1056</v>
      </c>
      <c r="O181" s="379"/>
    </row>
    <row r="182" spans="1:15" x14ac:dyDescent="0.2">
      <c r="A182" s="503"/>
      <c r="B182" s="511" t="s">
        <v>498</v>
      </c>
      <c r="C182" s="689"/>
      <c r="D182" s="495"/>
      <c r="E182" s="513"/>
      <c r="F182" s="495"/>
      <c r="G182" s="495"/>
      <c r="H182" s="495"/>
      <c r="I182" s="495"/>
      <c r="J182" s="495"/>
      <c r="K182" s="495"/>
      <c r="L182" s="541"/>
      <c r="M182" s="379"/>
      <c r="N182" s="541"/>
      <c r="O182" s="379"/>
    </row>
    <row r="183" spans="1:15" ht="15.75" x14ac:dyDescent="0.3">
      <c r="A183" s="503"/>
      <c r="B183" s="495" t="s">
        <v>159</v>
      </c>
      <c r="C183" s="595">
        <v>150</v>
      </c>
      <c r="D183" s="495" t="s">
        <v>510</v>
      </c>
      <c r="E183" s="543">
        <f>(C183*E181/VLOOKUP($B180,'Standard values'!$C$9:$S$162,14, FALSE))/1000</f>
        <v>2.3324527817490974E-3</v>
      </c>
      <c r="F183" s="495" t="s">
        <v>244</v>
      </c>
      <c r="G183" s="495"/>
      <c r="H183" s="495"/>
      <c r="I183" s="544">
        <f>$E183*VLOOKUP($B183,'Standard values'!$C$9:$S$162,15, FALSE)*VLOOKUP(C184,'Standard values'!$C$9:$S$162,7, FALSE)/$E$249</f>
        <v>0.35620967741935483</v>
      </c>
      <c r="J183" s="544">
        <f>$E183*((VLOOKUP($B183,'Standard values'!$C$9:$S$162,15, FALSE)*VLOOKUP(C184,'Standard values'!$C$9:$S$162,8, FALSE))+VLOOKUP($B183,'Standard values'!$C$9:$S$162,16, FALSE))/$E$249</f>
        <v>2.0161290322580645E-5</v>
      </c>
      <c r="K183" s="544">
        <f>$E183*((VLOOKUP($B183,'Standard values'!$C$9:$S$162,15, FALSE)*VLOOKUP(C184,'Standard values'!$C$9:$S$162,9, FALSE))+VLOOKUP($B183,'Standard values'!$C$9:$S$162,17, FALSE))/$E$249</f>
        <v>0</v>
      </c>
      <c r="L183" s="516">
        <f>I183*'Standard values'!$D$10+J183*'Standard values'!$D$11+K183*'Standard values'!$D$12</f>
        <v>0.35671370967741933</v>
      </c>
      <c r="M183" s="379"/>
      <c r="N183" s="562">
        <f>L183/$E$148</f>
        <v>13.26975</v>
      </c>
      <c r="O183" s="379"/>
    </row>
    <row r="184" spans="1:15" x14ac:dyDescent="0.2">
      <c r="A184" s="503"/>
      <c r="B184" s="546" t="s">
        <v>54</v>
      </c>
      <c r="C184" s="673" t="s">
        <v>509</v>
      </c>
      <c r="D184" s="495"/>
      <c r="E184" s="503"/>
      <c r="F184" s="495"/>
      <c r="G184" s="495"/>
      <c r="H184" s="495"/>
      <c r="I184" s="544"/>
      <c r="J184" s="544"/>
      <c r="K184" s="544"/>
      <c r="L184" s="516"/>
      <c r="M184" s="379"/>
      <c r="N184" s="562"/>
      <c r="O184" s="379"/>
    </row>
    <row r="185" spans="1:15" x14ac:dyDescent="0.2">
      <c r="A185" s="503"/>
      <c r="B185" s="495"/>
      <c r="C185" s="689"/>
      <c r="D185" s="495"/>
      <c r="E185" s="543"/>
      <c r="F185" s="495"/>
      <c r="G185" s="495"/>
      <c r="H185" s="495"/>
      <c r="I185" s="544"/>
      <c r="J185" s="544"/>
      <c r="K185" s="544"/>
      <c r="L185" s="516"/>
      <c r="M185" s="379"/>
      <c r="N185" s="562"/>
      <c r="O185" s="379"/>
    </row>
    <row r="186" spans="1:15" x14ac:dyDescent="0.2">
      <c r="A186" s="503"/>
      <c r="B186" s="511" t="s">
        <v>444</v>
      </c>
      <c r="C186" s="689"/>
      <c r="D186" s="495"/>
      <c r="E186" s="503"/>
      <c r="F186" s="495"/>
      <c r="G186" s="495"/>
      <c r="H186" s="495"/>
      <c r="I186" s="544"/>
      <c r="J186" s="544"/>
      <c r="K186" s="544"/>
      <c r="L186" s="584"/>
      <c r="M186" s="379"/>
      <c r="N186" s="562"/>
      <c r="O186" s="379"/>
    </row>
    <row r="187" spans="1:15" ht="15.75" x14ac:dyDescent="0.3">
      <c r="A187" s="590"/>
      <c r="B187" s="1301" t="s">
        <v>49</v>
      </c>
      <c r="C187" s="542">
        <v>8.4000000000000003E-4</v>
      </c>
      <c r="D187" s="495" t="s">
        <v>651</v>
      </c>
      <c r="E187" s="503"/>
      <c r="F187" s="495"/>
      <c r="G187" s="495"/>
      <c r="H187" s="495"/>
      <c r="I187" s="544">
        <f>$C187*$E$181*VLOOKUP($B187,'Standard values'!$C$9:$S$162,7, FALSE)/$E$249</f>
        <v>0.10146738000000001</v>
      </c>
      <c r="J187" s="544">
        <f>$C187*$E$181*VLOOKUP($B187,'Standard values'!$C$9:$S$162,8, FALSE)/$E$249</f>
        <v>2.4744999999999997E-4</v>
      </c>
      <c r="K187" s="544">
        <f>$C187*$E$181*VLOOKUP($B187,'Standard values'!$C$9:$S$162,9, FALSE)/$E$249</f>
        <v>4.596666666666667E-6</v>
      </c>
      <c r="L187" s="516">
        <f>I187*'Standard values'!$D$10+J187*'Standard values'!$D$11+K187*'Standard values'!$D$12</f>
        <v>0.10902343666666668</v>
      </c>
      <c r="M187" s="379"/>
      <c r="N187" s="562">
        <f>L187/$E$148</f>
        <v>4.0556718440000008</v>
      </c>
      <c r="O187" s="379"/>
    </row>
    <row r="188" spans="1:15" ht="14.25" x14ac:dyDescent="0.25">
      <c r="A188" s="519"/>
      <c r="B188" s="520"/>
      <c r="C188" s="520"/>
      <c r="D188" s="520"/>
      <c r="E188" s="519"/>
      <c r="F188" s="521"/>
      <c r="G188" s="521"/>
      <c r="H188" s="521" t="s">
        <v>534</v>
      </c>
      <c r="I188" s="520"/>
      <c r="J188" s="523" t="s">
        <v>747</v>
      </c>
      <c r="K188" s="549"/>
      <c r="L188" s="525">
        <f>L187+L183</f>
        <v>0.46573714634408603</v>
      </c>
      <c r="M188" s="379"/>
      <c r="N188" s="545">
        <f>L188/$E$148</f>
        <v>17.325421844000001</v>
      </c>
      <c r="O188" s="379"/>
    </row>
    <row r="189" spans="1:15" x14ac:dyDescent="0.2">
      <c r="A189" s="390"/>
      <c r="B189" s="390"/>
      <c r="C189" s="390"/>
      <c r="D189" s="390"/>
      <c r="E189" s="390"/>
      <c r="F189" s="376"/>
      <c r="G189" s="376"/>
      <c r="H189" s="376"/>
      <c r="I189" s="390"/>
      <c r="J189" s="550"/>
      <c r="K189" s="551"/>
      <c r="L189" s="552"/>
      <c r="M189" s="379"/>
      <c r="N189" s="390"/>
      <c r="O189" s="379"/>
    </row>
    <row r="190" spans="1:15" x14ac:dyDescent="0.2">
      <c r="A190" s="390"/>
      <c r="B190" s="390"/>
      <c r="C190" s="390"/>
      <c r="D190" s="390"/>
      <c r="E190" s="390"/>
      <c r="F190" s="376"/>
      <c r="G190" s="376"/>
      <c r="H190" s="376"/>
      <c r="I190" s="390"/>
      <c r="J190" s="550"/>
      <c r="K190" s="551"/>
      <c r="L190" s="552"/>
      <c r="M190" s="379"/>
      <c r="N190" s="379"/>
      <c r="O190" s="379"/>
    </row>
    <row r="191" spans="1:15" ht="15.75" x14ac:dyDescent="0.25">
      <c r="A191" s="530" t="s">
        <v>810</v>
      </c>
      <c r="B191" s="531"/>
      <c r="C191" s="531"/>
      <c r="D191" s="531"/>
      <c r="E191" s="530" t="s">
        <v>513</v>
      </c>
      <c r="F191" s="531"/>
      <c r="G191" s="531"/>
      <c r="H191" s="531"/>
      <c r="I191" s="531"/>
      <c r="J191" s="531"/>
      <c r="K191" s="531"/>
      <c r="L191" s="596"/>
      <c r="M191" s="379"/>
      <c r="N191" s="535" t="s">
        <v>162</v>
      </c>
      <c r="O191" s="379"/>
    </row>
    <row r="192" spans="1:15" ht="15.75" x14ac:dyDescent="0.3">
      <c r="A192" s="503"/>
      <c r="B192" s="511" t="s">
        <v>1094</v>
      </c>
      <c r="C192" s="593">
        <v>1</v>
      </c>
      <c r="D192" s="495" t="s">
        <v>653</v>
      </c>
      <c r="E192" s="513">
        <f>E180*C192</f>
        <v>42790.945045880188</v>
      </c>
      <c r="F192" s="499" t="s">
        <v>655</v>
      </c>
      <c r="G192" s="499"/>
      <c r="H192" s="495"/>
      <c r="I192" s="492" t="s">
        <v>746</v>
      </c>
      <c r="J192" s="514"/>
      <c r="K192" s="514"/>
      <c r="L192" s="537"/>
      <c r="M192" s="379"/>
      <c r="N192" s="554" t="s">
        <v>977</v>
      </c>
      <c r="O192" s="379"/>
    </row>
    <row r="193" spans="1:15" ht="15.75" x14ac:dyDescent="0.3">
      <c r="A193" s="503"/>
      <c r="B193" s="495"/>
      <c r="C193" s="689"/>
      <c r="D193" s="495"/>
      <c r="E193" s="505">
        <f>E181*C192</f>
        <v>0.57844828987377617</v>
      </c>
      <c r="F193" s="506" t="s">
        <v>740</v>
      </c>
      <c r="G193" s="506"/>
      <c r="H193" s="495"/>
      <c r="I193" s="539" t="s">
        <v>1053</v>
      </c>
      <c r="J193" s="539" t="s">
        <v>1054</v>
      </c>
      <c r="K193" s="539" t="s">
        <v>1055</v>
      </c>
      <c r="L193" s="540" t="s">
        <v>1056</v>
      </c>
      <c r="M193" s="379"/>
      <c r="N193" s="540" t="s">
        <v>1056</v>
      </c>
      <c r="O193" s="379"/>
    </row>
    <row r="194" spans="1:15" x14ac:dyDescent="0.2">
      <c r="A194" s="503"/>
      <c r="B194" s="511" t="s">
        <v>498</v>
      </c>
      <c r="C194" s="689"/>
      <c r="D194" s="495"/>
      <c r="E194" s="513"/>
      <c r="F194" s="495"/>
      <c r="G194" s="495"/>
      <c r="H194" s="495"/>
      <c r="I194" s="495"/>
      <c r="J194" s="495"/>
      <c r="K194" s="495"/>
      <c r="L194" s="541"/>
      <c r="M194" s="379"/>
      <c r="N194" s="541"/>
      <c r="O194" s="379"/>
    </row>
    <row r="195" spans="1:15" ht="15.75" x14ac:dyDescent="0.3">
      <c r="A195" s="503"/>
      <c r="B195" s="495" t="s">
        <v>159</v>
      </c>
      <c r="C195" s="595">
        <v>150</v>
      </c>
      <c r="D195" s="495" t="s">
        <v>510</v>
      </c>
      <c r="E195" s="543">
        <f>(C195*E193/VLOOKUP($B192,'Standard values'!$C$9:$S$162,14, FALSE))/1000</f>
        <v>2.3324527817490974E-3</v>
      </c>
      <c r="F195" s="495" t="s">
        <v>244</v>
      </c>
      <c r="G195" s="495"/>
      <c r="H195" s="495"/>
      <c r="I195" s="544">
        <f>$E195*VLOOKUP($B195,'Standard values'!$C$9:$S$162,15, FALSE)*VLOOKUP(C196,'Standard values'!$C$9:$S$162,7, FALSE)/$E$249</f>
        <v>0.35620967741935483</v>
      </c>
      <c r="J195" s="544">
        <f>$E195*((VLOOKUP($B195,'Standard values'!$C$9:$S$162,15, FALSE)*VLOOKUP(C196,'Standard values'!$C$9:$S$162,8, FALSE))+VLOOKUP($B195,'Standard values'!$C$9:$S$162,16, FALSE))/$E$249</f>
        <v>2.0161290322580645E-5</v>
      </c>
      <c r="K195" s="544">
        <f>$E195*((VLOOKUP($B195,'Standard values'!$C$9:$S$162,15, FALSE)*VLOOKUP(C196,'Standard values'!$C$9:$S$162,9, FALSE))+VLOOKUP($B195,'Standard values'!$C$9:$S$162,17, FALSE))/$E$249</f>
        <v>0</v>
      </c>
      <c r="L195" s="516">
        <f>I195*'Standard values'!$D$10+J195*'Standard values'!$D$11+K195*'Standard values'!$D$12</f>
        <v>0.35671370967741933</v>
      </c>
      <c r="M195" s="379"/>
      <c r="N195" s="562">
        <f>L195/$E$148</f>
        <v>13.26975</v>
      </c>
      <c r="O195" s="379"/>
    </row>
    <row r="196" spans="1:15" x14ac:dyDescent="0.2">
      <c r="A196" s="503"/>
      <c r="B196" s="546" t="s">
        <v>54</v>
      </c>
      <c r="C196" s="673" t="s">
        <v>509</v>
      </c>
      <c r="D196" s="495"/>
      <c r="E196" s="503"/>
      <c r="F196" s="495"/>
      <c r="G196" s="495"/>
      <c r="H196" s="495"/>
      <c r="I196" s="544"/>
      <c r="J196" s="544"/>
      <c r="K196" s="544"/>
      <c r="L196" s="516"/>
      <c r="M196" s="379"/>
      <c r="N196" s="562"/>
      <c r="O196" s="379"/>
    </row>
    <row r="197" spans="1:15" x14ac:dyDescent="0.2">
      <c r="A197" s="503"/>
      <c r="B197" s="495"/>
      <c r="C197" s="689"/>
      <c r="D197" s="495"/>
      <c r="E197" s="505"/>
      <c r="F197" s="506"/>
      <c r="G197" s="506"/>
      <c r="H197" s="495"/>
      <c r="I197" s="539"/>
      <c r="J197" s="539"/>
      <c r="K197" s="539"/>
      <c r="L197" s="690"/>
      <c r="M197" s="379"/>
      <c r="N197" s="540"/>
      <c r="O197" s="379"/>
    </row>
    <row r="198" spans="1:15" x14ac:dyDescent="0.2">
      <c r="A198" s="503"/>
      <c r="B198" s="511" t="s">
        <v>441</v>
      </c>
      <c r="C198" s="689"/>
      <c r="D198" s="495"/>
      <c r="E198" s="503"/>
      <c r="F198" s="495"/>
      <c r="G198" s="495"/>
      <c r="H198" s="495"/>
      <c r="I198" s="544"/>
      <c r="J198" s="544"/>
      <c r="K198" s="544"/>
      <c r="L198" s="584"/>
      <c r="M198" s="379"/>
      <c r="N198" s="541"/>
      <c r="O198" s="379"/>
    </row>
    <row r="199" spans="1:15" ht="15.75" x14ac:dyDescent="0.3">
      <c r="A199" s="503"/>
      <c r="B199" s="1301" t="s">
        <v>49</v>
      </c>
      <c r="C199" s="542">
        <v>3.3999999999999998E-3</v>
      </c>
      <c r="D199" s="495" t="s">
        <v>651</v>
      </c>
      <c r="E199" s="503"/>
      <c r="F199" s="495"/>
      <c r="G199" s="495"/>
      <c r="H199" s="495"/>
      <c r="I199" s="544">
        <f>$C199*$E$193*VLOOKUP($B199,'Standard values'!$C$9:$S$162,7, FALSE)/$E$249</f>
        <v>0.41070129999999999</v>
      </c>
      <c r="J199" s="544">
        <f>$C199*$E$193*VLOOKUP($B199,'Standard values'!$C$9:$S$162,8, FALSE)/$E$249</f>
        <v>1.0015833333333333E-3</v>
      </c>
      <c r="K199" s="544">
        <f>$C199*$E$193*VLOOKUP($B199,'Standard values'!$C$9:$S$162,9, FALSE)/$E$249</f>
        <v>1.8605555555555555E-5</v>
      </c>
      <c r="L199" s="516">
        <f>I199*'Standard values'!$D$10+J199*'Standard values'!$D$11+K199*'Standard values'!$D$12</f>
        <v>0.44128533888888888</v>
      </c>
      <c r="M199" s="379"/>
      <c r="N199" s="562">
        <f>L199/$E$148</f>
        <v>16.415814606666668</v>
      </c>
      <c r="O199" s="379"/>
    </row>
    <row r="200" spans="1:15" ht="14.25" x14ac:dyDescent="0.25">
      <c r="A200" s="519"/>
      <c r="B200" s="520"/>
      <c r="C200" s="520"/>
      <c r="D200" s="520"/>
      <c r="E200" s="519"/>
      <c r="F200" s="521"/>
      <c r="G200" s="521"/>
      <c r="H200" s="521" t="s">
        <v>534</v>
      </c>
      <c r="I200" s="520"/>
      <c r="J200" s="523" t="s">
        <v>747</v>
      </c>
      <c r="K200" s="549"/>
      <c r="L200" s="525">
        <f>L195+L199</f>
        <v>0.79799904856630821</v>
      </c>
      <c r="M200" s="379"/>
      <c r="N200" s="545">
        <f>L200/$E$148</f>
        <v>29.68556460666667</v>
      </c>
      <c r="O200" s="379"/>
    </row>
    <row r="201" spans="1:15" x14ac:dyDescent="0.2">
      <c r="A201" s="390"/>
      <c r="B201" s="390"/>
      <c r="C201" s="390"/>
      <c r="D201" s="390"/>
      <c r="E201" s="390"/>
      <c r="F201" s="376"/>
      <c r="G201" s="376"/>
      <c r="H201" s="376"/>
      <c r="I201" s="390"/>
      <c r="J201" s="550"/>
      <c r="K201" s="551"/>
      <c r="L201" s="597"/>
      <c r="M201" s="379"/>
      <c r="N201" s="390"/>
      <c r="O201" s="379"/>
    </row>
    <row r="202" spans="1:15" x14ac:dyDescent="0.2">
      <c r="A202" s="390"/>
      <c r="B202" s="390"/>
      <c r="C202" s="390"/>
      <c r="D202" s="390"/>
      <c r="E202" s="390"/>
      <c r="F202" s="376"/>
      <c r="G202" s="376"/>
      <c r="H202" s="376"/>
      <c r="I202" s="390"/>
      <c r="J202" s="550"/>
      <c r="K202" s="551"/>
      <c r="L202" s="597"/>
      <c r="M202" s="379"/>
      <c r="N202" s="379"/>
      <c r="O202" s="379"/>
    </row>
    <row r="203" spans="1:15" ht="15.75" x14ac:dyDescent="0.25">
      <c r="A203" s="530" t="s">
        <v>546</v>
      </c>
      <c r="B203" s="598"/>
      <c r="C203" s="599"/>
      <c r="D203" s="531"/>
      <c r="E203" s="600"/>
      <c r="F203" s="531"/>
      <c r="G203" s="531"/>
      <c r="H203" s="531"/>
      <c r="I203" s="531"/>
      <c r="J203" s="531"/>
      <c r="K203" s="531"/>
      <c r="L203" s="601"/>
      <c r="M203" s="379"/>
      <c r="N203" s="379"/>
      <c r="O203" s="379"/>
    </row>
    <row r="204" spans="1:15" ht="15.75" x14ac:dyDescent="0.25">
      <c r="A204" s="602"/>
      <c r="B204" s="603" t="s">
        <v>549</v>
      </c>
      <c r="C204" s="511" t="s">
        <v>908</v>
      </c>
      <c r="D204" s="495"/>
      <c r="E204" s="503"/>
      <c r="F204" s="495"/>
      <c r="G204" s="495"/>
      <c r="H204" s="495"/>
      <c r="I204" s="495"/>
      <c r="J204" s="495"/>
      <c r="K204" s="495"/>
      <c r="L204" s="537"/>
      <c r="M204" s="379"/>
      <c r="N204" s="390"/>
      <c r="O204" s="390"/>
    </row>
    <row r="205" spans="1:15" ht="15.75" customHeight="1" x14ac:dyDescent="0.25">
      <c r="A205" s="602"/>
      <c r="B205" s="511"/>
      <c r="C205" s="668"/>
      <c r="D205" s="691" t="s">
        <v>431</v>
      </c>
      <c r="E205" s="692" t="str">
        <f>IF(D207="Yes","From :  ", " ")</f>
        <v xml:space="preserve"> </v>
      </c>
      <c r="F205" s="1422" t="str">
        <f>IF(D207="Yes",LUC!H$35 &amp; " ; " &amp; LUC!H$36 &amp; " ; " &amp; LUC!H$39 &amp; " ; " &amp; LUC!H$40 &amp; " ; " &amp; LUC!H$45 &amp; " ; " &amp; LUC!H$46 &amp; " ; " &amp; LUC!H$47, " ")</f>
        <v xml:space="preserve"> </v>
      </c>
      <c r="G205" s="1422"/>
      <c r="H205" s="1422"/>
      <c r="I205" s="1422"/>
      <c r="J205" s="1422"/>
      <c r="K205" s="1422"/>
      <c r="L205" s="1423"/>
      <c r="M205" s="379"/>
      <c r="N205" s="390"/>
      <c r="O205" s="390"/>
    </row>
    <row r="206" spans="1:15" ht="15.75" x14ac:dyDescent="0.25">
      <c r="A206" s="602"/>
      <c r="B206" s="539" t="s">
        <v>450</v>
      </c>
      <c r="C206" s="693" t="s">
        <v>431</v>
      </c>
      <c r="D206" s="691" t="s">
        <v>432</v>
      </c>
      <c r="E206" s="513"/>
      <c r="F206" s="1422"/>
      <c r="G206" s="1422"/>
      <c r="H206" s="1422"/>
      <c r="I206" s="1422"/>
      <c r="J206" s="1422"/>
      <c r="K206" s="1422"/>
      <c r="L206" s="1423"/>
      <c r="M206" s="379"/>
      <c r="N206" s="390"/>
      <c r="O206" s="390"/>
    </row>
    <row r="207" spans="1:15" ht="15.75" customHeight="1" x14ac:dyDescent="0.25">
      <c r="A207" s="602"/>
      <c r="B207" s="511"/>
      <c r="C207" s="670" t="str">
        <f>IF(D207="Yes","Go to", " ")</f>
        <v xml:space="preserve"> </v>
      </c>
      <c r="D207" s="691" t="s">
        <v>432</v>
      </c>
      <c r="E207" s="692" t="str">
        <f>IF(D207="Yes","To    :   ", " ")</f>
        <v xml:space="preserve"> </v>
      </c>
      <c r="F207" s="1424" t="str">
        <f>IF(D207="Yes", LUC!D$35 &amp; " ; " &amp; LUC!D$36 &amp; " ; " &amp; LUC!D$39 &amp; " ; " &amp; LUC!D$40 &amp; " ; " &amp; LUC!D$45 &amp; " ; " &amp; LUC!D$46 &amp; " ; " &amp; LUC!D$47, " ")</f>
        <v xml:space="preserve"> </v>
      </c>
      <c r="G207" s="1424"/>
      <c r="H207" s="1424"/>
      <c r="I207" s="1424"/>
      <c r="J207" s="1424"/>
      <c r="K207" s="1424"/>
      <c r="L207" s="1425"/>
      <c r="M207" s="379"/>
      <c r="N207" s="390"/>
      <c r="O207" s="390"/>
    </row>
    <row r="208" spans="1:15" ht="15.75" x14ac:dyDescent="0.25">
      <c r="A208" s="602"/>
      <c r="B208" s="416"/>
      <c r="C208" s="671" t="str">
        <f>IF(D207="Yes","sheet 'LUC' ", " ")</f>
        <v xml:space="preserve"> </v>
      </c>
      <c r="D208" s="495"/>
      <c r="E208" s="696"/>
      <c r="F208" s="1424"/>
      <c r="G208" s="1424"/>
      <c r="H208" s="1424"/>
      <c r="I208" s="1424"/>
      <c r="J208" s="1424"/>
      <c r="K208" s="1424"/>
      <c r="L208" s="1425"/>
      <c r="M208" s="379"/>
      <c r="N208" s="390"/>
      <c r="O208" s="390"/>
    </row>
    <row r="209" spans="1:15" ht="15.75" x14ac:dyDescent="0.25">
      <c r="A209" s="602"/>
      <c r="B209" s="416"/>
      <c r="C209" s="670" t="str">
        <f>IF(D207="Yes","to calculate the land use change", " ")</f>
        <v xml:space="preserve"> </v>
      </c>
      <c r="D209" s="495"/>
      <c r="E209" s="696"/>
      <c r="F209" s="694"/>
      <c r="G209" s="694"/>
      <c r="H209" s="694"/>
      <c r="I209" s="492" t="s">
        <v>746</v>
      </c>
      <c r="J209" s="514"/>
      <c r="K209" s="694"/>
      <c r="L209" s="695"/>
      <c r="M209" s="379"/>
      <c r="N209" s="390"/>
      <c r="O209" s="390"/>
    </row>
    <row r="210" spans="1:15" ht="16.5" x14ac:dyDescent="0.3">
      <c r="A210" s="602"/>
      <c r="B210" s="416"/>
      <c r="C210" s="670"/>
      <c r="D210" s="495"/>
      <c r="E210" s="696"/>
      <c r="F210" s="694"/>
      <c r="G210" s="694"/>
      <c r="H210" s="694"/>
      <c r="I210" s="539" t="s">
        <v>1053</v>
      </c>
      <c r="J210" s="539" t="s">
        <v>1054</v>
      </c>
      <c r="K210" s="539" t="s">
        <v>1055</v>
      </c>
      <c r="L210" s="540" t="s">
        <v>1056</v>
      </c>
      <c r="M210" s="379"/>
      <c r="N210" s="390"/>
      <c r="O210" s="390"/>
    </row>
    <row r="211" spans="1:15" ht="16.5" x14ac:dyDescent="0.3">
      <c r="A211" s="602"/>
      <c r="B211" s="507" t="s">
        <v>451</v>
      </c>
      <c r="C211" s="697">
        <f>IF(D207="Yes",LUC!$J$86,0)</f>
        <v>0</v>
      </c>
      <c r="D211" s="497" t="s">
        <v>449</v>
      </c>
      <c r="E211" s="503"/>
      <c r="F211" s="495"/>
      <c r="G211" s="495"/>
      <c r="H211" s="495"/>
      <c r="I211" s="544">
        <f>$C211*1000000/$E$248</f>
        <v>0</v>
      </c>
      <c r="J211" s="544">
        <v>0</v>
      </c>
      <c r="K211" s="544">
        <v>0</v>
      </c>
      <c r="L211" s="419">
        <f>I211*'Standard values'!$D$10+J211*'Standard values'!$D$11+K211*'Standard values'!$D$12</f>
        <v>0</v>
      </c>
      <c r="M211" s="379"/>
      <c r="N211" s="390"/>
      <c r="O211" s="390"/>
    </row>
    <row r="212" spans="1:15" ht="15.75" x14ac:dyDescent="0.25">
      <c r="A212" s="602"/>
      <c r="B212" s="507"/>
      <c r="C212" s="698"/>
      <c r="D212" s="497"/>
      <c r="E212" s="503"/>
      <c r="F212" s="495"/>
      <c r="G212" s="495"/>
      <c r="H212" s="495"/>
      <c r="I212" s="544"/>
      <c r="J212" s="544"/>
      <c r="K212" s="544"/>
      <c r="L212" s="516">
        <f>SUM(L211:L211)</f>
        <v>0</v>
      </c>
      <c r="M212" s="379"/>
      <c r="N212" s="390"/>
      <c r="O212" s="390"/>
    </row>
    <row r="213" spans="1:15" ht="15.75" x14ac:dyDescent="0.25">
      <c r="A213" s="602"/>
      <c r="B213" s="416"/>
      <c r="C213" s="492"/>
      <c r="D213" s="495"/>
      <c r="E213" s="503"/>
      <c r="F213" s="495"/>
      <c r="G213" s="495"/>
      <c r="H213" s="495"/>
      <c r="I213" s="544"/>
      <c r="J213" s="544"/>
      <c r="K213" s="544"/>
      <c r="L213" s="516"/>
      <c r="M213" s="379"/>
      <c r="N213" s="390"/>
      <c r="O213" s="390"/>
    </row>
    <row r="214" spans="1:15" ht="15.75" x14ac:dyDescent="0.3">
      <c r="A214" s="503"/>
      <c r="B214" s="539" t="s">
        <v>452</v>
      </c>
      <c r="C214" s="595">
        <v>0</v>
      </c>
      <c r="D214" s="605" t="s">
        <v>672</v>
      </c>
      <c r="E214" s="699"/>
      <c r="F214" s="495"/>
      <c r="G214" s="495"/>
      <c r="H214" s="495"/>
      <c r="I214" s="544">
        <f>-C214</f>
        <v>0</v>
      </c>
      <c r="J214" s="544">
        <v>0</v>
      </c>
      <c r="K214" s="544">
        <v>0</v>
      </c>
      <c r="L214" s="419">
        <f>I214*'Standard values'!$D$10+J214*'Standard values'!$D$11+K214*'Standard values'!$D$12</f>
        <v>0</v>
      </c>
      <c r="M214" s="379"/>
      <c r="N214" s="390"/>
      <c r="O214" s="390"/>
    </row>
    <row r="215" spans="1:15" x14ac:dyDescent="0.2">
      <c r="A215" s="503"/>
      <c r="B215" s="539" t="str">
        <f>IF(C214=-29,"Year of conversion:","")</f>
        <v/>
      </c>
      <c r="C215" s="539" t="str">
        <f>IF(D214=-29,"Year of conversion:","")</f>
        <v/>
      </c>
      <c r="D215" s="605" t="str">
        <f>IF(C214=-29,"Fill in the year of conversion","")</f>
        <v/>
      </c>
      <c r="E215" s="503"/>
      <c r="F215" s="495"/>
      <c r="G215" s="495"/>
      <c r="H215" s="495"/>
      <c r="I215" s="495"/>
      <c r="J215" s="495"/>
      <c r="K215" s="544"/>
      <c r="L215" s="516">
        <f>SUM(L214:L214)</f>
        <v>0</v>
      </c>
      <c r="M215" s="379"/>
      <c r="N215" s="390"/>
      <c r="O215" s="390"/>
    </row>
    <row r="216" spans="1:15" x14ac:dyDescent="0.2">
      <c r="A216" s="503"/>
      <c r="B216" s="539"/>
      <c r="C216" s="539"/>
      <c r="D216" s="605"/>
      <c r="E216" s="503"/>
      <c r="F216" s="495"/>
      <c r="G216" s="495"/>
      <c r="H216" s="495"/>
      <c r="I216" s="495"/>
      <c r="J216" s="495"/>
      <c r="K216" s="544"/>
      <c r="L216" s="700"/>
      <c r="M216" s="379"/>
      <c r="N216" s="390"/>
      <c r="O216" s="390"/>
    </row>
    <row r="217" spans="1:15" ht="14.25" x14ac:dyDescent="0.25">
      <c r="A217" s="519"/>
      <c r="B217" s="520"/>
      <c r="C217" s="520"/>
      <c r="D217" s="520"/>
      <c r="E217" s="519"/>
      <c r="F217" s="521"/>
      <c r="G217" s="521"/>
      <c r="H217" s="521" t="s">
        <v>534</v>
      </c>
      <c r="I217" s="520"/>
      <c r="J217" s="523" t="s">
        <v>747</v>
      </c>
      <c r="K217" s="549"/>
      <c r="L217" s="525">
        <f>L212+L215</f>
        <v>0</v>
      </c>
      <c r="M217" s="379"/>
      <c r="N217" s="390"/>
      <c r="O217" s="390"/>
    </row>
    <row r="218" spans="1:15" x14ac:dyDescent="0.2">
      <c r="A218" s="390"/>
      <c r="B218" s="390"/>
      <c r="C218" s="390"/>
      <c r="D218" s="390"/>
      <c r="E218" s="390"/>
      <c r="F218" s="376"/>
      <c r="G218" s="376"/>
      <c r="H218" s="376"/>
      <c r="I218" s="390"/>
      <c r="J218" s="550"/>
      <c r="K218" s="551"/>
      <c r="L218" s="604"/>
      <c r="M218" s="379"/>
      <c r="N218" s="390"/>
      <c r="O218" s="390"/>
    </row>
    <row r="219" spans="1:15" x14ac:dyDescent="0.2">
      <c r="A219" s="390"/>
      <c r="B219" s="390"/>
      <c r="C219" s="390"/>
      <c r="D219" s="390"/>
      <c r="E219" s="390"/>
      <c r="F219" s="376"/>
      <c r="G219" s="376"/>
      <c r="H219" s="376"/>
      <c r="I219" s="390"/>
      <c r="J219" s="550"/>
      <c r="K219" s="551"/>
      <c r="L219" s="604"/>
      <c r="M219" s="379"/>
      <c r="N219" s="390"/>
      <c r="O219" s="390"/>
    </row>
    <row r="220" spans="1:15" ht="15.75" x14ac:dyDescent="0.25">
      <c r="A220" s="530" t="s">
        <v>547</v>
      </c>
      <c r="B220" s="598"/>
      <c r="C220" s="599"/>
      <c r="D220" s="531"/>
      <c r="E220" s="600"/>
      <c r="F220" s="531"/>
      <c r="G220" s="531"/>
      <c r="H220" s="531"/>
      <c r="I220" s="531"/>
      <c r="J220" s="531"/>
      <c r="K220" s="531"/>
      <c r="L220" s="601"/>
      <c r="M220" s="379"/>
      <c r="N220" s="390"/>
      <c r="O220" s="390"/>
    </row>
    <row r="221" spans="1:15" ht="15.75" x14ac:dyDescent="0.25">
      <c r="A221" s="602"/>
      <c r="B221" s="416" t="s">
        <v>548</v>
      </c>
      <c r="C221" s="492" t="s">
        <v>429</v>
      </c>
      <c r="D221" s="616"/>
      <c r="E221" s="503"/>
      <c r="F221" s="495"/>
      <c r="G221" s="495"/>
      <c r="H221" s="495"/>
      <c r="I221" s="492" t="s">
        <v>746</v>
      </c>
      <c r="J221" s="514"/>
      <c r="K221" s="514"/>
      <c r="L221" s="537"/>
      <c r="M221" s="379"/>
      <c r="N221" s="390"/>
      <c r="O221" s="390"/>
    </row>
    <row r="222" spans="1:15" ht="15.75" customHeight="1" x14ac:dyDescent="0.25">
      <c r="A222" s="602"/>
      <c r="B222" s="511"/>
      <c r="C222" s="668"/>
      <c r="D222" s="691" t="s">
        <v>431</v>
      </c>
      <c r="E222" s="692" t="str">
        <f>IF(D224="Yes","From :  ", " ")</f>
        <v xml:space="preserve"> </v>
      </c>
      <c r="F222" s="1422" t="str">
        <f>IF(D224="Yes",Esca!H$42 &amp; ", " &amp; Esca!H$43 &amp; " input ","")</f>
        <v/>
      </c>
      <c r="G222" s="1422"/>
      <c r="H222" s="1422"/>
      <c r="I222" s="1422"/>
      <c r="J222" s="1422"/>
      <c r="K222" s="1422"/>
      <c r="L222" s="1423"/>
      <c r="M222" s="379"/>
      <c r="N222" s="390"/>
      <c r="O222" s="390"/>
    </row>
    <row r="223" spans="1:15" ht="15.75" x14ac:dyDescent="0.25">
      <c r="A223" s="602"/>
      <c r="B223" s="539" t="s">
        <v>430</v>
      </c>
      <c r="C223" s="668"/>
      <c r="D223" s="691" t="s">
        <v>432</v>
      </c>
      <c r="E223" s="513"/>
      <c r="F223" s="1422"/>
      <c r="G223" s="1422"/>
      <c r="H223" s="1422"/>
      <c r="I223" s="1422"/>
      <c r="J223" s="1422"/>
      <c r="K223" s="1422"/>
      <c r="L223" s="1423"/>
      <c r="M223" s="379"/>
      <c r="N223" s="390"/>
      <c r="O223" s="390"/>
    </row>
    <row r="224" spans="1:15" ht="15.75" customHeight="1" x14ac:dyDescent="0.25">
      <c r="A224" s="602"/>
      <c r="B224" s="511"/>
      <c r="C224" s="670" t="str">
        <f>IF(D224="Yes","Go to", " ")</f>
        <v xml:space="preserve"> </v>
      </c>
      <c r="D224" s="691" t="s">
        <v>432</v>
      </c>
      <c r="E224" s="692" t="str">
        <f>IF(D224="Yes","To    :   ", " ")</f>
        <v xml:space="preserve"> </v>
      </c>
      <c r="F224" s="1422" t="str">
        <f>IF(D224="Yes",Esca!D$42 &amp; ", " &amp; Esca!D$43 &amp; " input ","")</f>
        <v/>
      </c>
      <c r="G224" s="1422"/>
      <c r="H224" s="1422"/>
      <c r="I224" s="1422"/>
      <c r="J224" s="1422"/>
      <c r="K224" s="1422"/>
      <c r="L224" s="1423"/>
      <c r="M224" s="379"/>
      <c r="N224" s="390"/>
      <c r="O224" s="390"/>
    </row>
    <row r="225" spans="1:15" ht="15.75" x14ac:dyDescent="0.25">
      <c r="A225" s="602"/>
      <c r="B225" s="416"/>
      <c r="C225" s="671" t="str">
        <f>IF(D224="Yes","sheet 'Esca' ", " ")</f>
        <v xml:space="preserve"> </v>
      </c>
      <c r="D225" s="495"/>
      <c r="E225" s="696"/>
      <c r="F225" s="1422"/>
      <c r="G225" s="1422"/>
      <c r="H225" s="1422"/>
      <c r="I225" s="1422"/>
      <c r="J225" s="1422"/>
      <c r="K225" s="1422"/>
      <c r="L225" s="1423"/>
      <c r="M225" s="379"/>
      <c r="N225" s="390"/>
      <c r="O225" s="390"/>
    </row>
    <row r="226" spans="1:15" ht="15.75" x14ac:dyDescent="0.25">
      <c r="A226" s="602"/>
      <c r="B226" s="416"/>
      <c r="C226" s="670" t="str">
        <f>IF(D224="Yes","to calculate the soil carbon accumulation", " ")</f>
        <v xml:space="preserve"> </v>
      </c>
      <c r="D226" s="495"/>
      <c r="E226" s="696"/>
      <c r="F226" s="694"/>
      <c r="G226" s="694"/>
      <c r="H226" s="694"/>
      <c r="I226" s="492" t="s">
        <v>746</v>
      </c>
      <c r="J226" s="514"/>
      <c r="K226" s="694"/>
      <c r="L226" s="695"/>
      <c r="M226" s="379"/>
      <c r="N226" s="390"/>
      <c r="O226" s="390"/>
    </row>
    <row r="227" spans="1:15" ht="16.5" x14ac:dyDescent="0.3">
      <c r="A227" s="602"/>
      <c r="B227" s="416"/>
      <c r="C227" s="670"/>
      <c r="D227" s="495"/>
      <c r="E227" s="696"/>
      <c r="F227" s="694"/>
      <c r="G227" s="694"/>
      <c r="H227" s="694"/>
      <c r="I227" s="539" t="s">
        <v>1053</v>
      </c>
      <c r="J227" s="539" t="s">
        <v>1054</v>
      </c>
      <c r="K227" s="539" t="s">
        <v>1055</v>
      </c>
      <c r="L227" s="540" t="s">
        <v>1056</v>
      </c>
      <c r="M227" s="379"/>
      <c r="N227" s="390"/>
      <c r="O227" s="390"/>
    </row>
    <row r="228" spans="1:15" ht="16.5" x14ac:dyDescent="0.3">
      <c r="A228" s="602"/>
      <c r="B228" s="507" t="s">
        <v>807</v>
      </c>
      <c r="C228" s="697">
        <f>IF(D224="yes",Esca!$J$81,0)</f>
        <v>0</v>
      </c>
      <c r="D228" s="497" t="s">
        <v>449</v>
      </c>
      <c r="E228" s="503"/>
      <c r="F228" s="495"/>
      <c r="G228" s="495"/>
      <c r="H228" s="495"/>
      <c r="I228" s="544">
        <f>$C228*1000000/$E$248</f>
        <v>0</v>
      </c>
      <c r="J228" s="544">
        <v>0</v>
      </c>
      <c r="K228" s="544">
        <v>0</v>
      </c>
      <c r="L228" s="419">
        <f>I228*'Standard values'!$D$10+J228*'Standard values'!$D$11+K228*'Standard values'!$D$12</f>
        <v>0</v>
      </c>
      <c r="M228" s="379"/>
      <c r="N228" s="390"/>
      <c r="O228" s="390"/>
    </row>
    <row r="229" spans="1:15" x14ac:dyDescent="0.2">
      <c r="A229" s="503"/>
      <c r="B229" s="539"/>
      <c r="C229" s="539"/>
      <c r="D229" s="605"/>
      <c r="E229" s="503"/>
      <c r="F229" s="495"/>
      <c r="G229" s="495"/>
      <c r="H229" s="495"/>
      <c r="I229" s="495"/>
      <c r="J229" s="495"/>
      <c r="K229" s="544"/>
      <c r="L229" s="516">
        <f>SUM(L228:L228)</f>
        <v>0</v>
      </c>
      <c r="M229" s="379"/>
      <c r="N229" s="390"/>
      <c r="O229" s="390"/>
    </row>
    <row r="230" spans="1:15" x14ac:dyDescent="0.2">
      <c r="A230" s="503"/>
      <c r="B230" s="539"/>
      <c r="C230" s="539"/>
      <c r="D230" s="605"/>
      <c r="E230" s="503"/>
      <c r="F230" s="495"/>
      <c r="G230" s="495"/>
      <c r="H230" s="495"/>
      <c r="I230" s="495"/>
      <c r="J230" s="495"/>
      <c r="K230" s="544"/>
      <c r="L230" s="700"/>
      <c r="M230" s="379"/>
      <c r="N230" s="390"/>
      <c r="O230" s="390"/>
    </row>
    <row r="231" spans="1:15" ht="14.25" x14ac:dyDescent="0.25">
      <c r="A231" s="519"/>
      <c r="B231" s="520"/>
      <c r="C231" s="520"/>
      <c r="D231" s="520"/>
      <c r="E231" s="519"/>
      <c r="F231" s="521"/>
      <c r="G231" s="521"/>
      <c r="H231" s="521" t="s">
        <v>534</v>
      </c>
      <c r="I231" s="520"/>
      <c r="J231" s="523" t="s">
        <v>747</v>
      </c>
      <c r="K231" s="549"/>
      <c r="L231" s="525">
        <f>L229</f>
        <v>0</v>
      </c>
      <c r="M231" s="379"/>
      <c r="N231" s="390"/>
      <c r="O231" s="390"/>
    </row>
    <row r="232" spans="1:15" x14ac:dyDescent="0.2">
      <c r="A232" s="390"/>
      <c r="B232" s="390"/>
      <c r="C232" s="390"/>
      <c r="D232" s="390"/>
      <c r="E232" s="390"/>
      <c r="F232" s="376"/>
      <c r="G232" s="376"/>
      <c r="H232" s="376"/>
      <c r="I232" s="390"/>
      <c r="J232" s="550"/>
      <c r="K232" s="551"/>
      <c r="L232" s="604"/>
      <c r="M232" s="379"/>
      <c r="N232" s="390"/>
      <c r="O232" s="390"/>
    </row>
    <row r="233" spans="1:15" x14ac:dyDescent="0.2">
      <c r="A233" s="390"/>
      <c r="B233" s="390"/>
      <c r="C233" s="390"/>
      <c r="D233" s="390"/>
      <c r="E233" s="390"/>
      <c r="F233" s="376"/>
      <c r="G233" s="376"/>
      <c r="H233" s="376"/>
      <c r="I233" s="390"/>
      <c r="J233" s="550"/>
      <c r="K233" s="551"/>
      <c r="L233" s="604"/>
      <c r="M233" s="379"/>
      <c r="N233" s="390"/>
      <c r="O233" s="390"/>
    </row>
    <row r="234" spans="1:15" ht="18.75" x14ac:dyDescent="0.35">
      <c r="A234" s="530" t="s">
        <v>168</v>
      </c>
      <c r="B234" s="598"/>
      <c r="C234" s="599"/>
      <c r="D234" s="531"/>
      <c r="E234" s="600"/>
      <c r="F234" s="531"/>
      <c r="G234" s="531"/>
      <c r="H234" s="531"/>
      <c r="I234" s="531"/>
      <c r="J234" s="531"/>
      <c r="K234" s="531"/>
      <c r="L234" s="601"/>
      <c r="M234" s="379"/>
      <c r="N234" s="390"/>
      <c r="O234" s="390"/>
    </row>
    <row r="235" spans="1:15" ht="15.75" x14ac:dyDescent="0.25">
      <c r="A235" s="602"/>
      <c r="B235" s="416" t="s">
        <v>166</v>
      </c>
      <c r="C235" s="492"/>
      <c r="D235" s="495"/>
      <c r="E235" s="503"/>
      <c r="F235" s="495"/>
      <c r="G235" s="495"/>
      <c r="H235" s="495"/>
      <c r="I235" s="492" t="s">
        <v>746</v>
      </c>
      <c r="J235" s="514"/>
      <c r="K235" s="514"/>
      <c r="L235" s="537"/>
      <c r="M235" s="379"/>
      <c r="N235" s="390"/>
      <c r="O235" s="390"/>
    </row>
    <row r="236" spans="1:15" ht="15.75" x14ac:dyDescent="0.3">
      <c r="A236" s="503"/>
      <c r="B236" s="539"/>
      <c r="C236" s="595">
        <v>0</v>
      </c>
      <c r="D236" s="605" t="s">
        <v>672</v>
      </c>
      <c r="E236" s="503"/>
      <c r="F236" s="495"/>
      <c r="G236" s="495"/>
      <c r="H236" s="495"/>
      <c r="I236" s="495"/>
      <c r="J236" s="495"/>
      <c r="K236" s="544"/>
      <c r="L236" s="516">
        <f>C236</f>
        <v>0</v>
      </c>
      <c r="M236" s="379"/>
      <c r="N236" s="390"/>
      <c r="O236" s="390"/>
    </row>
    <row r="237" spans="1:15" ht="14.25" x14ac:dyDescent="0.25">
      <c r="A237" s="519"/>
      <c r="B237" s="520"/>
      <c r="C237" s="701"/>
      <c r="D237" s="520"/>
      <c r="E237" s="519"/>
      <c r="F237" s="521"/>
      <c r="G237" s="521"/>
      <c r="H237" s="521" t="s">
        <v>534</v>
      </c>
      <c r="I237" s="520"/>
      <c r="J237" s="523" t="s">
        <v>747</v>
      </c>
      <c r="K237" s="549"/>
      <c r="L237" s="525">
        <f>C236</f>
        <v>0</v>
      </c>
      <c r="M237" s="379"/>
      <c r="N237" s="390"/>
      <c r="O237" s="390"/>
    </row>
    <row r="238" spans="1:15" x14ac:dyDescent="0.2">
      <c r="A238" s="390"/>
      <c r="B238" s="390"/>
      <c r="C238" s="390"/>
      <c r="D238" s="390"/>
      <c r="E238" s="390"/>
      <c r="F238" s="376"/>
      <c r="G238" s="376"/>
      <c r="H238" s="376"/>
      <c r="I238" s="390"/>
      <c r="J238" s="550"/>
      <c r="K238" s="551"/>
      <c r="L238" s="604"/>
      <c r="M238" s="379"/>
      <c r="N238" s="390"/>
      <c r="O238" s="390"/>
    </row>
    <row r="239" spans="1:15" x14ac:dyDescent="0.2">
      <c r="A239" s="390"/>
      <c r="B239" s="390"/>
      <c r="C239" s="390"/>
      <c r="D239" s="390"/>
      <c r="E239" s="390"/>
      <c r="F239" s="376"/>
      <c r="G239" s="376"/>
      <c r="H239" s="376"/>
      <c r="I239" s="390"/>
      <c r="J239" s="550"/>
      <c r="K239" s="551"/>
      <c r="L239" s="604"/>
      <c r="M239" s="379"/>
      <c r="N239" s="390"/>
      <c r="O239" s="390"/>
    </row>
    <row r="240" spans="1:15" ht="18.75" x14ac:dyDescent="0.35">
      <c r="A240" s="530" t="s">
        <v>169</v>
      </c>
      <c r="B240" s="598"/>
      <c r="C240" s="599"/>
      <c r="D240" s="531"/>
      <c r="E240" s="600"/>
      <c r="F240" s="531"/>
      <c r="G240" s="531"/>
      <c r="H240" s="531"/>
      <c r="I240" s="531"/>
      <c r="J240" s="531"/>
      <c r="K240" s="531"/>
      <c r="L240" s="601"/>
      <c r="M240" s="379"/>
      <c r="N240" s="390"/>
      <c r="O240" s="390"/>
    </row>
    <row r="241" spans="1:15" ht="15.75" x14ac:dyDescent="0.25">
      <c r="A241" s="602"/>
      <c r="B241" s="416" t="s">
        <v>167</v>
      </c>
      <c r="C241" s="492"/>
      <c r="D241" s="495"/>
      <c r="E241" s="503"/>
      <c r="F241" s="495"/>
      <c r="G241" s="495"/>
      <c r="H241" s="495"/>
      <c r="I241" s="492" t="s">
        <v>746</v>
      </c>
      <c r="J241" s="514"/>
      <c r="K241" s="514"/>
      <c r="L241" s="537"/>
      <c r="M241" s="379"/>
      <c r="N241" s="390"/>
      <c r="O241" s="390"/>
    </row>
    <row r="242" spans="1:15" ht="15.75" x14ac:dyDescent="0.3">
      <c r="A242" s="503"/>
      <c r="B242" s="539"/>
      <c r="C242" s="595">
        <v>0</v>
      </c>
      <c r="D242" s="605" t="s">
        <v>672</v>
      </c>
      <c r="E242" s="503"/>
      <c r="F242" s="495"/>
      <c r="G242" s="495"/>
      <c r="H242" s="495"/>
      <c r="I242" s="495"/>
      <c r="J242" s="495"/>
      <c r="K242" s="544"/>
      <c r="L242" s="516">
        <f>C242</f>
        <v>0</v>
      </c>
      <c r="M242" s="379"/>
      <c r="N242" s="390"/>
      <c r="O242" s="390"/>
    </row>
    <row r="243" spans="1:15" ht="14.25" x14ac:dyDescent="0.25">
      <c r="A243" s="519"/>
      <c r="B243" s="520"/>
      <c r="C243" s="520"/>
      <c r="D243" s="520"/>
      <c r="E243" s="519"/>
      <c r="F243" s="521"/>
      <c r="G243" s="521"/>
      <c r="H243" s="521" t="s">
        <v>534</v>
      </c>
      <c r="I243" s="520"/>
      <c r="J243" s="523" t="s">
        <v>747</v>
      </c>
      <c r="K243" s="549"/>
      <c r="L243" s="525">
        <f>C242</f>
        <v>0</v>
      </c>
      <c r="M243" s="379"/>
      <c r="N243" s="390"/>
      <c r="O243" s="390"/>
    </row>
    <row r="244" spans="1:15" x14ac:dyDescent="0.2">
      <c r="A244" s="390"/>
      <c r="B244" s="390"/>
      <c r="C244" s="390"/>
      <c r="D244" s="390"/>
      <c r="E244" s="390"/>
      <c r="F244" s="376"/>
      <c r="G244" s="376"/>
      <c r="H244" s="376"/>
      <c r="I244" s="390"/>
      <c r="J244" s="550"/>
      <c r="K244" s="551"/>
      <c r="L244" s="604"/>
      <c r="M244" s="379"/>
      <c r="N244" s="390"/>
      <c r="O244" s="390"/>
    </row>
    <row r="245" spans="1:15" x14ac:dyDescent="0.2">
      <c r="A245" s="390"/>
      <c r="B245" s="390"/>
      <c r="C245" s="390"/>
      <c r="D245" s="390"/>
      <c r="E245" s="390"/>
      <c r="F245" s="376"/>
      <c r="G245" s="376"/>
      <c r="H245" s="376"/>
      <c r="I245" s="390"/>
      <c r="J245" s="550"/>
      <c r="K245" s="551"/>
      <c r="L245" s="604"/>
      <c r="M245" s="379"/>
      <c r="N245" s="390"/>
      <c r="O245" s="390"/>
    </row>
    <row r="246" spans="1:15" ht="15.75" x14ac:dyDescent="0.25">
      <c r="A246" s="530" t="s">
        <v>457</v>
      </c>
      <c r="B246" s="531"/>
      <c r="C246" s="531"/>
      <c r="D246" s="531"/>
      <c r="E246" s="532"/>
      <c r="F246" s="606"/>
      <c r="G246" s="606"/>
      <c r="H246" s="606"/>
      <c r="I246" s="607"/>
      <c r="J246" s="608"/>
      <c r="K246" s="607"/>
      <c r="L246" s="609"/>
      <c r="M246" s="379"/>
      <c r="N246" s="390"/>
      <c r="O246" s="390"/>
    </row>
    <row r="247" spans="1:15" ht="15.75" x14ac:dyDescent="0.25">
      <c r="A247" s="610"/>
      <c r="B247" s="611"/>
      <c r="C247" s="611"/>
      <c r="D247" s="611"/>
      <c r="E247" s="612"/>
      <c r="F247" s="613"/>
      <c r="G247" s="613"/>
      <c r="H247" s="613"/>
      <c r="I247" s="613"/>
      <c r="J247" s="613"/>
      <c r="K247" s="613"/>
      <c r="L247" s="614"/>
      <c r="M247" s="379"/>
      <c r="N247" s="390"/>
      <c r="O247" s="390"/>
    </row>
    <row r="248" spans="1:15" ht="15.75" x14ac:dyDescent="0.3">
      <c r="A248" s="503"/>
      <c r="B248" s="495"/>
      <c r="C248" s="495"/>
      <c r="D248" s="546" t="s">
        <v>300</v>
      </c>
      <c r="E248" s="702">
        <f>E27*C52*C63*C74*C104*C115*C135*C146*C180*C192</f>
        <v>42790.945045880188</v>
      </c>
      <c r="F248" s="499" t="s">
        <v>655</v>
      </c>
      <c r="G248" s="499"/>
      <c r="H248" s="495"/>
      <c r="I248" s="495"/>
      <c r="J248" s="495"/>
      <c r="K248" s="495"/>
      <c r="L248" s="616"/>
      <c r="M248" s="379"/>
      <c r="N248" s="390"/>
      <c r="O248" s="390"/>
    </row>
    <row r="249" spans="1:15" ht="15.75" x14ac:dyDescent="0.3">
      <c r="A249" s="503"/>
      <c r="B249" s="495"/>
      <c r="C249" s="495"/>
      <c r="D249" s="546" t="s">
        <v>299</v>
      </c>
      <c r="E249" s="615">
        <f>E248/E27</f>
        <v>0.57844828987377617</v>
      </c>
      <c r="F249" s="495" t="s">
        <v>657</v>
      </c>
      <c r="G249" s="495"/>
      <c r="H249" s="495"/>
      <c r="I249" s="544"/>
      <c r="J249" s="495"/>
      <c r="K249" s="495"/>
      <c r="L249" s="616"/>
      <c r="M249" s="379"/>
      <c r="N249" s="390"/>
      <c r="O249" s="390"/>
    </row>
    <row r="250" spans="1:15" x14ac:dyDescent="0.2">
      <c r="A250" s="503"/>
      <c r="B250" s="495"/>
      <c r="C250" s="495"/>
      <c r="D250" s="495"/>
      <c r="E250" s="495"/>
      <c r="F250" s="617"/>
      <c r="G250" s="617"/>
      <c r="H250" s="495"/>
      <c r="I250" s="544"/>
      <c r="J250" s="495"/>
      <c r="K250" s="495"/>
      <c r="L250" s="616"/>
      <c r="M250" s="379"/>
      <c r="N250" s="390"/>
      <c r="O250" s="390"/>
    </row>
    <row r="251" spans="1:15" x14ac:dyDescent="0.2">
      <c r="A251" s="503"/>
      <c r="B251" s="495"/>
      <c r="C251" s="495"/>
      <c r="D251" s="495"/>
      <c r="E251" s="495"/>
      <c r="F251" s="617"/>
      <c r="G251" s="617"/>
      <c r="H251" s="495"/>
      <c r="I251" s="495"/>
      <c r="J251" s="495"/>
      <c r="K251" s="495"/>
      <c r="L251" s="616"/>
      <c r="M251" s="379"/>
      <c r="N251" s="390"/>
      <c r="O251" s="390"/>
    </row>
    <row r="252" spans="1:15" ht="14.25" x14ac:dyDescent="0.25">
      <c r="A252" s="703"/>
      <c r="B252" s="404"/>
      <c r="C252" s="404"/>
      <c r="D252" s="404"/>
      <c r="E252" s="704" t="s">
        <v>1059</v>
      </c>
      <c r="F252" s="705"/>
      <c r="G252" s="705"/>
      <c r="H252" s="423"/>
      <c r="I252" s="404"/>
      <c r="J252" s="704" t="s">
        <v>747</v>
      </c>
      <c r="K252" s="423"/>
      <c r="L252" s="706">
        <f>L48+L59+L69+L91+L110+L131+L141+L167+L188+L200+L217-L231-L237-L243</f>
        <v>76.104417707835125</v>
      </c>
      <c r="M252" s="379"/>
      <c r="N252" s="390"/>
      <c r="O252" s="390"/>
    </row>
    <row r="253" spans="1:15" ht="14.25" x14ac:dyDescent="0.25">
      <c r="A253" s="707"/>
      <c r="B253" s="708"/>
      <c r="C253" s="709"/>
      <c r="D253" s="404"/>
      <c r="E253" s="704" t="s">
        <v>1060</v>
      </c>
      <c r="F253" s="404"/>
      <c r="G253" s="404"/>
      <c r="H253" s="404"/>
      <c r="I253" s="404"/>
      <c r="J253" s="704" t="s">
        <v>747</v>
      </c>
      <c r="K253" s="404"/>
      <c r="L253" s="710">
        <f>L176+L188+L200+(L212*J6*J9)+L215-L231-L237-L243</f>
        <v>52.033038333763471</v>
      </c>
      <c r="M253" s="379"/>
      <c r="N253" s="390"/>
      <c r="O253" s="390"/>
    </row>
    <row r="254" spans="1:15" x14ac:dyDescent="0.2">
      <c r="A254" s="703"/>
      <c r="B254" s="404"/>
      <c r="C254" s="404"/>
      <c r="D254" s="404"/>
      <c r="E254" s="404"/>
      <c r="F254" s="711"/>
      <c r="G254" s="711"/>
      <c r="H254" s="404"/>
      <c r="I254" s="404"/>
      <c r="J254" s="404"/>
      <c r="K254" s="404"/>
      <c r="L254" s="712"/>
      <c r="M254" s="379"/>
      <c r="N254" s="390"/>
      <c r="O254" s="390"/>
    </row>
    <row r="255" spans="1:15" x14ac:dyDescent="0.2">
      <c r="A255" s="519"/>
      <c r="B255" s="520"/>
      <c r="C255" s="520"/>
      <c r="D255" s="520"/>
      <c r="E255" s="713" t="s">
        <v>1061</v>
      </c>
      <c r="F255" s="632"/>
      <c r="G255" s="632"/>
      <c r="H255" s="632"/>
      <c r="I255" s="632"/>
      <c r="J255" s="632"/>
      <c r="K255" s="632"/>
      <c r="L255" s="633">
        <f>(83.8-L253)/83.8</f>
        <v>0.37908068814124735</v>
      </c>
      <c r="M255" s="379"/>
      <c r="N255" s="390"/>
      <c r="O255" s="390"/>
    </row>
    <row r="256" spans="1:15" x14ac:dyDescent="0.2">
      <c r="M256" s="361"/>
    </row>
    <row r="257" spans="5:14" x14ac:dyDescent="0.2">
      <c r="E257" s="634"/>
      <c r="F257" s="634"/>
      <c r="G257" s="634"/>
      <c r="H257" s="635"/>
      <c r="I257" s="634"/>
      <c r="J257" s="634"/>
      <c r="K257" s="634"/>
      <c r="L257" s="636"/>
      <c r="M257" s="361"/>
    </row>
    <row r="258" spans="5:14" x14ac:dyDescent="0.2">
      <c r="F258" s="634"/>
      <c r="G258" s="634"/>
      <c r="H258" s="634"/>
      <c r="I258" s="637"/>
      <c r="J258" s="634"/>
      <c r="K258" s="634"/>
      <c r="L258" s="638"/>
      <c r="M258" s="639"/>
      <c r="N258" s="361"/>
    </row>
    <row r="259" spans="5:14" x14ac:dyDescent="0.2">
      <c r="F259" s="634"/>
      <c r="G259" s="634"/>
      <c r="H259" s="634"/>
      <c r="I259" s="637"/>
      <c r="J259" s="634"/>
      <c r="K259" s="634"/>
      <c r="L259" s="638"/>
      <c r="M259" s="639"/>
      <c r="N259" s="361"/>
    </row>
    <row r="260" spans="5:14" ht="15.75" x14ac:dyDescent="0.25">
      <c r="F260" s="640"/>
      <c r="G260" s="640"/>
      <c r="H260" s="634"/>
      <c r="I260" s="634"/>
      <c r="J260" s="634"/>
      <c r="K260" s="634"/>
      <c r="L260" s="634"/>
      <c r="M260" s="634"/>
      <c r="N260" s="361"/>
    </row>
    <row r="261" spans="5:14" x14ac:dyDescent="0.2">
      <c r="F261" s="634"/>
      <c r="G261" s="634"/>
      <c r="H261" s="637"/>
      <c r="I261" s="634"/>
      <c r="J261" s="634"/>
      <c r="K261" s="634"/>
      <c r="L261" s="634"/>
      <c r="M261" s="634"/>
      <c r="N261" s="634"/>
    </row>
    <row r="262" spans="5:14" x14ac:dyDescent="0.2">
      <c r="F262" s="637"/>
      <c r="G262" s="637"/>
      <c r="H262" s="634"/>
      <c r="I262" s="641"/>
      <c r="J262" s="634"/>
      <c r="K262" s="634"/>
      <c r="L262" s="634"/>
      <c r="M262" s="634"/>
      <c r="N262" s="634"/>
    </row>
    <row r="263" spans="5:14" x14ac:dyDescent="0.2">
      <c r="F263" s="637"/>
      <c r="G263" s="637"/>
      <c r="H263" s="634"/>
      <c r="I263" s="641"/>
      <c r="J263" s="634"/>
      <c r="K263" s="634"/>
      <c r="L263" s="634"/>
      <c r="M263" s="634"/>
      <c r="N263" s="634"/>
    </row>
    <row r="264" spans="5:14" x14ac:dyDescent="0.2">
      <c r="F264" s="634"/>
      <c r="G264" s="634"/>
      <c r="H264" s="639"/>
      <c r="I264" s="634"/>
      <c r="J264" s="634"/>
      <c r="K264" s="634"/>
      <c r="L264" s="634"/>
      <c r="M264" s="634"/>
      <c r="N264" s="634"/>
    </row>
    <row r="265" spans="5:14" x14ac:dyDescent="0.2">
      <c r="F265" s="634"/>
      <c r="G265" s="634"/>
      <c r="H265" s="634"/>
      <c r="I265" s="634"/>
      <c r="J265" s="634"/>
      <c r="K265" s="634"/>
      <c r="L265" s="634"/>
      <c r="M265" s="634"/>
      <c r="N265" s="634"/>
    </row>
    <row r="266" spans="5:14" x14ac:dyDescent="0.2">
      <c r="F266" s="634"/>
      <c r="G266" s="634"/>
      <c r="H266" s="634"/>
      <c r="I266" s="634"/>
      <c r="J266" s="634"/>
      <c r="K266" s="634"/>
      <c r="L266" s="634"/>
      <c r="M266" s="634"/>
      <c r="N266" s="634"/>
    </row>
    <row r="267" spans="5:14" x14ac:dyDescent="0.2">
      <c r="F267" s="634"/>
      <c r="G267" s="634"/>
      <c r="H267" s="634"/>
      <c r="I267" s="634"/>
      <c r="J267" s="634"/>
      <c r="K267" s="634"/>
      <c r="L267" s="634"/>
      <c r="M267" s="634"/>
      <c r="N267" s="634"/>
    </row>
    <row r="268" spans="5:14" x14ac:dyDescent="0.2">
      <c r="F268" s="634"/>
      <c r="G268" s="634"/>
      <c r="H268" s="634"/>
      <c r="I268" s="634"/>
      <c r="J268" s="634"/>
      <c r="K268" s="634"/>
      <c r="L268" s="634"/>
      <c r="M268" s="634"/>
      <c r="N268" s="634"/>
    </row>
    <row r="269" spans="5:14" x14ac:dyDescent="0.2">
      <c r="F269" s="634"/>
      <c r="G269" s="634"/>
      <c r="H269" s="634"/>
      <c r="I269" s="634"/>
      <c r="J269" s="634"/>
      <c r="K269" s="634"/>
      <c r="L269" s="634"/>
      <c r="M269" s="634"/>
      <c r="N269" s="634"/>
    </row>
    <row r="270" spans="5:14" x14ac:dyDescent="0.2">
      <c r="F270" s="634"/>
      <c r="G270" s="634"/>
      <c r="H270" s="634"/>
      <c r="I270" s="634"/>
      <c r="J270" s="634"/>
      <c r="K270" s="634"/>
      <c r="L270" s="634"/>
      <c r="M270" s="634"/>
      <c r="N270" s="634"/>
    </row>
    <row r="271" spans="5:14" x14ac:dyDescent="0.2">
      <c r="F271" s="634"/>
      <c r="G271" s="634"/>
      <c r="H271" s="634"/>
      <c r="I271" s="634"/>
      <c r="J271" s="634"/>
      <c r="K271" s="634"/>
      <c r="L271" s="634"/>
      <c r="M271" s="634"/>
      <c r="N271" s="634"/>
    </row>
    <row r="272" spans="5:14" x14ac:dyDescent="0.2">
      <c r="F272" s="634"/>
      <c r="G272" s="634"/>
      <c r="H272" s="634"/>
      <c r="I272" s="634"/>
      <c r="J272" s="634"/>
      <c r="K272" s="634"/>
      <c r="L272" s="634"/>
      <c r="M272" s="634"/>
      <c r="N272" s="634"/>
    </row>
    <row r="273" spans="6:14" x14ac:dyDescent="0.2">
      <c r="F273" s="634"/>
      <c r="G273" s="634"/>
      <c r="H273" s="634"/>
      <c r="I273" s="634"/>
      <c r="J273" s="634"/>
      <c r="K273" s="634"/>
      <c r="L273" s="634"/>
      <c r="M273" s="634"/>
      <c r="N273" s="634"/>
    </row>
    <row r="274" spans="6:14" x14ac:dyDescent="0.2">
      <c r="F274" s="634"/>
      <c r="G274" s="634"/>
      <c r="H274" s="634"/>
      <c r="I274" s="634"/>
      <c r="J274" s="634"/>
      <c r="K274" s="634"/>
      <c r="L274" s="634"/>
      <c r="M274" s="634"/>
      <c r="N274" s="634"/>
    </row>
    <row r="275" spans="6:14" x14ac:dyDescent="0.2">
      <c r="F275" s="634"/>
      <c r="G275" s="634"/>
      <c r="H275" s="634"/>
      <c r="I275" s="634"/>
      <c r="J275" s="634"/>
      <c r="K275" s="634"/>
      <c r="L275" s="634"/>
      <c r="M275" s="634"/>
      <c r="N275" s="634"/>
    </row>
    <row r="276" spans="6:14" x14ac:dyDescent="0.2">
      <c r="F276" s="634"/>
      <c r="G276" s="634"/>
      <c r="H276" s="634"/>
      <c r="I276" s="634"/>
      <c r="J276" s="634"/>
      <c r="K276" s="634"/>
      <c r="L276" s="634"/>
      <c r="M276" s="634"/>
      <c r="N276" s="634"/>
    </row>
  </sheetData>
  <sheetProtection insertColumns="0" insertRows="0" deleteColumns="0" deleteRows="0"/>
  <customSheetViews>
    <customSheetView guid="{AD88818B-9F97-4B1E-9426-0DECE603685E}" scale="80" showGridLines="0" fitToPage="1" showRuler="0">
      <pane ySplit="21" topLeftCell="A22" activePane="bottomLeft" state="frozen"/>
      <selection pane="bottomLeft" activeCell="E3" sqref="E3"/>
      <pageMargins left="0.75" right="0.75" top="1" bottom="1" header="0.5" footer="0.5"/>
      <pageSetup paperSize="8" fitToHeight="0" orientation="landscape"/>
      <headerFooter alignWithMargins="0">
        <oddFooter>&amp;L&amp;8&amp;F&amp;C&amp;8&amp;A&amp;R&amp;8page&amp;P</oddFooter>
      </headerFooter>
    </customSheetView>
    <customSheetView guid="{7EB5D807-CE20-46E2-AEE6-2C193E010EA4}" scale="80" showGridLines="0" fitToPage="1" showRuler="0">
      <pane ySplit="21" topLeftCell="A22" activePane="bottomLeft" state="frozen"/>
      <selection pane="bottomLeft" activeCell="E3" sqref="E3"/>
      <pageMargins left="0.75" right="0.75" top="1" bottom="1" header="0.5" footer="0.5"/>
      <pageSetup paperSize="8" fitToHeight="0" orientation="landscape"/>
      <headerFooter alignWithMargins="0">
        <oddFooter>&amp;L&amp;8&amp;F&amp;C&amp;8&amp;A&amp;R&amp;8page&amp;P</oddFooter>
      </headerFooter>
    </customSheetView>
  </customSheetViews>
  <mergeCells count="6">
    <mergeCell ref="F222:L223"/>
    <mergeCell ref="F224:L225"/>
    <mergeCell ref="H11:H12"/>
    <mergeCell ref="O11:O12"/>
    <mergeCell ref="F205:L206"/>
    <mergeCell ref="F207:L208"/>
  </mergeCells>
  <phoneticPr fontId="0" type="noConversion"/>
  <conditionalFormatting sqref="O9:O23">
    <cfRule type="cellIs" dxfId="83" priority="3" stopIfTrue="1" operator="notBetween">
      <formula>-0.05</formula>
      <formula>0.05</formula>
    </cfRule>
  </conditionalFormatting>
  <conditionalFormatting sqref="E19">
    <cfRule type="expression" dxfId="82" priority="5" stopIfTrue="1">
      <formula>($E19="Combined result of previous calculation")</formula>
    </cfRule>
  </conditionalFormatting>
  <conditionalFormatting sqref="A19:D19 F19:G19">
    <cfRule type="expression" dxfId="81" priority="6" stopIfTrue="1">
      <formula>($E19="Combined result of previous calculation")</formula>
    </cfRule>
  </conditionalFormatting>
  <conditionalFormatting sqref="A10:G11 A14:G14 A7:G8">
    <cfRule type="expression" dxfId="80" priority="7" stopIfTrue="1">
      <formula>($E7&lt;&gt;"")</formula>
    </cfRule>
  </conditionalFormatting>
  <conditionalFormatting sqref="A20:D20 F20:G20">
    <cfRule type="expression" dxfId="79" priority="8" stopIfTrue="1">
      <formula>($E20="Esca included in combined result of previous calculation")</formula>
    </cfRule>
  </conditionalFormatting>
  <conditionalFormatting sqref="E20">
    <cfRule type="expression" dxfId="78" priority="9" stopIfTrue="1">
      <formula>($E20="Esca included in combined result of previous calculation")</formula>
    </cfRule>
  </conditionalFormatting>
  <conditionalFormatting sqref="A15:G15">
    <cfRule type="expression" dxfId="77" priority="2" stopIfTrue="1">
      <formula>($E15&lt;&gt;"")</formula>
    </cfRule>
  </conditionalFormatting>
  <conditionalFormatting sqref="A16:G16">
    <cfRule type="expression" dxfId="76" priority="1" stopIfTrue="1">
      <formula>($E16&lt;&gt;"")</formula>
    </cfRule>
  </conditionalFormatting>
  <dataValidations disablePrompts="1" count="8">
    <dataValidation type="list" allowBlank="1" showInputMessage="1" showErrorMessage="1" sqref="F6 F9 F13" xr:uid="{00000000-0002-0000-1100-000000000000}">
      <formula1>"A,D"</formula1>
    </dataValidation>
    <dataValidation type="list" showDropDown="1" showInputMessage="1" showErrorMessage="1" errorTitle="Wrong input" error="Only values &quot;0&quot; and &quot;29&quot; are allowed_x000a_" sqref="C214" xr:uid="{00000000-0002-0000-1100-000001000000}">
      <formula1>"0,29"</formula1>
    </dataValidation>
    <dataValidation allowBlank="1" showInputMessage="1" showErrorMessage="1" promptTitle="Input value for manure" prompt="Use of manure will not lead to direct GHG emissions as the emission coeffient is 0 g CO2,eq/MJ._x000a_Use of manure will indirectly lead to GHG emissions. When using actual inputs, field N2O emissions must be calculated which increase due to use of manure." sqref="C36" xr:uid="{00000000-0002-0000-1100-000002000000}"/>
    <dataValidation type="list" allowBlank="1" showInputMessage="1" showErrorMessage="1" sqref="E19" xr:uid="{00000000-0002-0000-1100-000003000000}">
      <formula1>"- , Combined result of previous calculation"</formula1>
    </dataValidation>
    <dataValidation type="list" allowBlank="1" showInputMessage="1" showErrorMessage="1" sqref="E14:E16 E10 E7:E8" xr:uid="{00000000-0002-0000-1100-000004000000}">
      <formula1>"- ,Individual result of previous calculation, Combined result of previous calculation"</formula1>
    </dataValidation>
    <dataValidation type="list" allowBlank="1" showInputMessage="1" showErrorMessage="1" sqref="E20" xr:uid="{00000000-0002-0000-1100-000005000000}">
      <formula1>"- , Esca included in combined result of previous calculation"</formula1>
    </dataValidation>
    <dataValidation allowBlank="1" showInputMessage="1" showErrorMessage="1" promptTitle="Please note !" prompt="When changing the value in this cell, you must indicate in column E under &quot;overview results&quot; that you have used the result of a previous calculation. Please refer to paragraph 4.2 of the user manual for further instructions and examples." sqref="N46 N57 N66 N89" xr:uid="{00000000-0002-0000-1100-000006000000}"/>
    <dataValidation allowBlank="1" showInputMessage="1" showErrorMessage="1" promptTitle="Electricity mix" sqref="B199 B187 B157 B150 B125 B118 B85 B78 B56" xr:uid="{00000000-0002-0000-1100-000007000000}"/>
  </dataValidations>
  <hyperlinks>
    <hyperlink ref="O54" location="Menu!A6" display="Back to menu" xr:uid="{00000000-0004-0000-1100-000000000000}"/>
    <hyperlink ref="O65" location="Menu!A6" display="Back to menu" xr:uid="{00000000-0004-0000-1100-000001000000}"/>
    <hyperlink ref="O181" location="Menu!A6" display="Back to menu" xr:uid="{00000000-0004-0000-1100-000002000000}"/>
    <hyperlink ref="O53" location="Menu!A6" display="Back to menu" xr:uid="{00000000-0004-0000-1100-000003000000}"/>
    <hyperlink ref="O64" location="Menu!A6" display="Back to menu" xr:uid="{00000000-0004-0000-1100-000004000000}"/>
    <hyperlink ref="O180" location="Menu!A6" display="Back to menu" xr:uid="{00000000-0004-0000-1100-000005000000}"/>
    <hyperlink ref="C225" location="Esca!A1" display="Esca!A1" xr:uid="{00000000-0004-0000-1100-000006000000}"/>
    <hyperlink ref="C208" location="LUC!A1" display="LUC!A1" xr:uid="{00000000-0004-0000-1100-000007000000}"/>
    <hyperlink ref="C47" location="'N2O emissions IPCC '!A1" display="N2O emissions IPCC" xr:uid="{00000000-0004-0000-1100-000008000000}"/>
  </hyperlinks>
  <pageMargins left="0.75" right="0.75" top="1" bottom="1" header="0.5" footer="0.5"/>
  <pageSetup paperSize="8" fitToHeight="0" orientation="landscape"/>
  <headerFooter alignWithMargins="0">
    <oddFooter>&amp;L&amp;8&amp;F&amp;C&amp;8&amp;A&amp;R&amp;8page&amp;P</oddFooter>
  </headerFooter>
  <drawing r:id="rId1"/>
  <legacyDrawing r:id="rId2"/>
  <controls>
    <mc:AlternateContent xmlns:mc="http://schemas.openxmlformats.org/markup-compatibility/2006">
      <mc:Choice Requires="x14">
        <control shapeId="6149" r:id="rId3" name="CheckBox2">
          <controlPr autoLine="0" linkedCell="About!N86" r:id="rId4">
            <anchor moveWithCells="1">
              <from>
                <xdr:col>9</xdr:col>
                <xdr:colOff>38100</xdr:colOff>
                <xdr:row>18</xdr:row>
                <xdr:rowOff>47625</xdr:rowOff>
              </from>
              <to>
                <xdr:col>13</xdr:col>
                <xdr:colOff>885825</xdr:colOff>
                <xdr:row>20</xdr:row>
                <xdr:rowOff>85725</xdr:rowOff>
              </to>
            </anchor>
          </controlPr>
        </control>
      </mc:Choice>
      <mc:Fallback>
        <control shapeId="6149" r:id="rId3" name="CheckBox2"/>
      </mc:Fallback>
    </mc:AlternateContent>
    <mc:AlternateContent xmlns:mc="http://schemas.openxmlformats.org/markup-compatibility/2006">
      <mc:Choice Requires="x14">
        <control shapeId="6150" r:id="rId5" name="CheckBox1">
          <controlPr autoLine="0" linkedCell="About!N88" r:id="rId6">
            <anchor moveWithCells="1">
              <from>
                <xdr:col>9</xdr:col>
                <xdr:colOff>38100</xdr:colOff>
                <xdr:row>16</xdr:row>
                <xdr:rowOff>0</xdr:rowOff>
              </from>
              <to>
                <xdr:col>13</xdr:col>
                <xdr:colOff>866775</xdr:colOff>
                <xdr:row>18</xdr:row>
                <xdr:rowOff>171450</xdr:rowOff>
              </to>
            </anchor>
          </controlPr>
        </control>
      </mc:Choice>
      <mc:Fallback>
        <control shapeId="6150" r:id="rId5" name="CheckBox1"/>
      </mc:Fallback>
    </mc:AlternateContent>
    <mc:AlternateContent xmlns:mc="http://schemas.openxmlformats.org/markup-compatibility/2006">
      <mc:Choice Requires="x14">
        <control shapeId="6185" r:id="rId7" name="ComboBox1">
          <controlPr locked="0" defaultSize="0" autoLine="0" linkedCell="D207" listFillRange="D205:D206" r:id="rId8">
            <anchor moveWithCells="1">
              <from>
                <xdr:col>1</xdr:col>
                <xdr:colOff>1714500</xdr:colOff>
                <xdr:row>205</xdr:row>
                <xdr:rowOff>0</xdr:rowOff>
              </from>
              <to>
                <xdr:col>3</xdr:col>
                <xdr:colOff>38100</xdr:colOff>
                <xdr:row>206</xdr:row>
                <xdr:rowOff>38100</xdr:rowOff>
              </to>
            </anchor>
          </controlPr>
        </control>
      </mc:Choice>
      <mc:Fallback>
        <control shapeId="6185" r:id="rId7" name="ComboBox1"/>
      </mc:Fallback>
    </mc:AlternateContent>
    <mc:AlternateContent xmlns:mc="http://schemas.openxmlformats.org/markup-compatibility/2006">
      <mc:Choice Requires="x14">
        <control shapeId="6413" r:id="rId9" name="ComboBox2">
          <controlPr locked="0" defaultSize="0" autoLine="0" linkedCell="D224" listFillRange="D222:D223" r:id="rId10">
            <anchor moveWithCells="1">
              <from>
                <xdr:col>1</xdr:col>
                <xdr:colOff>1695450</xdr:colOff>
                <xdr:row>222</xdr:row>
                <xdr:rowOff>28575</xdr:rowOff>
              </from>
              <to>
                <xdr:col>2</xdr:col>
                <xdr:colOff>628650</xdr:colOff>
                <xdr:row>223</xdr:row>
                <xdr:rowOff>38100</xdr:rowOff>
              </to>
            </anchor>
          </controlPr>
        </control>
      </mc:Choice>
      <mc:Fallback>
        <control shapeId="6413" r:id="rId9" name="ComboBox2"/>
      </mc:Fallback>
    </mc:AlternateContent>
    <mc:AlternateContent xmlns:mc="http://schemas.openxmlformats.org/markup-compatibility/2006">
      <mc:Choice Requires="x14">
        <control shapeId="6741" r:id="rId11" name="cmdTrackChanges">
          <controlPr defaultSize="0" autoLine="0" r:id="rId12">
            <anchor moveWithCells="1">
              <from>
                <xdr:col>1</xdr:col>
                <xdr:colOff>1438275</xdr:colOff>
                <xdr:row>22</xdr:row>
                <xdr:rowOff>104775</xdr:rowOff>
              </from>
              <to>
                <xdr:col>3</xdr:col>
                <xdr:colOff>609600</xdr:colOff>
                <xdr:row>23</xdr:row>
                <xdr:rowOff>228600</xdr:rowOff>
              </to>
            </anchor>
          </controlPr>
        </control>
      </mc:Choice>
      <mc:Fallback>
        <control shapeId="6741" r:id="rId11" name="cmdTrackChanges"/>
      </mc:Fallback>
    </mc:AlternateContent>
    <mc:AlternateContent xmlns:mc="http://schemas.openxmlformats.org/markup-compatibility/2006">
      <mc:Choice Requires="x14">
        <control shapeId="6817" r:id="rId13" name="Label 673">
          <controlPr defaultSize="0" autoFill="0" autoLine="0" autoPict="0" macro="[0]!GoToAbout">
            <anchor moveWithCells="1" sizeWithCells="1">
              <from>
                <xdr:col>10</xdr:col>
                <xdr:colOff>428625</xdr:colOff>
                <xdr:row>0</xdr:row>
                <xdr:rowOff>800100</xdr:rowOff>
              </from>
              <to>
                <xdr:col>12</xdr:col>
                <xdr:colOff>76200</xdr:colOff>
                <xdr:row>1</xdr:row>
                <xdr:rowOff>0</xdr:rowOff>
              </to>
            </anchor>
          </controlPr>
        </control>
      </mc:Choice>
    </mc:AlternateContent>
    <mc:AlternateContent xmlns:mc="http://schemas.openxmlformats.org/markup-compatibility/2006">
      <mc:Choice Requires="x14">
        <control shapeId="6818" r:id="rId14" name="Label 674">
          <controlPr defaultSize="0" autoFill="0" autoLine="0" autoPict="0" macro="[0]!GoToDirectory">
            <anchor moveWithCells="1" sizeWithCells="1">
              <from>
                <xdr:col>12</xdr:col>
                <xdr:colOff>161925</xdr:colOff>
                <xdr:row>0</xdr:row>
                <xdr:rowOff>800100</xdr:rowOff>
              </from>
              <to>
                <xdr:col>13</xdr:col>
                <xdr:colOff>990600</xdr:colOff>
                <xdr:row>1</xdr:row>
                <xdr:rowOff>0</xdr:rowOff>
              </to>
            </anchor>
          </controlPr>
        </control>
      </mc:Choice>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F2">
    <pageSetUpPr fitToPage="1"/>
  </sheetPr>
  <dimension ref="A1:O276"/>
  <sheetViews>
    <sheetView showGridLines="0" zoomScale="80" workbookViewId="0">
      <selection activeCell="A2" sqref="A2"/>
    </sheetView>
  </sheetViews>
  <sheetFormatPr baseColWidth="10" defaultColWidth="8.85546875" defaultRowHeight="12.75" x14ac:dyDescent="0.2"/>
  <cols>
    <col min="1" max="1" width="22.5703125" style="360" customWidth="1"/>
    <col min="2" max="2" width="25.85546875" style="360" customWidth="1"/>
    <col min="3" max="3" width="9.7109375" style="360" customWidth="1"/>
    <col min="4" max="4" width="20.140625" style="360" customWidth="1"/>
    <col min="5" max="5" width="14.85546875" style="360" customWidth="1"/>
    <col min="6" max="6" width="8.5703125" style="360" customWidth="1"/>
    <col min="7" max="7" width="2.85546875" style="360" customWidth="1"/>
    <col min="8" max="8" width="19.5703125" style="360" customWidth="1"/>
    <col min="9" max="12" width="9.140625" style="360" customWidth="1"/>
    <col min="13" max="13" width="2.5703125" style="360" customWidth="1"/>
    <col min="14" max="14" width="16.7109375" style="360" customWidth="1"/>
    <col min="15" max="15" width="13.7109375" style="360" customWidth="1"/>
    <col min="16" max="16384" width="8.85546875" style="361"/>
  </cols>
  <sheetData>
    <row r="1" spans="1:15" ht="102" customHeight="1" x14ac:dyDescent="0.2"/>
    <row r="2" spans="1:15" ht="27.75" customHeight="1" x14ac:dyDescent="0.25">
      <c r="A2" s="362" t="s">
        <v>953</v>
      </c>
      <c r="B2" s="363"/>
      <c r="C2" s="364"/>
      <c r="D2" s="364"/>
      <c r="E2" s="364"/>
      <c r="F2" s="365"/>
      <c r="G2" s="365"/>
      <c r="H2" s="366"/>
      <c r="I2" s="367"/>
      <c r="J2" s="368"/>
      <c r="K2" s="369"/>
      <c r="L2" s="370"/>
      <c r="M2" s="367"/>
      <c r="N2" s="367"/>
      <c r="O2" s="371" t="str">
        <f>About!D2</f>
        <v>Version 4d for Testing</v>
      </c>
    </row>
    <row r="3" spans="1:15" ht="27.75" customHeight="1" x14ac:dyDescent="0.25">
      <c r="A3" s="372" t="s">
        <v>1050</v>
      </c>
      <c r="B3" s="373"/>
      <c r="C3" s="374"/>
      <c r="D3" s="374"/>
      <c r="E3" s="373"/>
      <c r="F3" s="373"/>
      <c r="G3" s="373"/>
      <c r="H3" s="375"/>
      <c r="I3" s="376"/>
      <c r="J3" s="377"/>
      <c r="K3" s="378"/>
      <c r="L3" s="377"/>
      <c r="M3" s="377"/>
      <c r="N3" s="379"/>
      <c r="O3" s="378"/>
    </row>
    <row r="4" spans="1:15" ht="16.5" customHeight="1" x14ac:dyDescent="0.25">
      <c r="A4" s="380" t="s">
        <v>861</v>
      </c>
      <c r="B4" s="381" t="s">
        <v>854</v>
      </c>
      <c r="C4" s="381" t="s">
        <v>1057</v>
      </c>
      <c r="D4" s="381" t="s">
        <v>852</v>
      </c>
      <c r="E4" s="382" t="s">
        <v>1047</v>
      </c>
      <c r="F4" s="383" t="s">
        <v>1125</v>
      </c>
      <c r="G4" s="384"/>
      <c r="H4" s="385" t="s">
        <v>869</v>
      </c>
      <c r="I4" s="386"/>
      <c r="J4" s="387" t="s">
        <v>1063</v>
      </c>
      <c r="K4" s="388"/>
      <c r="L4" s="389"/>
      <c r="M4" s="390"/>
      <c r="N4" s="387" t="s">
        <v>391</v>
      </c>
      <c r="O4" s="391"/>
    </row>
    <row r="5" spans="1:15" ht="16.5" customHeight="1" x14ac:dyDescent="0.25">
      <c r="A5" s="392" t="s">
        <v>862</v>
      </c>
      <c r="B5" s="393" t="s">
        <v>853</v>
      </c>
      <c r="C5" s="393" t="s">
        <v>1062</v>
      </c>
      <c r="D5" s="393" t="s">
        <v>853</v>
      </c>
      <c r="E5" s="394"/>
      <c r="F5" s="395" t="s">
        <v>1126</v>
      </c>
      <c r="G5" s="396"/>
      <c r="H5" s="397" t="s">
        <v>866</v>
      </c>
      <c r="I5" s="390"/>
      <c r="J5" s="398" t="str">
        <f>A72</f>
        <v>Extraction of oil</v>
      </c>
      <c r="K5" s="399"/>
      <c r="L5" s="400"/>
      <c r="M5" s="390"/>
      <c r="N5" s="398" t="s">
        <v>395</v>
      </c>
      <c r="O5" s="400"/>
    </row>
    <row r="6" spans="1:15" ht="16.5" customHeight="1" x14ac:dyDescent="0.35">
      <c r="A6" s="401" t="s">
        <v>170</v>
      </c>
      <c r="B6" s="402"/>
      <c r="C6" s="403"/>
      <c r="D6" s="404"/>
      <c r="E6" s="405">
        <f>IF(F6="A",D7+D8,H6)</f>
        <v>17.667424928457176</v>
      </c>
      <c r="F6" s="406" t="s">
        <v>1127</v>
      </c>
      <c r="G6" s="407"/>
      <c r="H6" s="408">
        <v>18</v>
      </c>
      <c r="I6" s="390"/>
      <c r="J6" s="409">
        <f>F97/F99</f>
        <v>0.6578726264493362</v>
      </c>
      <c r="K6" s="410" t="s">
        <v>721</v>
      </c>
      <c r="L6" s="411"/>
      <c r="M6" s="390"/>
      <c r="N6" s="412">
        <v>83.8</v>
      </c>
      <c r="O6" s="413" t="s">
        <v>394</v>
      </c>
    </row>
    <row r="7" spans="1:15" ht="12" customHeight="1" x14ac:dyDescent="0.2">
      <c r="A7" s="398" t="str">
        <f>A25</f>
        <v>Cultivation of sunflower</v>
      </c>
      <c r="B7" s="414">
        <f>L48</f>
        <v>27.406403253088484</v>
      </c>
      <c r="C7" s="415">
        <f>J6*J9</f>
        <v>0.62929065107163118</v>
      </c>
      <c r="D7" s="416">
        <f>C7*B7</f>
        <v>17.246593346667723</v>
      </c>
      <c r="E7" s="1215"/>
      <c r="F7" s="418"/>
      <c r="G7" s="418"/>
      <c r="H7" s="419">
        <f>17.22</f>
        <v>17.22</v>
      </c>
      <c r="I7" s="390"/>
      <c r="J7" s="744">
        <f>1-J6</f>
        <v>0.3421273735506638</v>
      </c>
      <c r="K7" s="733" t="s">
        <v>921</v>
      </c>
      <c r="L7" s="411"/>
      <c r="M7" s="390"/>
      <c r="N7" s="398" t="s">
        <v>393</v>
      </c>
      <c r="O7" s="400"/>
    </row>
    <row r="8" spans="1:15" ht="12" customHeight="1" x14ac:dyDescent="0.2">
      <c r="A8" s="398" t="str">
        <f>A51</f>
        <v>Sunflowerseed drying</v>
      </c>
      <c r="B8" s="414">
        <f>L59</f>
        <v>0.6687396055746454</v>
      </c>
      <c r="C8" s="415">
        <f>J6*J9</f>
        <v>0.62929065107163118</v>
      </c>
      <c r="D8" s="416">
        <f>C8*B8</f>
        <v>0.42083158178945446</v>
      </c>
      <c r="E8" s="1215"/>
      <c r="F8" s="418"/>
      <c r="G8" s="418"/>
      <c r="H8" s="419">
        <v>0.42</v>
      </c>
      <c r="I8" s="390"/>
      <c r="J8" s="398" t="str">
        <f>A144</f>
        <v>Esterification</v>
      </c>
      <c r="K8" s="399"/>
      <c r="L8" s="400"/>
      <c r="M8" s="390"/>
      <c r="N8" s="426">
        <f>(N6-E22)/N6</f>
        <v>0.51324194609886231</v>
      </c>
      <c r="O8" s="427"/>
    </row>
    <row r="9" spans="1:15" ht="16.5" customHeight="1" x14ac:dyDescent="0.35">
      <c r="A9" s="401" t="s">
        <v>544</v>
      </c>
      <c r="B9" s="423"/>
      <c r="C9" s="423"/>
      <c r="D9" s="424"/>
      <c r="E9" s="425">
        <f>IF(F9="A",D10+D11+D12, H9)</f>
        <v>21.685787905408169</v>
      </c>
      <c r="F9" s="406" t="s">
        <v>1127</v>
      </c>
      <c r="G9" s="407"/>
      <c r="H9" s="408">
        <v>22</v>
      </c>
      <c r="I9" s="390"/>
      <c r="J9" s="409">
        <f>F173/F175</f>
        <v>0.95655393729943228</v>
      </c>
      <c r="K9" s="410" t="s">
        <v>662</v>
      </c>
      <c r="L9" s="411"/>
      <c r="M9" s="390"/>
      <c r="N9" s="390"/>
      <c r="O9" s="430"/>
    </row>
    <row r="10" spans="1:15" ht="12" customHeight="1" x14ac:dyDescent="0.2">
      <c r="A10" s="398" t="str">
        <f>A72</f>
        <v>Extraction of oil</v>
      </c>
      <c r="B10" s="414">
        <f>L91</f>
        <v>6.0791726781286179</v>
      </c>
      <c r="C10" s="415">
        <f>J6*J9</f>
        <v>0.62929065107163118</v>
      </c>
      <c r="D10" s="416">
        <f>C10*B10</f>
        <v>3.8255665325964299</v>
      </c>
      <c r="E10" s="1215"/>
      <c r="F10" s="418"/>
      <c r="G10" s="418"/>
      <c r="H10" s="419">
        <f>1.4*2.73</f>
        <v>3.8219999999999996</v>
      </c>
      <c r="I10" s="390"/>
      <c r="J10" s="420">
        <f>1-J9</f>
        <v>4.3446062700567722E-2</v>
      </c>
      <c r="K10" s="421" t="s">
        <v>317</v>
      </c>
      <c r="L10" s="422"/>
      <c r="M10" s="390"/>
      <c r="N10" s="390"/>
      <c r="O10" s="441"/>
    </row>
    <row r="11" spans="1:15" ht="12" customHeight="1" x14ac:dyDescent="0.2">
      <c r="A11" s="398" t="str">
        <f>A113</f>
        <v>Refining of vegetable oil</v>
      </c>
      <c r="B11" s="414">
        <f>L131</f>
        <v>1.0648296229465015</v>
      </c>
      <c r="C11" s="415">
        <f>J9</f>
        <v>0.95655393729943228</v>
      </c>
      <c r="D11" s="416">
        <f>C11*B11</f>
        <v>1.018566968382546</v>
      </c>
      <c r="E11" s="417"/>
      <c r="F11" s="418"/>
      <c r="G11" s="418"/>
      <c r="H11" s="1429">
        <f>1.4*12.77</f>
        <v>17.877999999999997</v>
      </c>
      <c r="I11" s="390"/>
      <c r="J11" s="390"/>
      <c r="K11" s="390"/>
      <c r="L11" s="390"/>
      <c r="M11" s="390"/>
      <c r="N11" s="390"/>
      <c r="O11" s="1428"/>
    </row>
    <row r="12" spans="1:15" ht="12" customHeight="1" x14ac:dyDescent="0.2">
      <c r="A12" s="398" t="str">
        <f>A144</f>
        <v>Esterification</v>
      </c>
      <c r="B12" s="414">
        <f>L167</f>
        <v>17.606591481894878</v>
      </c>
      <c r="C12" s="415">
        <f>J9</f>
        <v>0.95655393729943228</v>
      </c>
      <c r="D12" s="416">
        <f>C12*B12</f>
        <v>16.841654404429192</v>
      </c>
      <c r="E12" s="417"/>
      <c r="F12" s="418"/>
      <c r="G12" s="418"/>
      <c r="H12" s="1431"/>
      <c r="I12" s="390"/>
      <c r="J12" s="390"/>
      <c r="K12" s="390"/>
      <c r="L12" s="390"/>
      <c r="M12" s="390"/>
      <c r="N12" s="390"/>
      <c r="O12" s="1428"/>
    </row>
    <row r="13" spans="1:15" ht="16.5" customHeight="1" x14ac:dyDescent="0.35">
      <c r="A13" s="401" t="s">
        <v>545</v>
      </c>
      <c r="B13" s="423"/>
      <c r="C13" s="423"/>
      <c r="D13" s="424"/>
      <c r="E13" s="425">
        <f>IF(F13="A",D14+D15+D16+D17+D18, H13)</f>
        <v>1.4371120830499977</v>
      </c>
      <c r="F13" s="406" t="s">
        <v>1127</v>
      </c>
      <c r="G13" s="407"/>
      <c r="H13" s="648">
        <v>1</v>
      </c>
      <c r="I13" s="390"/>
      <c r="J13" s="390"/>
      <c r="K13" s="390"/>
      <c r="L13" s="390"/>
      <c r="M13" s="390"/>
      <c r="N13" s="390"/>
      <c r="O13" s="430"/>
    </row>
    <row r="14" spans="1:15" ht="12" customHeight="1" x14ac:dyDescent="0.2">
      <c r="A14" s="398" t="str">
        <f>A62</f>
        <v>Transport sunflowerseed</v>
      </c>
      <c r="B14" s="414">
        <f>L69</f>
        <v>0.27551003315297745</v>
      </c>
      <c r="C14" s="415">
        <f>J6*J9</f>
        <v>0.62929065107163118</v>
      </c>
      <c r="D14" s="416">
        <f t="shared" ref="D14:D21" si="0">C14*B14</f>
        <v>0.17337588813960386</v>
      </c>
      <c r="E14" s="1215"/>
      <c r="F14" s="418"/>
      <c r="G14" s="418"/>
      <c r="H14" s="419">
        <f>0.17</f>
        <v>0.17</v>
      </c>
      <c r="I14" s="390"/>
      <c r="J14" s="390"/>
      <c r="K14" s="390"/>
      <c r="L14" s="390"/>
      <c r="M14" s="390"/>
      <c r="N14" s="390"/>
      <c r="O14" s="430"/>
    </row>
    <row r="15" spans="1:15" ht="12" customHeight="1" thickBot="1" x14ac:dyDescent="0.25">
      <c r="A15" s="398" t="str">
        <f>A103</f>
        <v>Transport sunflower oil</v>
      </c>
      <c r="B15" s="414">
        <f>L110</f>
        <v>0</v>
      </c>
      <c r="C15" s="415">
        <f>J9</f>
        <v>0.95655393729943228</v>
      </c>
      <c r="D15" s="416">
        <f t="shared" si="0"/>
        <v>0</v>
      </c>
      <c r="E15" s="1215"/>
      <c r="F15" s="418"/>
      <c r="G15" s="418"/>
      <c r="H15" s="419">
        <v>0</v>
      </c>
      <c r="I15" s="390"/>
      <c r="J15" s="390"/>
      <c r="K15" s="390"/>
      <c r="L15" s="390"/>
      <c r="M15" s="390"/>
      <c r="N15" s="390"/>
      <c r="O15" s="430"/>
    </row>
    <row r="16" spans="1:15" ht="12" customHeight="1" x14ac:dyDescent="0.2">
      <c r="A16" s="398" t="str">
        <f>A134</f>
        <v>Transport refined oil</v>
      </c>
      <c r="B16" s="414">
        <f>L141</f>
        <v>0</v>
      </c>
      <c r="C16" s="415">
        <f>J9</f>
        <v>0.95655393729943228</v>
      </c>
      <c r="D16" s="416">
        <f t="shared" si="0"/>
        <v>0</v>
      </c>
      <c r="E16" s="1215"/>
      <c r="F16" s="418"/>
      <c r="G16" s="418"/>
      <c r="H16" s="419">
        <v>0</v>
      </c>
      <c r="I16" s="390"/>
      <c r="J16" s="432" t="s">
        <v>140</v>
      </c>
      <c r="K16" s="433"/>
      <c r="L16" s="433"/>
      <c r="M16" s="433"/>
      <c r="N16" s="434"/>
      <c r="O16" s="441"/>
    </row>
    <row r="17" spans="1:15" ht="12" customHeight="1" x14ac:dyDescent="0.2">
      <c r="A17" s="398" t="str">
        <f>A179</f>
        <v>Transport of FAME to depot</v>
      </c>
      <c r="B17" s="414">
        <f>L188</f>
        <v>0.46573714634408586</v>
      </c>
      <c r="C17" s="415">
        <v>1</v>
      </c>
      <c r="D17" s="416">
        <f t="shared" si="0"/>
        <v>0.46573714634408586</v>
      </c>
      <c r="E17" s="436"/>
      <c r="F17" s="437"/>
      <c r="G17" s="437"/>
      <c r="H17" s="419">
        <f>0.83</f>
        <v>0.83</v>
      </c>
      <c r="I17" s="390"/>
      <c r="J17" s="438"/>
      <c r="K17" s="439"/>
      <c r="L17" s="439"/>
      <c r="M17" s="439"/>
      <c r="N17" s="440"/>
      <c r="O17" s="441"/>
    </row>
    <row r="18" spans="1:15" ht="12" customHeight="1" x14ac:dyDescent="0.2">
      <c r="A18" s="398" t="str">
        <f>A191</f>
        <v>Transport to filling station</v>
      </c>
      <c r="B18" s="414">
        <f>L200</f>
        <v>0.79799904856630799</v>
      </c>
      <c r="C18" s="415">
        <v>1</v>
      </c>
      <c r="D18" s="416">
        <f t="shared" si="0"/>
        <v>0.79799904856630799</v>
      </c>
      <c r="E18" s="436"/>
      <c r="F18" s="437"/>
      <c r="G18" s="437"/>
      <c r="H18" s="419">
        <f>0.44</f>
        <v>0.44</v>
      </c>
      <c r="I18" s="379"/>
      <c r="J18" s="438"/>
      <c r="K18" s="439"/>
      <c r="L18" s="439"/>
      <c r="M18" s="442"/>
      <c r="N18" s="443"/>
      <c r="O18" s="441"/>
    </row>
    <row r="19" spans="1:15" ht="17.25" customHeight="1" x14ac:dyDescent="0.35">
      <c r="A19" s="444" t="s">
        <v>551</v>
      </c>
      <c r="B19" s="445">
        <f>L212</f>
        <v>0</v>
      </c>
      <c r="C19" s="446">
        <f>J6*J9</f>
        <v>0.62929065107163118</v>
      </c>
      <c r="D19" s="445">
        <f t="shared" si="0"/>
        <v>0</v>
      </c>
      <c r="E19" s="425">
        <f>D19</f>
        <v>0</v>
      </c>
      <c r="F19" s="451"/>
      <c r="G19" s="451"/>
      <c r="H19" s="447">
        <v>0</v>
      </c>
      <c r="I19" s="379"/>
      <c r="J19" s="438"/>
      <c r="K19" s="439"/>
      <c r="L19" s="439"/>
      <c r="M19" s="448"/>
      <c r="N19" s="449"/>
      <c r="O19" s="649"/>
    </row>
    <row r="20" spans="1:15" ht="16.5" customHeight="1" x14ac:dyDescent="0.35">
      <c r="A20" s="444" t="s">
        <v>724</v>
      </c>
      <c r="B20" s="445">
        <f>L231-L215</f>
        <v>0</v>
      </c>
      <c r="C20" s="446">
        <v>1</v>
      </c>
      <c r="D20" s="445">
        <f t="shared" si="0"/>
        <v>0</v>
      </c>
      <c r="E20" s="425">
        <f>D20</f>
        <v>0</v>
      </c>
      <c r="F20" s="451"/>
      <c r="G20" s="451"/>
      <c r="H20" s="447">
        <v>0</v>
      </c>
      <c r="I20" s="361"/>
      <c r="J20" s="438"/>
      <c r="K20" s="439"/>
      <c r="L20" s="439"/>
      <c r="M20" s="448"/>
      <c r="N20" s="449"/>
      <c r="O20" s="649"/>
    </row>
    <row r="21" spans="1:15" ht="16.5" customHeight="1" thickBot="1" x14ac:dyDescent="0.4">
      <c r="A21" s="444" t="s">
        <v>725</v>
      </c>
      <c r="B21" s="445">
        <f>L237+L243</f>
        <v>0</v>
      </c>
      <c r="C21" s="446">
        <v>1</v>
      </c>
      <c r="D21" s="445">
        <f t="shared" si="0"/>
        <v>0</v>
      </c>
      <c r="E21" s="425">
        <f>D21</f>
        <v>0</v>
      </c>
      <c r="F21" s="451"/>
      <c r="G21" s="451"/>
      <c r="H21" s="447">
        <v>0</v>
      </c>
      <c r="I21" s="361"/>
      <c r="J21" s="459" t="s">
        <v>1</v>
      </c>
      <c r="K21" s="460"/>
      <c r="L21" s="460"/>
      <c r="M21" s="461"/>
      <c r="N21" s="462"/>
      <c r="O21" s="649"/>
    </row>
    <row r="22" spans="1:15" ht="16.5" customHeight="1" thickBot="1" x14ac:dyDescent="0.3">
      <c r="A22" s="452" t="s">
        <v>1049</v>
      </c>
      <c r="B22" s="453">
        <f>SUM(B7:B19)-SUM(B20:B21)</f>
        <v>54.364982869696497</v>
      </c>
      <c r="C22" s="454"/>
      <c r="D22" s="454"/>
      <c r="E22" s="456">
        <f>SUM(E6:E19)-SUM(E20:E21)</f>
        <v>40.790324916915338</v>
      </c>
      <c r="F22" s="457"/>
      <c r="G22" s="457"/>
      <c r="H22" s="458">
        <v>41</v>
      </c>
      <c r="I22" s="379"/>
      <c r="J22" s="650"/>
      <c r="K22" s="651"/>
      <c r="L22" s="651"/>
      <c r="M22" s="652"/>
      <c r="N22" s="652"/>
      <c r="O22" s="463"/>
    </row>
    <row r="23" spans="1:15" ht="16.5" customHeight="1" x14ac:dyDescent="0.25">
      <c r="A23" s="464"/>
      <c r="B23" s="465"/>
      <c r="E23" s="466" t="s">
        <v>859</v>
      </c>
      <c r="F23" s="467"/>
      <c r="G23" s="467"/>
      <c r="H23" s="468"/>
      <c r="I23" s="469"/>
      <c r="J23" s="470"/>
      <c r="K23" s="433"/>
      <c r="L23" s="471"/>
      <c r="M23" s="433"/>
      <c r="N23" s="433"/>
      <c r="O23" s="472"/>
    </row>
    <row r="24" spans="1:15" ht="22.5" customHeight="1" thickBot="1" x14ac:dyDescent="0.25">
      <c r="A24" s="473" t="s">
        <v>1051</v>
      </c>
      <c r="B24" s="379"/>
      <c r="E24" s="474" t="s">
        <v>860</v>
      </c>
      <c r="F24" s="442"/>
      <c r="G24" s="442"/>
      <c r="H24" s="442"/>
      <c r="I24" s="439"/>
      <c r="J24" s="475"/>
      <c r="K24" s="475"/>
      <c r="L24" s="476"/>
      <c r="M24" s="477"/>
      <c r="N24" s="477"/>
      <c r="O24" s="478"/>
    </row>
    <row r="25" spans="1:15" ht="15.75" x14ac:dyDescent="0.25">
      <c r="A25" s="479" t="s">
        <v>702</v>
      </c>
      <c r="B25" s="480"/>
      <c r="C25" s="480"/>
      <c r="D25" s="480"/>
      <c r="E25" s="479" t="s">
        <v>513</v>
      </c>
      <c r="F25" s="481"/>
      <c r="G25" s="481"/>
      <c r="H25" s="480"/>
      <c r="I25" s="482" t="s">
        <v>532</v>
      </c>
      <c r="J25" s="481"/>
      <c r="K25" s="481"/>
      <c r="L25" s="483"/>
      <c r="M25" s="715"/>
      <c r="N25" s="610" t="s">
        <v>162</v>
      </c>
      <c r="O25" s="653"/>
    </row>
    <row r="26" spans="1:15" ht="15.75" x14ac:dyDescent="0.25">
      <c r="A26" s="486"/>
      <c r="B26" s="487" t="s">
        <v>524</v>
      </c>
      <c r="C26" s="488"/>
      <c r="D26" s="488"/>
      <c r="E26" s="489" t="s">
        <v>524</v>
      </c>
      <c r="F26" s="490"/>
      <c r="G26" s="490"/>
      <c r="H26" s="491"/>
      <c r="I26" s="492" t="s">
        <v>746</v>
      </c>
      <c r="J26" s="490"/>
      <c r="K26" s="490"/>
      <c r="L26" s="493"/>
      <c r="M26" s="484"/>
      <c r="N26" s="538" t="s">
        <v>714</v>
      </c>
      <c r="O26" s="654" t="s">
        <v>139</v>
      </c>
    </row>
    <row r="27" spans="1:15" ht="16.5" x14ac:dyDescent="0.3">
      <c r="A27" s="494"/>
      <c r="B27" s="495" t="s">
        <v>1099</v>
      </c>
      <c r="C27" s="655">
        <v>2440</v>
      </c>
      <c r="D27" s="497" t="s">
        <v>527</v>
      </c>
      <c r="E27" s="656">
        <f>C27*(1-C28)*VLOOKUP($B27,'Standard values'!$C$9:$S$162,14, FALSE)</f>
        <v>57974.399999999994</v>
      </c>
      <c r="F27" s="499" t="s">
        <v>708</v>
      </c>
      <c r="G27" s="499"/>
      <c r="H27" s="499"/>
      <c r="I27" s="500" t="s">
        <v>1053</v>
      </c>
      <c r="J27" s="500" t="s">
        <v>1054</v>
      </c>
      <c r="K27" s="500" t="s">
        <v>1055</v>
      </c>
      <c r="L27" s="501" t="s">
        <v>1056</v>
      </c>
      <c r="M27" s="379"/>
      <c r="N27" s="540" t="s">
        <v>1056</v>
      </c>
      <c r="O27" s="657" t="s">
        <v>550</v>
      </c>
    </row>
    <row r="28" spans="1:15" ht="15.75" x14ac:dyDescent="0.3">
      <c r="A28" s="503"/>
      <c r="B28" s="495" t="s">
        <v>521</v>
      </c>
      <c r="C28" s="658">
        <v>0.1</v>
      </c>
      <c r="D28" s="497"/>
      <c r="E28" s="505">
        <v>1</v>
      </c>
      <c r="F28" s="506" t="s">
        <v>707</v>
      </c>
      <c r="G28" s="506"/>
      <c r="H28" s="495"/>
      <c r="I28" s="507"/>
      <c r="J28" s="508"/>
      <c r="K28" s="508"/>
      <c r="L28" s="509"/>
      <c r="M28" s="379"/>
      <c r="N28" s="541"/>
      <c r="O28" s="616"/>
    </row>
    <row r="29" spans="1:15" ht="15.75" x14ac:dyDescent="0.3">
      <c r="A29" s="503"/>
      <c r="B29" s="495" t="s">
        <v>124</v>
      </c>
      <c r="C29" s="659" t="s">
        <v>738</v>
      </c>
      <c r="D29" s="497" t="s">
        <v>527</v>
      </c>
      <c r="E29" s="510">
        <f>+C27/E248</f>
        <v>6.7741496801048573E-2</v>
      </c>
      <c r="F29" s="506" t="s">
        <v>709</v>
      </c>
      <c r="G29" s="506"/>
      <c r="H29" s="495"/>
      <c r="I29" s="508"/>
      <c r="J29" s="508"/>
      <c r="K29" s="508"/>
      <c r="L29" s="509"/>
      <c r="M29" s="379"/>
      <c r="N29" s="541"/>
      <c r="O29" s="616"/>
    </row>
    <row r="30" spans="1:15" x14ac:dyDescent="0.2">
      <c r="A30" s="503"/>
      <c r="B30" s="495"/>
      <c r="C30" s="660"/>
      <c r="D30" s="497"/>
      <c r="E30" s="503"/>
      <c r="F30" s="495"/>
      <c r="G30" s="495"/>
      <c r="H30" s="495"/>
      <c r="I30" s="546"/>
      <c r="J30" s="546"/>
      <c r="K30" s="546"/>
      <c r="L30" s="661"/>
      <c r="M30" s="379"/>
      <c r="N30" s="541"/>
      <c r="O30" s="616"/>
    </row>
    <row r="31" spans="1:15" x14ac:dyDescent="0.2">
      <c r="A31" s="503"/>
      <c r="B31" s="511" t="s">
        <v>525</v>
      </c>
      <c r="C31" s="660"/>
      <c r="D31" s="497"/>
      <c r="E31" s="503"/>
      <c r="F31" s="495"/>
      <c r="G31" s="495"/>
      <c r="H31" s="495"/>
      <c r="I31" s="546"/>
      <c r="J31" s="546"/>
      <c r="K31" s="546"/>
      <c r="L31" s="661"/>
      <c r="M31" s="379"/>
      <c r="N31" s="541"/>
      <c r="O31" s="616"/>
    </row>
    <row r="32" spans="1:15" ht="14.25" x14ac:dyDescent="0.2">
      <c r="A32" s="503"/>
      <c r="B32" s="495" t="s">
        <v>509</v>
      </c>
      <c r="C32" s="662">
        <v>2963</v>
      </c>
      <c r="D32" s="497" t="s">
        <v>528</v>
      </c>
      <c r="E32" s="513"/>
      <c r="F32" s="495"/>
      <c r="G32" s="495"/>
      <c r="H32" s="495"/>
      <c r="I32" s="508">
        <f>$C32*VLOOKUP($B32,'Standard values'!$C$9:$S$162,7, FALSE)/$E$248</f>
        <v>7.2093062795179232</v>
      </c>
      <c r="J32" s="508">
        <f>$C32*VLOOKUP($B32,'Standard values'!$C$9:$S$162,8, FALSE)/$E$248</f>
        <v>0</v>
      </c>
      <c r="K32" s="508">
        <f>$C32*VLOOKUP($B32,'Standard values'!$C$9:$S$162,9, FALSE)/$E$248</f>
        <v>0</v>
      </c>
      <c r="L32" s="509">
        <f>I32*'Standard values'!$D$10+J32*'Standard values'!$D$11+K32*'Standard values'!$D$12</f>
        <v>7.2093062795179232</v>
      </c>
      <c r="M32" s="379"/>
      <c r="N32" s="562">
        <f>+L32/$E$29</f>
        <v>106.42378187613843</v>
      </c>
      <c r="O32" s="663">
        <f>L32*$E$248/1000</f>
        <v>259.67402777777778</v>
      </c>
    </row>
    <row r="33" spans="1:15" x14ac:dyDescent="0.2">
      <c r="A33" s="503"/>
      <c r="B33" s="495"/>
      <c r="C33" s="660"/>
      <c r="D33" s="497"/>
      <c r="E33" s="513"/>
      <c r="F33" s="495"/>
      <c r="G33" s="495"/>
      <c r="H33" s="495"/>
      <c r="I33" s="508"/>
      <c r="J33" s="508"/>
      <c r="K33" s="508"/>
      <c r="L33" s="509"/>
      <c r="M33" s="379"/>
      <c r="N33" s="562"/>
      <c r="O33" s="663"/>
    </row>
    <row r="34" spans="1:15" x14ac:dyDescent="0.2">
      <c r="A34" s="503"/>
      <c r="B34" s="511" t="s">
        <v>1045</v>
      </c>
      <c r="C34" s="660"/>
      <c r="D34" s="497"/>
      <c r="E34" s="513"/>
      <c r="F34" s="495"/>
      <c r="G34" s="495"/>
      <c r="H34" s="495"/>
      <c r="I34" s="508"/>
      <c r="J34" s="508"/>
      <c r="K34" s="508"/>
      <c r="L34" s="509"/>
      <c r="M34" s="379"/>
      <c r="N34" s="562"/>
      <c r="O34" s="663"/>
    </row>
    <row r="35" spans="1:15" ht="14.25" x14ac:dyDescent="0.2">
      <c r="A35" s="503"/>
      <c r="B35" s="495" t="s">
        <v>231</v>
      </c>
      <c r="C35" s="664">
        <v>39</v>
      </c>
      <c r="D35" s="497" t="s">
        <v>529</v>
      </c>
      <c r="E35" s="513"/>
      <c r="F35" s="495"/>
      <c r="G35" s="495"/>
      <c r="H35" s="495"/>
      <c r="I35" s="508">
        <f>$C35*VLOOKUP($B35,'Standard values'!$C$9:$S$162,3, FALSE)/$E$248</f>
        <v>3.0609492591008389</v>
      </c>
      <c r="J35" s="508">
        <f>$C35*VLOOKUP($B35,'Standard values'!$C$9:$S$162,4, FALSE)/$E$248</f>
        <v>9.3970004897707682E-3</v>
      </c>
      <c r="K35" s="508">
        <f>$C35*VLOOKUP($B35,'Standard values'!$C$9:$S$162,5, FALSE)/$E$248</f>
        <v>1.043969204524494E-2</v>
      </c>
      <c r="L35" s="509">
        <f>I35*'Standard values'!$D$10+J35*'Standard values'!$D$11+K35*'Standard values'!$D$12</f>
        <v>6.4069025008281004</v>
      </c>
      <c r="M35" s="379"/>
      <c r="N35" s="562">
        <f t="shared" ref="N35:N40" si="1">+L35/$E$29</f>
        <v>94.578697008196727</v>
      </c>
      <c r="O35" s="663">
        <f t="shared" ref="O35:O40" si="2">L35*$E$248/1000</f>
        <v>230.77202069999998</v>
      </c>
    </row>
    <row r="36" spans="1:15" ht="14.25" x14ac:dyDescent="0.2">
      <c r="A36" s="503"/>
      <c r="B36" s="495" t="s">
        <v>504</v>
      </c>
      <c r="C36" s="556">
        <v>0</v>
      </c>
      <c r="D36" s="497" t="s">
        <v>529</v>
      </c>
      <c r="E36" s="513"/>
      <c r="F36" s="495"/>
      <c r="G36" s="495"/>
      <c r="H36" s="495"/>
      <c r="I36" s="508">
        <f>$C36*VLOOKUP($B36,'Standard values'!$C$9:$S$162,3, FALSE)/$E$248</f>
        <v>0</v>
      </c>
      <c r="J36" s="508">
        <f>$C36*VLOOKUP($B36,'Standard values'!$C$9:$S$162,4, FALSE)/$E$248</f>
        <v>0</v>
      </c>
      <c r="K36" s="508">
        <f>$C36*VLOOKUP($B36,'Standard values'!$C$9:$S$162,5, FALSE)/$E$248</f>
        <v>0</v>
      </c>
      <c r="L36" s="509">
        <f>I36*'Standard values'!$D$10+J36*'Standard values'!$D$11+K36*'Standard values'!$D$12</f>
        <v>0</v>
      </c>
      <c r="M36" s="379"/>
      <c r="N36" s="562">
        <f t="shared" si="1"/>
        <v>0</v>
      </c>
      <c r="O36" s="663">
        <f t="shared" si="2"/>
        <v>0</v>
      </c>
    </row>
    <row r="37" spans="1:15" ht="14.25" x14ac:dyDescent="0.2">
      <c r="A37" s="503"/>
      <c r="B37" s="495" t="s">
        <v>234</v>
      </c>
      <c r="C37" s="664">
        <v>0</v>
      </c>
      <c r="D37" s="497" t="s">
        <v>745</v>
      </c>
      <c r="E37" s="513"/>
      <c r="F37" s="495"/>
      <c r="G37" s="495"/>
      <c r="H37" s="495"/>
      <c r="I37" s="508">
        <f>$C37*VLOOKUP($B37,'Standard values'!$C$9:$S$162,3, FALSE)/$E$248</f>
        <v>0</v>
      </c>
      <c r="J37" s="508">
        <f>$C37*VLOOKUP($B37,'Standard values'!$C$9:$S$162,4, FALSE)/$E$248</f>
        <v>0</v>
      </c>
      <c r="K37" s="508">
        <f>$C37*VLOOKUP($B37,'Standard values'!$C$9:$S$162,5, FALSE)/$E$248</f>
        <v>0</v>
      </c>
      <c r="L37" s="509">
        <f>I37*'Standard values'!$D$10+J37*'Standard values'!$D$11+K37*'Standard values'!$D$12</f>
        <v>0</v>
      </c>
      <c r="M37" s="379"/>
      <c r="N37" s="562">
        <f t="shared" si="1"/>
        <v>0</v>
      </c>
      <c r="O37" s="663">
        <f t="shared" si="2"/>
        <v>0</v>
      </c>
    </row>
    <row r="38" spans="1:15" ht="15.75" x14ac:dyDescent="0.3">
      <c r="A38" s="503"/>
      <c r="B38" s="495" t="s">
        <v>233</v>
      </c>
      <c r="C38" s="664">
        <v>22</v>
      </c>
      <c r="D38" s="497" t="s">
        <v>530</v>
      </c>
      <c r="E38" s="513"/>
      <c r="F38" s="495"/>
      <c r="G38" s="495"/>
      <c r="H38" s="495"/>
      <c r="I38" s="508">
        <f>$C38*VLOOKUP($B38,'Standard values'!$C$9:$S$162,3, FALSE)/$E$248</f>
        <v>0.32757011006876413</v>
      </c>
      <c r="J38" s="508">
        <f>$C38*VLOOKUP($B38,'Standard values'!$C$9:$S$162,4, FALSE)/$E$248</f>
        <v>9.5948056604298285E-4</v>
      </c>
      <c r="K38" s="508">
        <f>$C38*VLOOKUP($B38,'Standard values'!$C$9:$S$162,5, FALSE)/$E$248</f>
        <v>7.5126430468703877E-6</v>
      </c>
      <c r="L38" s="509">
        <f>I38*'Standard values'!$D$10+J38*'Standard values'!$D$11+K38*'Standard values'!$D$12</f>
        <v>0.35379589184780608</v>
      </c>
      <c r="M38" s="379"/>
      <c r="N38" s="562">
        <f t="shared" si="1"/>
        <v>5.2227350819672127</v>
      </c>
      <c r="O38" s="663">
        <f t="shared" si="2"/>
        <v>12.743473599999998</v>
      </c>
    </row>
    <row r="39" spans="1:15" ht="15.75" x14ac:dyDescent="0.3">
      <c r="A39" s="503"/>
      <c r="B39" s="495" t="s">
        <v>232</v>
      </c>
      <c r="C39" s="664">
        <v>30</v>
      </c>
      <c r="D39" s="497" t="s">
        <v>531</v>
      </c>
      <c r="E39" s="513"/>
      <c r="F39" s="495"/>
      <c r="G39" s="495"/>
      <c r="H39" s="495"/>
      <c r="I39" s="508">
        <f>$C39*VLOOKUP($B39,'Standard values'!$C$9:$S$162,3, FALSE)/$E$248</f>
        <v>0.80364166909579859</v>
      </c>
      <c r="J39" s="508">
        <f>$C39*VLOOKUP($B39,'Standard values'!$C$9:$S$162,4, FALSE)/$E$248</f>
        <v>1.108572937404045E-3</v>
      </c>
      <c r="K39" s="508">
        <f>$C39*VLOOKUP($B39,'Standard values'!$C$9:$S$162,5, FALSE)/$E$248</f>
        <v>4.2893693671155758E-5</v>
      </c>
      <c r="L39" s="509">
        <f>I39*'Standard values'!$D$10+J39*'Standard values'!$D$11+K39*'Standard values'!$D$12</f>
        <v>0.84413831324490418</v>
      </c>
      <c r="M39" s="379"/>
      <c r="N39" s="562">
        <f t="shared" si="1"/>
        <v>12.461170081967214</v>
      </c>
      <c r="O39" s="663">
        <f t="shared" si="2"/>
        <v>30.405255</v>
      </c>
    </row>
    <row r="40" spans="1:15" ht="14.25" x14ac:dyDescent="0.2">
      <c r="A40" s="503"/>
      <c r="B40" s="495" t="s">
        <v>502</v>
      </c>
      <c r="C40" s="664">
        <v>2</v>
      </c>
      <c r="D40" s="497" t="s">
        <v>527</v>
      </c>
      <c r="E40" s="513"/>
      <c r="F40" s="665"/>
      <c r="G40" s="665"/>
      <c r="H40" s="665"/>
      <c r="I40" s="508">
        <f>$C40*VLOOKUP($B40,'Standard values'!$C$9:$S$162,3, FALSE)/$E$248</f>
        <v>0.5489561013168528</v>
      </c>
      <c r="J40" s="508">
        <f>$C40*VLOOKUP($B40,'Standard values'!$C$9:$S$162,4, FALSE)/$E$248</f>
        <v>1.4174130844180715E-3</v>
      </c>
      <c r="K40" s="508">
        <f>$C40*VLOOKUP($B40,'Standard values'!$C$9:$S$162,5, FALSE)/$E$248</f>
        <v>9.3361108787936941E-5</v>
      </c>
      <c r="L40" s="509">
        <f>I40*'Standard values'!$D$10+J40*'Standard values'!$D$11+K40*'Standard values'!$D$12</f>
        <v>0.61221303884610978</v>
      </c>
      <c r="M40" s="379"/>
      <c r="N40" s="562">
        <f t="shared" si="1"/>
        <v>9.0374890983606573</v>
      </c>
      <c r="O40" s="663">
        <f t="shared" si="2"/>
        <v>22.051473400000003</v>
      </c>
    </row>
    <row r="41" spans="1:15" x14ac:dyDescent="0.2">
      <c r="A41" s="503"/>
      <c r="B41" s="495"/>
      <c r="C41" s="666"/>
      <c r="D41" s="497"/>
      <c r="E41" s="513"/>
      <c r="F41" s="665"/>
      <c r="G41" s="665"/>
      <c r="H41" s="665"/>
      <c r="I41" s="508"/>
      <c r="J41" s="508"/>
      <c r="K41" s="508"/>
      <c r="L41" s="509"/>
      <c r="M41" s="379"/>
      <c r="N41" s="562"/>
      <c r="O41" s="663"/>
    </row>
    <row r="42" spans="1:15" x14ac:dyDescent="0.2">
      <c r="A42" s="503"/>
      <c r="B42" s="511" t="s">
        <v>511</v>
      </c>
      <c r="C42" s="666"/>
      <c r="D42" s="497"/>
      <c r="E42" s="513"/>
      <c r="F42" s="495"/>
      <c r="G42" s="495"/>
      <c r="H42" s="665"/>
      <c r="I42" s="508"/>
      <c r="J42" s="508"/>
      <c r="K42" s="508"/>
      <c r="L42" s="509"/>
      <c r="M42" s="379"/>
      <c r="N42" s="562"/>
      <c r="O42" s="663"/>
    </row>
    <row r="43" spans="1:15" ht="14.25" x14ac:dyDescent="0.2">
      <c r="A43" s="503"/>
      <c r="B43" s="499" t="s">
        <v>1079</v>
      </c>
      <c r="C43" s="667">
        <v>6</v>
      </c>
      <c r="D43" s="497" t="s">
        <v>527</v>
      </c>
      <c r="E43" s="513"/>
      <c r="F43" s="495"/>
      <c r="G43" s="495"/>
      <c r="H43" s="495"/>
      <c r="I43" s="508">
        <f>$C43*VLOOKUP($B43,'Standard values'!$C$9:$S$162,3, FALSE)/$E$248</f>
        <v>6.8643419305137496E-2</v>
      </c>
      <c r="J43" s="508">
        <f>$C43*VLOOKUP($B43,'Standard values'!$C$9:$S$162,4, FALSE)/$E$248</f>
        <v>1.5203523966471401E-4</v>
      </c>
      <c r="K43" s="508">
        <f>$C43*VLOOKUP($B43,'Standard values'!$C$9:$S$162,5, FALSE)/$E$248</f>
        <v>1.6704386801333977E-4</v>
      </c>
      <c r="L43" s="509">
        <f>I43*'Standard values'!$D$10+J43*'Standard values'!$D$11+K43*'Standard values'!$D$12</f>
        <v>0.1222233729647306</v>
      </c>
      <c r="M43" s="379"/>
      <c r="N43" s="562">
        <f>+L43/$E$29</f>
        <v>1.8042614754098363</v>
      </c>
      <c r="O43" s="663">
        <f>L43*$E$248/1000</f>
        <v>4.4023979999999998</v>
      </c>
    </row>
    <row r="44" spans="1:15" x14ac:dyDescent="0.2">
      <c r="A44" s="503"/>
      <c r="B44" s="511"/>
      <c r="C44" s="668"/>
      <c r="D44" s="497"/>
      <c r="E44" s="513"/>
      <c r="F44" s="495"/>
      <c r="G44" s="495"/>
      <c r="H44" s="495"/>
      <c r="I44" s="508"/>
      <c r="J44" s="508"/>
      <c r="K44" s="508"/>
      <c r="L44" s="509"/>
      <c r="M44" s="379"/>
      <c r="N44" s="562"/>
      <c r="O44" s="663"/>
    </row>
    <row r="45" spans="1:15" ht="15" x14ac:dyDescent="0.25">
      <c r="A45" s="503"/>
      <c r="B45" s="511" t="s">
        <v>1046</v>
      </c>
      <c r="C45" s="669">
        <v>1.4332559999999999</v>
      </c>
      <c r="D45" s="497" t="s">
        <v>527</v>
      </c>
      <c r="E45" s="513"/>
      <c r="F45" s="495"/>
      <c r="G45" s="495"/>
      <c r="H45" s="495"/>
      <c r="I45" s="508">
        <v>0</v>
      </c>
      <c r="J45" s="508">
        <v>0</v>
      </c>
      <c r="K45" s="508">
        <f>1000*$C45/$E$248</f>
        <v>3.979135522093593E-2</v>
      </c>
      <c r="L45" s="509">
        <f>I45*'Standard values'!$D$10+J45*'Standard values'!$D$11+K45*'Standard values'!$D$12</f>
        <v>11.857823855838907</v>
      </c>
      <c r="M45" s="379"/>
      <c r="N45" s="562">
        <f>+L45/$E$29</f>
        <v>175.04519999999999</v>
      </c>
      <c r="O45" s="750">
        <f>L45*$E$248/1000</f>
        <v>427.11028799999997</v>
      </c>
    </row>
    <row r="46" spans="1:15" ht="15.75" x14ac:dyDescent="0.3">
      <c r="A46" s="503"/>
      <c r="B46" s="511"/>
      <c r="C46" s="670" t="s">
        <v>664</v>
      </c>
      <c r="D46" s="495"/>
      <c r="E46" s="513"/>
      <c r="F46" s="514"/>
      <c r="G46" s="514"/>
      <c r="H46" s="514" t="s">
        <v>1047</v>
      </c>
      <c r="I46" s="515">
        <f>SUM(I28:I45)</f>
        <v>12.019066838405315</v>
      </c>
      <c r="J46" s="515">
        <f>SUM(J28:J45)</f>
        <v>1.303450231730058E-2</v>
      </c>
      <c r="K46" s="515">
        <f>SUM(K28:K45)</f>
        <v>5.0541858579700172E-2</v>
      </c>
      <c r="L46" s="516">
        <f>I46*'Standard values'!$D$10+J46*'Standard values'!$D$11+K46*'Standard values'!$D$12</f>
        <v>27.406403253088484</v>
      </c>
      <c r="M46" s="379"/>
      <c r="N46" s="1201">
        <f>+L46/E$29</f>
        <v>404.57333462204014</v>
      </c>
      <c r="O46" s="1202">
        <f>L46*$E$248/1000</f>
        <v>987.15893647777784</v>
      </c>
    </row>
    <row r="47" spans="1:15" x14ac:dyDescent="0.2">
      <c r="A47" s="503"/>
      <c r="B47" s="511"/>
      <c r="C47" s="671" t="s">
        <v>665</v>
      </c>
      <c r="D47" s="495"/>
      <c r="E47" s="513"/>
      <c r="F47" s="514"/>
      <c r="G47" s="514"/>
      <c r="H47" s="514"/>
      <c r="I47" s="416"/>
      <c r="J47" s="416"/>
      <c r="K47" s="416"/>
      <c r="L47" s="436"/>
      <c r="M47" s="379"/>
      <c r="N47" s="1203"/>
      <c r="O47" s="1204"/>
    </row>
    <row r="48" spans="1:15" ht="14.25" x14ac:dyDescent="0.25">
      <c r="A48" s="519"/>
      <c r="B48" s="520"/>
      <c r="C48" s="520"/>
      <c r="D48" s="520"/>
      <c r="E48" s="519"/>
      <c r="F48" s="521"/>
      <c r="G48" s="521"/>
      <c r="H48" s="521" t="s">
        <v>534</v>
      </c>
      <c r="I48" s="522"/>
      <c r="J48" s="523" t="s">
        <v>747</v>
      </c>
      <c r="K48" s="524"/>
      <c r="L48" s="525">
        <f>N46*E$29</f>
        <v>27.406403253088484</v>
      </c>
      <c r="M48" s="379"/>
      <c r="N48" s="390"/>
      <c r="O48" s="390"/>
    </row>
    <row r="49" spans="1:15" x14ac:dyDescent="0.2">
      <c r="A49" s="379"/>
      <c r="B49" s="379"/>
      <c r="C49" s="379"/>
      <c r="D49" s="379"/>
      <c r="E49" s="379"/>
      <c r="F49" s="526"/>
      <c r="G49" s="526"/>
      <c r="H49" s="526"/>
      <c r="I49" s="527"/>
      <c r="J49" s="528"/>
      <c r="K49" s="484"/>
      <c r="L49" s="430"/>
      <c r="M49" s="379"/>
      <c r="N49" s="390"/>
      <c r="O49" s="390"/>
    </row>
    <row r="50" spans="1:15" x14ac:dyDescent="0.2">
      <c r="A50" s="390"/>
      <c r="B50" s="390"/>
      <c r="C50" s="390"/>
      <c r="D50" s="390"/>
      <c r="E50" s="390"/>
      <c r="F50" s="390"/>
      <c r="G50" s="390"/>
      <c r="H50" s="390"/>
      <c r="I50" s="529"/>
      <c r="J50" s="529"/>
      <c r="K50" s="529"/>
      <c r="L50" s="529"/>
      <c r="M50" s="379"/>
      <c r="N50" s="390"/>
      <c r="O50" s="390"/>
    </row>
    <row r="51" spans="1:15" ht="15.75" x14ac:dyDescent="0.25">
      <c r="A51" s="530" t="s">
        <v>703</v>
      </c>
      <c r="B51" s="531"/>
      <c r="C51" s="531"/>
      <c r="D51" s="531"/>
      <c r="E51" s="530" t="s">
        <v>513</v>
      </c>
      <c r="F51" s="532"/>
      <c r="G51" s="532"/>
      <c r="H51" s="531"/>
      <c r="I51" s="532" t="s">
        <v>532</v>
      </c>
      <c r="J51" s="533"/>
      <c r="K51" s="533"/>
      <c r="L51" s="534"/>
      <c r="M51" s="379"/>
      <c r="N51" s="535" t="s">
        <v>162</v>
      </c>
      <c r="O51" s="390"/>
    </row>
    <row r="52" spans="1:15" ht="15.75" x14ac:dyDescent="0.3">
      <c r="A52" s="587"/>
      <c r="B52" s="511" t="s">
        <v>1099</v>
      </c>
      <c r="C52" s="593">
        <v>1</v>
      </c>
      <c r="D52" s="495" t="s">
        <v>713</v>
      </c>
      <c r="E52" s="588">
        <f>E27*C52</f>
        <v>57974.399999999994</v>
      </c>
      <c r="F52" s="499" t="s">
        <v>710</v>
      </c>
      <c r="G52" s="499"/>
      <c r="H52" s="495"/>
      <c r="I52" s="492" t="s">
        <v>746</v>
      </c>
      <c r="J52" s="514"/>
      <c r="K52" s="514"/>
      <c r="L52" s="537"/>
      <c r="M52" s="379"/>
      <c r="N52" s="554" t="s">
        <v>714</v>
      </c>
      <c r="O52" s="390"/>
    </row>
    <row r="53" spans="1:15" ht="15.75" x14ac:dyDescent="0.3">
      <c r="A53" s="587"/>
      <c r="B53" s="495"/>
      <c r="C53" s="512"/>
      <c r="D53" s="495"/>
      <c r="E53" s="505">
        <f>E28*C52</f>
        <v>1</v>
      </c>
      <c r="F53" s="506" t="s">
        <v>707</v>
      </c>
      <c r="G53" s="506"/>
      <c r="H53" s="495"/>
      <c r="I53" s="539" t="s">
        <v>1053</v>
      </c>
      <c r="J53" s="539" t="s">
        <v>1054</v>
      </c>
      <c r="K53" s="539" t="s">
        <v>1055</v>
      </c>
      <c r="L53" s="540" t="s">
        <v>1056</v>
      </c>
      <c r="M53" s="379"/>
      <c r="N53" s="540" t="s">
        <v>1056</v>
      </c>
      <c r="O53" s="390"/>
    </row>
    <row r="54" spans="1:15" x14ac:dyDescent="0.2">
      <c r="A54" s="503"/>
      <c r="B54" s="511" t="s">
        <v>525</v>
      </c>
      <c r="C54" s="495"/>
      <c r="D54" s="495"/>
      <c r="E54" s="503"/>
      <c r="F54" s="495"/>
      <c r="G54" s="495"/>
      <c r="H54" s="495"/>
      <c r="I54" s="495"/>
      <c r="J54" s="495"/>
      <c r="K54" s="495"/>
      <c r="L54" s="541"/>
      <c r="M54" s="379"/>
      <c r="N54" s="541"/>
      <c r="O54" s="390"/>
    </row>
    <row r="55" spans="1:15" ht="15.75" x14ac:dyDescent="0.3">
      <c r="A55" s="503"/>
      <c r="B55" s="499" t="s">
        <v>509</v>
      </c>
      <c r="C55" s="672">
        <v>1.8100000000000001E-4</v>
      </c>
      <c r="D55" s="495" t="s">
        <v>719</v>
      </c>
      <c r="E55" s="503"/>
      <c r="F55" s="495"/>
      <c r="G55" s="495"/>
      <c r="H55" s="495"/>
      <c r="I55" s="544">
        <f>$C55*$E$53*VLOOKUP($B55,'Standard values'!$C$9:$S$162,7, FALSE)/$E$249</f>
        <v>2.553151950077704E-2</v>
      </c>
      <c r="J55" s="544">
        <f>$C55*$E$53*VLOOKUP($B55,'Standard values'!$C$9:$S$162,8, FALSE)/$E$249</f>
        <v>0</v>
      </c>
      <c r="K55" s="544">
        <f>$C55*$E$53*VLOOKUP($B55,'Standard values'!$C$9:$S$162,9, FALSE)/$E$249</f>
        <v>0</v>
      </c>
      <c r="L55" s="419">
        <f>I55*'Standard values'!$D$10+J55*'Standard values'!$D$11+K55*'Standard values'!$D$12</f>
        <v>2.553151950077704E-2</v>
      </c>
      <c r="M55" s="379"/>
      <c r="N55" s="562">
        <f>+L55/$E$29</f>
        <v>0.37689629999999996</v>
      </c>
      <c r="O55" s="390"/>
    </row>
    <row r="56" spans="1:15" ht="15.75" x14ac:dyDescent="0.3">
      <c r="A56" s="503"/>
      <c r="B56" s="1301" t="s">
        <v>49</v>
      </c>
      <c r="C56" s="559">
        <v>3.0790000000000001E-3</v>
      </c>
      <c r="D56" s="495" t="s">
        <v>719</v>
      </c>
      <c r="E56" s="503"/>
      <c r="F56" s="495"/>
      <c r="G56" s="495"/>
      <c r="H56" s="495"/>
      <c r="I56" s="544">
        <f>$C56*$E$53*VLOOKUP($B56,'Standard values'!$C$9:$S$162,7, FALSE)/$E$249</f>
        <v>0.59862944412835795</v>
      </c>
      <c r="J56" s="544">
        <f>$C56*$E$53*VLOOKUP($B56,'Standard values'!$C$9:$S$162,8, FALSE)/$E$249</f>
        <v>1.4598864773049446E-3</v>
      </c>
      <c r="K56" s="544">
        <f>$C56*$E$53*VLOOKUP($B56,'Standard values'!$C$9:$S$162,9, FALSE)/$E$249</f>
        <v>2.7119060445928718E-5</v>
      </c>
      <c r="L56" s="419">
        <f>I56*'Standard values'!$D$10+J56*'Standard values'!$D$11+K56*'Standard values'!$D$12</f>
        <v>0.64320808607386837</v>
      </c>
      <c r="M56" s="379"/>
      <c r="N56" s="562">
        <f>+L56/$E$29</f>
        <v>9.4950379966200007</v>
      </c>
      <c r="O56" s="390"/>
    </row>
    <row r="57" spans="1:15" x14ac:dyDescent="0.2">
      <c r="A57" s="503"/>
      <c r="B57" s="495"/>
      <c r="C57" s="495"/>
      <c r="D57" s="495"/>
      <c r="E57" s="503"/>
      <c r="F57" s="495"/>
      <c r="G57" s="495"/>
      <c r="H57" s="514" t="s">
        <v>1047</v>
      </c>
      <c r="I57" s="515">
        <f>SUM(I54:I56)</f>
        <v>0.62416096362913498</v>
      </c>
      <c r="J57" s="515">
        <f>SUM(J54:J56)</f>
        <v>1.4598864773049446E-3</v>
      </c>
      <c r="K57" s="515">
        <f>SUM(K54:K56)</f>
        <v>2.7119060445928718E-5</v>
      </c>
      <c r="L57" s="516">
        <f>I57*'Standard values'!$D$10+J57*'Standard values'!$D$11+K57*'Standard values'!$D$12</f>
        <v>0.6687396055746454</v>
      </c>
      <c r="M57" s="379"/>
      <c r="N57" s="1201">
        <f>+L57/E$29</f>
        <v>9.8719342966199992</v>
      </c>
      <c r="O57" s="518"/>
    </row>
    <row r="58" spans="1:15" x14ac:dyDescent="0.2">
      <c r="A58" s="590"/>
      <c r="B58" s="495"/>
      <c r="C58" s="492"/>
      <c r="D58" s="495"/>
      <c r="E58" s="503"/>
      <c r="F58" s="495"/>
      <c r="G58" s="495"/>
      <c r="H58" s="495"/>
      <c r="I58" s="495"/>
      <c r="J58" s="495"/>
      <c r="K58" s="495"/>
      <c r="L58" s="541"/>
      <c r="M58" s="379"/>
      <c r="N58" s="1203"/>
      <c r="O58" s="390"/>
    </row>
    <row r="59" spans="1:15" ht="14.25" x14ac:dyDescent="0.25">
      <c r="A59" s="519"/>
      <c r="B59" s="520"/>
      <c r="C59" s="520"/>
      <c r="D59" s="520"/>
      <c r="E59" s="519"/>
      <c r="F59" s="521"/>
      <c r="G59" s="521"/>
      <c r="H59" s="521" t="s">
        <v>534</v>
      </c>
      <c r="I59" s="520"/>
      <c r="J59" s="523" t="s">
        <v>747</v>
      </c>
      <c r="K59" s="549"/>
      <c r="L59" s="525">
        <f>N57*E$29</f>
        <v>0.6687396055746454</v>
      </c>
      <c r="M59" s="379"/>
      <c r="N59" s="390"/>
      <c r="O59" s="390"/>
    </row>
    <row r="60" spans="1:15" x14ac:dyDescent="0.2">
      <c r="A60" s="390"/>
      <c r="B60" s="390"/>
      <c r="C60" s="390"/>
      <c r="D60" s="390"/>
      <c r="E60" s="390"/>
      <c r="F60" s="376"/>
      <c r="G60" s="376"/>
      <c r="H60" s="376"/>
      <c r="I60" s="390"/>
      <c r="J60" s="550"/>
      <c r="K60" s="551"/>
      <c r="L60" s="552"/>
      <c r="M60" s="379"/>
      <c r="N60" s="390"/>
      <c r="O60" s="390"/>
    </row>
    <row r="61" spans="1:15" x14ac:dyDescent="0.2">
      <c r="A61" s="390"/>
      <c r="B61" s="390"/>
      <c r="C61" s="390"/>
      <c r="D61" s="390"/>
      <c r="E61" s="390"/>
      <c r="F61" s="390"/>
      <c r="G61" s="390"/>
      <c r="H61" s="390"/>
      <c r="I61" s="529"/>
      <c r="J61" s="529"/>
      <c r="K61" s="529"/>
      <c r="L61" s="529"/>
      <c r="M61" s="379"/>
      <c r="N61" s="390"/>
      <c r="O61" s="390"/>
    </row>
    <row r="62" spans="1:15" ht="15.75" x14ac:dyDescent="0.25">
      <c r="A62" s="530" t="s">
        <v>340</v>
      </c>
      <c r="B62" s="531"/>
      <c r="C62" s="531"/>
      <c r="D62" s="531"/>
      <c r="E62" s="530" t="s">
        <v>513</v>
      </c>
      <c r="F62" s="532"/>
      <c r="G62" s="532"/>
      <c r="H62" s="531"/>
      <c r="I62" s="532" t="s">
        <v>532</v>
      </c>
      <c r="J62" s="533"/>
      <c r="K62" s="533"/>
      <c r="L62" s="534"/>
      <c r="M62" s="379"/>
      <c r="N62" s="535" t="s">
        <v>162</v>
      </c>
      <c r="O62" s="390"/>
    </row>
    <row r="63" spans="1:15" ht="15.75" x14ac:dyDescent="0.3">
      <c r="A63" s="503"/>
      <c r="B63" s="511" t="s">
        <v>1099</v>
      </c>
      <c r="C63" s="593">
        <v>0.99009900990099009</v>
      </c>
      <c r="D63" s="495" t="s">
        <v>713</v>
      </c>
      <c r="E63" s="553">
        <f>E52*C63</f>
        <v>57400.396039603955</v>
      </c>
      <c r="F63" s="499" t="s">
        <v>708</v>
      </c>
      <c r="G63" s="499"/>
      <c r="H63" s="495"/>
      <c r="I63" s="492" t="s">
        <v>746</v>
      </c>
      <c r="J63" s="514"/>
      <c r="K63" s="514"/>
      <c r="L63" s="537"/>
      <c r="M63" s="379"/>
      <c r="N63" s="554" t="s">
        <v>714</v>
      </c>
      <c r="O63" s="390"/>
    </row>
    <row r="64" spans="1:15" ht="15.75" x14ac:dyDescent="0.3">
      <c r="A64" s="503"/>
      <c r="B64" s="495"/>
      <c r="C64" s="495"/>
      <c r="D64" s="495"/>
      <c r="E64" s="505">
        <f>E53*C63</f>
        <v>0.99009900990099009</v>
      </c>
      <c r="F64" s="506" t="s">
        <v>707</v>
      </c>
      <c r="G64" s="506"/>
      <c r="H64" s="495"/>
      <c r="I64" s="539" t="s">
        <v>1053</v>
      </c>
      <c r="J64" s="539" t="s">
        <v>1054</v>
      </c>
      <c r="K64" s="539" t="s">
        <v>1055</v>
      </c>
      <c r="L64" s="540" t="s">
        <v>1056</v>
      </c>
      <c r="M64" s="379"/>
      <c r="N64" s="540" t="s">
        <v>1056</v>
      </c>
      <c r="O64" s="390"/>
    </row>
    <row r="65" spans="1:15" x14ac:dyDescent="0.2">
      <c r="A65" s="503"/>
      <c r="B65" s="511" t="s">
        <v>498</v>
      </c>
      <c r="C65" s="495"/>
      <c r="D65" s="495"/>
      <c r="E65" s="505"/>
      <c r="F65" s="506"/>
      <c r="G65" s="506"/>
      <c r="H65" s="495"/>
      <c r="I65" s="539"/>
      <c r="J65" s="539"/>
      <c r="K65" s="539"/>
      <c r="L65" s="540"/>
      <c r="M65" s="379"/>
      <c r="N65" s="541"/>
      <c r="O65" s="390"/>
    </row>
    <row r="66" spans="1:15" ht="15.75" x14ac:dyDescent="0.3">
      <c r="A66" s="503"/>
      <c r="B66" s="495" t="s">
        <v>1111</v>
      </c>
      <c r="C66" s="595">
        <v>50</v>
      </c>
      <c r="D66" s="495" t="s">
        <v>510</v>
      </c>
      <c r="E66" s="543">
        <f>(C66*E64)/(VLOOKUP($B63,'Standard values'!$C$9:$S$162,14, FALSE))/(1-$C$28)/1000</f>
        <v>2.0835416875020834E-3</v>
      </c>
      <c r="F66" s="495" t="s">
        <v>711</v>
      </c>
      <c r="G66" s="495"/>
      <c r="H66" s="495"/>
      <c r="I66" s="544">
        <f>$E66*VLOOKUP($B66,'Standard values'!$C$9:$S$162,15, FALSE)*VLOOKUP(C67,'Standard values'!$C$9:$S$162,7, FALSE)/$E$249</f>
        <v>0.27509084072227791</v>
      </c>
      <c r="J66" s="544">
        <f>$E66*((VLOOKUP($B66,'Standard values'!$C$9:$S$162,15, FALSE)*VLOOKUP(C67,'Standard values'!$C$9:$S$162,8, FALSE))+VLOOKUP($B66,'Standard values'!$C$9:$S$162,16, FALSE))/$E$249</f>
        <v>1.6767697227982317E-5</v>
      </c>
      <c r="K66" s="544">
        <f>$E66*((VLOOKUP($B66,'Standard values'!$C$9:$S$162,15, FALSE)*VLOOKUP(C67,'Standard values'!$C$9:$S$162,9, FALSE))+VLOOKUP($B66,'Standard values'!$C$9:$S$162,17, FALSE))/$E$249</f>
        <v>0</v>
      </c>
      <c r="L66" s="516">
        <f>I66*'Standard values'!$D$10+J66*'Standard values'!$D$11+K66*'Standard values'!$D$12</f>
        <v>0.27551003315297745</v>
      </c>
      <c r="M66" s="379"/>
      <c r="N66" s="1201">
        <f>+L66/E$29</f>
        <v>4.0670792079207914</v>
      </c>
      <c r="O66" s="390"/>
    </row>
    <row r="67" spans="1:15" x14ac:dyDescent="0.2">
      <c r="A67" s="503"/>
      <c r="B67" s="546" t="s">
        <v>54</v>
      </c>
      <c r="C67" s="673" t="s">
        <v>509</v>
      </c>
      <c r="D67" s="495"/>
      <c r="E67" s="543"/>
      <c r="F67" s="495"/>
      <c r="G67" s="495"/>
      <c r="H67" s="495"/>
      <c r="I67" s="544"/>
      <c r="J67" s="544"/>
      <c r="K67" s="544"/>
      <c r="L67" s="516"/>
      <c r="M67" s="379"/>
      <c r="N67" s="1203"/>
      <c r="O67" s="390"/>
    </row>
    <row r="68" spans="1:15" x14ac:dyDescent="0.2">
      <c r="A68" s="503"/>
      <c r="B68" s="495"/>
      <c r="C68" s="495"/>
      <c r="D68" s="495"/>
      <c r="E68" s="503"/>
      <c r="F68" s="495"/>
      <c r="G68" s="495"/>
      <c r="H68" s="548"/>
      <c r="I68" s="544"/>
      <c r="J68" s="544"/>
      <c r="K68" s="544"/>
      <c r="L68" s="516"/>
      <c r="M68" s="379"/>
      <c r="N68" s="390"/>
      <c r="O68" s="390"/>
    </row>
    <row r="69" spans="1:15" ht="14.25" x14ac:dyDescent="0.25">
      <c r="A69" s="519"/>
      <c r="B69" s="520"/>
      <c r="C69" s="520"/>
      <c r="D69" s="520"/>
      <c r="E69" s="519"/>
      <c r="F69" s="521"/>
      <c r="G69" s="521"/>
      <c r="H69" s="521" t="s">
        <v>534</v>
      </c>
      <c r="I69" s="520"/>
      <c r="J69" s="523" t="s">
        <v>747</v>
      </c>
      <c r="K69" s="549"/>
      <c r="L69" s="525">
        <f>N66*E$29</f>
        <v>0.27551003315297745</v>
      </c>
      <c r="M69" s="379"/>
      <c r="N69" s="390"/>
      <c r="O69" s="390"/>
    </row>
    <row r="70" spans="1:15" x14ac:dyDescent="0.2">
      <c r="A70" s="390"/>
      <c r="B70" s="390"/>
      <c r="C70" s="390"/>
      <c r="D70" s="390"/>
      <c r="E70" s="390"/>
      <c r="F70" s="376"/>
      <c r="G70" s="376"/>
      <c r="H70" s="376"/>
      <c r="I70" s="390"/>
      <c r="J70" s="550"/>
      <c r="K70" s="551"/>
      <c r="L70" s="552"/>
      <c r="M70" s="379"/>
      <c r="N70" s="379"/>
      <c r="O70" s="379"/>
    </row>
    <row r="71" spans="1:15" x14ac:dyDescent="0.2">
      <c r="A71" s="390"/>
      <c r="B71" s="390"/>
      <c r="C71" s="390"/>
      <c r="D71" s="390"/>
      <c r="E71" s="390"/>
      <c r="F71" s="390"/>
      <c r="G71" s="390"/>
      <c r="H71" s="390"/>
      <c r="I71" s="390"/>
      <c r="J71" s="390"/>
      <c r="K71" s="390"/>
      <c r="L71" s="375"/>
      <c r="M71" s="379"/>
      <c r="N71" s="379"/>
      <c r="O71" s="379"/>
    </row>
    <row r="72" spans="1:15" ht="15.75" x14ac:dyDescent="0.25">
      <c r="A72" s="530" t="s">
        <v>639</v>
      </c>
      <c r="B72" s="531"/>
      <c r="C72" s="531"/>
      <c r="D72" s="531"/>
      <c r="E72" s="530" t="s">
        <v>513</v>
      </c>
      <c r="F72" s="532"/>
      <c r="G72" s="532"/>
      <c r="H72" s="531"/>
      <c r="I72" s="532" t="s">
        <v>532</v>
      </c>
      <c r="J72" s="533"/>
      <c r="K72" s="533"/>
      <c r="L72" s="534"/>
      <c r="M72" s="379"/>
      <c r="N72" s="535" t="s">
        <v>162</v>
      </c>
      <c r="O72" s="379"/>
    </row>
    <row r="73" spans="1:15" x14ac:dyDescent="0.2">
      <c r="A73" s="503"/>
      <c r="B73" s="511" t="s">
        <v>524</v>
      </c>
      <c r="C73" s="495"/>
      <c r="D73" s="495"/>
      <c r="E73" s="553"/>
      <c r="F73" s="674"/>
      <c r="G73" s="674"/>
      <c r="H73" s="495"/>
      <c r="I73" s="492" t="s">
        <v>746</v>
      </c>
      <c r="J73" s="514"/>
      <c r="K73" s="514"/>
      <c r="L73" s="537"/>
      <c r="M73" s="379"/>
      <c r="N73" s="554" t="s">
        <v>588</v>
      </c>
      <c r="O73" s="379"/>
    </row>
    <row r="74" spans="1:15" ht="15.75" x14ac:dyDescent="0.3">
      <c r="A74" s="503"/>
      <c r="B74" s="495" t="s">
        <v>1039</v>
      </c>
      <c r="C74" s="675">
        <v>0.6578726264493362</v>
      </c>
      <c r="D74" s="495" t="s">
        <v>705</v>
      </c>
      <c r="E74" s="553">
        <f>E63*C74</f>
        <v>37762.149301806327</v>
      </c>
      <c r="F74" s="499" t="s">
        <v>654</v>
      </c>
      <c r="G74" s="499"/>
      <c r="H74" s="495"/>
      <c r="I74" s="539" t="s">
        <v>1053</v>
      </c>
      <c r="J74" s="539" t="s">
        <v>1054</v>
      </c>
      <c r="K74" s="539" t="s">
        <v>1055</v>
      </c>
      <c r="L74" s="540" t="s">
        <v>1056</v>
      </c>
      <c r="M74" s="379"/>
      <c r="N74" s="540" t="s">
        <v>1056</v>
      </c>
      <c r="O74" s="379"/>
    </row>
    <row r="75" spans="1:15" ht="15.75" x14ac:dyDescent="0.3">
      <c r="A75" s="563"/>
      <c r="B75" s="506" t="s">
        <v>129</v>
      </c>
      <c r="C75" s="675">
        <v>0.3421273735506638</v>
      </c>
      <c r="D75" s="495" t="s">
        <v>706</v>
      </c>
      <c r="E75" s="505">
        <f>E64*C74</f>
        <v>0.65135903608845169</v>
      </c>
      <c r="F75" s="506" t="s">
        <v>707</v>
      </c>
      <c r="G75" s="506"/>
      <c r="H75" s="495"/>
      <c r="I75" s="495"/>
      <c r="J75" s="495"/>
      <c r="K75" s="495"/>
      <c r="L75" s="541"/>
      <c r="M75" s="379"/>
      <c r="N75" s="541"/>
      <c r="O75" s="379"/>
    </row>
    <row r="76" spans="1:15" ht="15.75" x14ac:dyDescent="0.3">
      <c r="A76" s="563"/>
      <c r="B76" s="506"/>
      <c r="C76" s="564"/>
      <c r="D76" s="506"/>
      <c r="E76" s="557">
        <f>E74/$E$248/VLOOKUP($B74,'Standard values'!$C$9:$S$162,14, FALSE)</f>
        <v>2.8334786399302526E-2</v>
      </c>
      <c r="F76" s="499" t="s">
        <v>542</v>
      </c>
      <c r="G76" s="499"/>
      <c r="H76" s="495"/>
      <c r="I76" s="495"/>
      <c r="J76" s="495"/>
      <c r="K76" s="495"/>
      <c r="L76" s="541"/>
      <c r="M76" s="379"/>
      <c r="N76" s="541"/>
      <c r="O76" s="379"/>
    </row>
    <row r="77" spans="1:15" x14ac:dyDescent="0.2">
      <c r="A77" s="503"/>
      <c r="B77" s="511" t="s">
        <v>525</v>
      </c>
      <c r="C77" s="564"/>
      <c r="D77" s="495"/>
      <c r="E77" s="513"/>
      <c r="F77" s="495"/>
      <c r="G77" s="495"/>
      <c r="H77" s="495"/>
      <c r="I77" s="495"/>
      <c r="J77" s="495"/>
      <c r="K77" s="495"/>
      <c r="L77" s="541"/>
      <c r="M77" s="379"/>
      <c r="N77" s="541"/>
      <c r="O77" s="379"/>
    </row>
    <row r="78" spans="1:15" ht="15.75" x14ac:dyDescent="0.3">
      <c r="A78" s="503"/>
      <c r="B78" s="1301" t="s">
        <v>50</v>
      </c>
      <c r="C78" s="676">
        <f>1.4*0.00781609195402299</f>
        <v>1.0942528735632185E-2</v>
      </c>
      <c r="D78" s="495" t="s">
        <v>644</v>
      </c>
      <c r="E78" s="503"/>
      <c r="F78" s="495"/>
      <c r="G78" s="495"/>
      <c r="H78" s="495"/>
      <c r="I78" s="544">
        <f>$C78*$E$75*VLOOKUP($B78,'Standard values'!$C$9:$S$162,7, FALSE)/$E$249</f>
        <v>1.3693234841181561</v>
      </c>
      <c r="J78" s="544">
        <f>$C78*$E$75*VLOOKUP($B78,'Standard values'!$C$9:$S$162,8, FALSE)/$E$249</f>
        <v>3.3393097268570025E-3</v>
      </c>
      <c r="K78" s="544">
        <f>$C78*$E$75*VLOOKUP($B78,'Standard values'!$C$9:$S$162,9, FALSE)/$E$249</f>
        <v>6.1821365303011585E-5</v>
      </c>
      <c r="L78" s="419">
        <f>I78*'Standard values'!$D$10+J78*'Standard values'!$D$11+K78*'Standard values'!$D$12</f>
        <v>1.4712289941498786</v>
      </c>
      <c r="M78" s="379"/>
      <c r="N78" s="561">
        <f>L78/$E$76</f>
        <v>51.923066347381877</v>
      </c>
      <c r="O78" s="379"/>
    </row>
    <row r="79" spans="1:15" ht="15.75" x14ac:dyDescent="0.3">
      <c r="A79" s="503"/>
      <c r="B79" s="495" t="s">
        <v>827</v>
      </c>
      <c r="C79" s="675">
        <f>1.4*0.037037037037037</f>
        <v>5.1851851851851795E-2</v>
      </c>
      <c r="D79" s="495" t="s">
        <v>644</v>
      </c>
      <c r="E79" s="503"/>
      <c r="F79" s="495"/>
      <c r="G79" s="495"/>
      <c r="H79" s="495"/>
      <c r="I79" s="544"/>
      <c r="J79" s="544"/>
      <c r="K79" s="544"/>
      <c r="L79" s="419"/>
      <c r="M79" s="379"/>
      <c r="N79" s="562"/>
      <c r="O79" s="379"/>
    </row>
    <row r="80" spans="1:15" x14ac:dyDescent="0.2">
      <c r="A80" s="503"/>
      <c r="B80" s="571" t="s">
        <v>729</v>
      </c>
      <c r="C80" s="566"/>
      <c r="D80" s="566"/>
      <c r="E80" s="567"/>
      <c r="F80" s="568"/>
      <c r="G80" s="568"/>
      <c r="H80" s="568"/>
      <c r="I80" s="569" t="s">
        <v>830</v>
      </c>
      <c r="J80" s="568"/>
      <c r="K80" s="568"/>
      <c r="L80" s="688"/>
      <c r="M80" s="379"/>
      <c r="N80" s="562"/>
      <c r="O80" s="379"/>
    </row>
    <row r="81" spans="1:15" ht="15.75" x14ac:dyDescent="0.3">
      <c r="A81" s="503"/>
      <c r="B81" s="679" t="s">
        <v>826</v>
      </c>
      <c r="C81" s="573"/>
      <c r="D81" s="566"/>
      <c r="E81" s="567"/>
      <c r="F81" s="568"/>
      <c r="G81" s="568"/>
      <c r="H81" s="568"/>
      <c r="I81" s="574">
        <f>$C79*$E$75*VLOOKUP($B81,'Standard values'!$C$9:$S$159,7, FALSE)/$E$249</f>
        <v>0</v>
      </c>
      <c r="J81" s="574">
        <f>$C79*$E$75*VLOOKUP($B81,'Standard values'!$C$9:$S$159,8, FALSE)/$E$249</f>
        <v>1.5100225673702361E-4</v>
      </c>
      <c r="K81" s="574">
        <f>$C79*$E$75*VLOOKUP($B81,'Standard values'!$C$9:$S$159,9, FALSE)/$E$249</f>
        <v>6.0400902694809443E-5</v>
      </c>
      <c r="L81" s="575">
        <f>I81*'Standard values'!$D$10+J81*'Standard values'!$D$11+K81*'Standard values'!$D$12</f>
        <v>2.1774525421478806E-2</v>
      </c>
      <c r="M81" s="379"/>
      <c r="N81" s="561">
        <f>L81/$E$76</f>
        <v>0.76847325102880593</v>
      </c>
      <c r="O81" s="379"/>
    </row>
    <row r="82" spans="1:15" ht="14.25" x14ac:dyDescent="0.25">
      <c r="A82" s="503"/>
      <c r="B82" s="582" t="s">
        <v>828</v>
      </c>
      <c r="C82" s="536">
        <f>1/0.9</f>
        <v>1.1111111111111112</v>
      </c>
      <c r="D82" s="568" t="s">
        <v>419</v>
      </c>
      <c r="E82" s="567"/>
      <c r="F82" s="568"/>
      <c r="G82" s="568"/>
      <c r="H82" s="568"/>
      <c r="I82" s="574"/>
      <c r="J82" s="581"/>
      <c r="K82" s="581"/>
      <c r="L82" s="575"/>
      <c r="M82" s="379"/>
      <c r="N82" s="562"/>
      <c r="O82" s="379"/>
    </row>
    <row r="83" spans="1:15" ht="29.25" customHeight="1" x14ac:dyDescent="0.3">
      <c r="A83" s="503"/>
      <c r="B83" s="680" t="s">
        <v>158</v>
      </c>
      <c r="C83" s="573">
        <f>C82*C79</f>
        <v>5.7613168724279774E-2</v>
      </c>
      <c r="D83" s="568" t="s">
        <v>644</v>
      </c>
      <c r="E83" s="567"/>
      <c r="F83" s="568"/>
      <c r="G83" s="568"/>
      <c r="H83" s="568"/>
      <c r="I83" s="574">
        <f>$C83*$E$75*VLOOKUP($B83,'Standard values'!$C$9:$S$162,7, FALSE)/$E$249</f>
        <v>3.8030824372759811</v>
      </c>
      <c r="J83" s="574">
        <f>$C83*$E$75*VLOOKUP($B83,'Standard values'!$C$9:$S$162,8, FALSE)/$E$249</f>
        <v>1.1967767747835437E-2</v>
      </c>
      <c r="K83" s="574">
        <f>$C83*$E$75*VLOOKUP($B83,'Standard values'!$C$9:$S$162,9, FALSE)/$E$249</f>
        <v>1.3422422821068764E-5</v>
      </c>
      <c r="L83" s="575">
        <f>I83*'Standard values'!$D$10+J83*'Standard values'!$D$11+K83*'Standard values'!$D$12</f>
        <v>4.1062765129725447</v>
      </c>
      <c r="M83" s="379"/>
      <c r="N83" s="561">
        <f>L83/$E$76</f>
        <v>144.91997416552337</v>
      </c>
      <c r="O83" s="379"/>
    </row>
    <row r="84" spans="1:15" ht="14.25" x14ac:dyDescent="0.25">
      <c r="A84" s="503"/>
      <c r="B84" s="582" t="s">
        <v>829</v>
      </c>
      <c r="C84" s="536">
        <v>0.02</v>
      </c>
      <c r="D84" s="568" t="s">
        <v>419</v>
      </c>
      <c r="E84" s="567"/>
      <c r="F84" s="568"/>
      <c r="G84" s="568"/>
      <c r="H84" s="568"/>
      <c r="I84" s="574"/>
      <c r="J84" s="581"/>
      <c r="K84" s="581"/>
      <c r="L84" s="575"/>
      <c r="M84" s="379"/>
      <c r="N84" s="561"/>
      <c r="O84" s="379"/>
    </row>
    <row r="85" spans="1:15" ht="15.75" x14ac:dyDescent="0.3">
      <c r="A85" s="503"/>
      <c r="B85" s="1301" t="s">
        <v>50</v>
      </c>
      <c r="C85" s="573">
        <f>C84*C79</f>
        <v>1.037037037037036E-3</v>
      </c>
      <c r="D85" s="568" t="s">
        <v>644</v>
      </c>
      <c r="E85" s="567"/>
      <c r="F85" s="568"/>
      <c r="G85" s="568"/>
      <c r="H85" s="568"/>
      <c r="I85" s="574">
        <f>$C85*$E$75*VLOOKUP($B85,'Standard values'!$C$9:$S$162,7, FALSE)/$E$249</f>
        <v>0.12977248705694927</v>
      </c>
      <c r="J85" s="574">
        <f>$C85*$E$75*VLOOKUP($B85,'Standard values'!$C$9:$S$162,8, FALSE)/$E$249</f>
        <v>3.1647052966945409E-4</v>
      </c>
      <c r="K85" s="574">
        <f>$C85*$E$75*VLOOKUP($B85,'Standard values'!$C$9:$S$162,9, FALSE)/$E$249</f>
        <v>5.8588875613965156E-6</v>
      </c>
      <c r="L85" s="575">
        <f>I85*'Standard values'!$D$10+J85*'Standard values'!$D$11+K85*'Standard values'!$D$12</f>
        <v>0.13943019879198176</v>
      </c>
      <c r="M85" s="379"/>
      <c r="N85" s="561">
        <f>L85/$E$76</f>
        <v>4.9208134773662495</v>
      </c>
      <c r="O85" s="379"/>
    </row>
    <row r="86" spans="1:15" x14ac:dyDescent="0.2">
      <c r="A86" s="503"/>
      <c r="B86" s="495"/>
      <c r="C86" s="499"/>
      <c r="D86" s="495"/>
      <c r="E86" s="503"/>
      <c r="F86" s="495"/>
      <c r="G86" s="495"/>
      <c r="H86" s="495"/>
      <c r="I86" s="544"/>
      <c r="J86" s="544"/>
      <c r="K86" s="544"/>
      <c r="L86" s="419"/>
      <c r="M86" s="379"/>
      <c r="N86" s="561"/>
      <c r="O86" s="379"/>
    </row>
    <row r="87" spans="1:15" x14ac:dyDescent="0.2">
      <c r="A87" s="503"/>
      <c r="B87" s="511" t="s">
        <v>641</v>
      </c>
      <c r="C87" s="499"/>
      <c r="D87" s="495"/>
      <c r="E87" s="503"/>
      <c r="F87" s="495"/>
      <c r="G87" s="495"/>
      <c r="H87" s="495"/>
      <c r="I87" s="544"/>
      <c r="J87" s="544"/>
      <c r="K87" s="544"/>
      <c r="L87" s="419"/>
      <c r="M87" s="379"/>
      <c r="N87" s="561"/>
      <c r="O87" s="379"/>
    </row>
    <row r="88" spans="1:15" ht="15.75" x14ac:dyDescent="0.3">
      <c r="A88" s="503"/>
      <c r="B88" s="674" t="s">
        <v>1106</v>
      </c>
      <c r="C88" s="675">
        <v>4.0326436781609196E-3</v>
      </c>
      <c r="D88" s="495" t="s">
        <v>644</v>
      </c>
      <c r="E88" s="503"/>
      <c r="F88" s="495"/>
      <c r="G88" s="495"/>
      <c r="H88" s="495"/>
      <c r="I88" s="544">
        <f>$C88*$E$75*VLOOKUP($B88,'Standard values'!$C$9:$S$162,7, FALSE)/$E$249</f>
        <v>0.33857404214559383</v>
      </c>
      <c r="J88" s="544">
        <f>$C88*$E$75*VLOOKUP($B88,'Standard values'!$C$9:$S$162,8, FALSE)/$E$249</f>
        <v>6.1537564371935908E-5</v>
      </c>
      <c r="K88" s="544">
        <f>$C88*$E$75*VLOOKUP($B88,'Standard values'!$C$9:$S$162,9, FALSE)/$E$249</f>
        <v>1.1743809994644256E-6</v>
      </c>
      <c r="L88" s="419">
        <f>I88*'Standard values'!$D$10+J88*'Standard values'!$D$11+K88*'Standard values'!$D$12</f>
        <v>0.34046244679273263</v>
      </c>
      <c r="M88" s="379"/>
      <c r="N88" s="561">
        <f>L88/$E$76</f>
        <v>12.015705429885058</v>
      </c>
      <c r="O88" s="379"/>
    </row>
    <row r="89" spans="1:15" x14ac:dyDescent="0.2">
      <c r="A89" s="503"/>
      <c r="B89" s="495"/>
      <c r="C89" s="499"/>
      <c r="D89" s="499"/>
      <c r="E89" s="681"/>
      <c r="F89" s="495"/>
      <c r="G89" s="495"/>
      <c r="H89" s="514" t="s">
        <v>1047</v>
      </c>
      <c r="I89" s="583">
        <f>SUM(I75:I88)</f>
        <v>5.6407524505966808</v>
      </c>
      <c r="J89" s="583">
        <f>SUM(J75:J88)</f>
        <v>1.583608782547085E-2</v>
      </c>
      <c r="K89" s="583">
        <f>SUM(K75:K88)</f>
        <v>1.4267795937975073E-4</v>
      </c>
      <c r="L89" s="516">
        <f>I89*'Standard values'!$D$10+J89*'Standard values'!$D$11+K89*'Standard values'!$D$12</f>
        <v>6.0791726781286179</v>
      </c>
      <c r="M89" s="379"/>
      <c r="N89" s="1201">
        <f>+L89/E$76</f>
        <v>214.54803267118541</v>
      </c>
      <c r="O89" s="379"/>
    </row>
    <row r="90" spans="1:15" x14ac:dyDescent="0.2">
      <c r="A90" s="503"/>
      <c r="B90" s="682"/>
      <c r="C90" s="499"/>
      <c r="D90" s="499"/>
      <c r="E90" s="503"/>
      <c r="F90" s="495"/>
      <c r="G90" s="495"/>
      <c r="H90" s="495"/>
      <c r="I90" s="495"/>
      <c r="J90" s="495"/>
      <c r="K90" s="495"/>
      <c r="L90" s="541"/>
      <c r="M90" s="379"/>
      <c r="N90" s="1203"/>
      <c r="O90" s="379"/>
    </row>
    <row r="91" spans="1:15" ht="14.25" x14ac:dyDescent="0.25">
      <c r="A91" s="519"/>
      <c r="B91" s="520"/>
      <c r="C91" s="520"/>
      <c r="D91" s="520"/>
      <c r="E91" s="519"/>
      <c r="F91" s="521"/>
      <c r="G91" s="521"/>
      <c r="H91" s="521" t="s">
        <v>534</v>
      </c>
      <c r="I91" s="520"/>
      <c r="J91" s="523" t="s">
        <v>747</v>
      </c>
      <c r="K91" s="549"/>
      <c r="L91" s="525">
        <f>N89*E$76</f>
        <v>6.0791726781286179</v>
      </c>
      <c r="M91" s="379"/>
      <c r="N91" s="390"/>
      <c r="O91" s="379"/>
    </row>
    <row r="92" spans="1:15" x14ac:dyDescent="0.2">
      <c r="A92" s="390"/>
      <c r="B92" s="390"/>
      <c r="C92" s="390"/>
      <c r="D92" s="390"/>
      <c r="E92" s="390"/>
      <c r="F92" s="376"/>
      <c r="G92" s="376"/>
      <c r="H92" s="376"/>
      <c r="I92" s="390"/>
      <c r="J92" s="550"/>
      <c r="K92" s="551"/>
      <c r="L92" s="585"/>
      <c r="M92" s="379"/>
      <c r="N92" s="390"/>
      <c r="O92" s="390"/>
    </row>
    <row r="93" spans="1:15" x14ac:dyDescent="0.2">
      <c r="A93" s="390"/>
      <c r="B93" s="390"/>
      <c r="C93" s="390"/>
      <c r="D93" s="390"/>
      <c r="E93" s="390"/>
      <c r="F93" s="376"/>
      <c r="G93" s="376"/>
      <c r="H93" s="376"/>
      <c r="I93" s="390"/>
      <c r="J93" s="550"/>
      <c r="K93" s="551"/>
      <c r="L93" s="585"/>
      <c r="M93" s="379"/>
      <c r="N93" s="390"/>
      <c r="O93" s="390"/>
    </row>
    <row r="94" spans="1:15" ht="15.75" x14ac:dyDescent="0.25">
      <c r="A94" s="530" t="s">
        <v>1057</v>
      </c>
      <c r="B94" s="531"/>
      <c r="C94" s="531"/>
      <c r="D94" s="531"/>
      <c r="E94" s="608" t="s">
        <v>526</v>
      </c>
      <c r="F94" s="606"/>
      <c r="G94" s="606"/>
      <c r="H94" s="606"/>
      <c r="I94" s="607"/>
      <c r="J94" s="608" t="s">
        <v>747</v>
      </c>
      <c r="K94" s="607"/>
      <c r="L94" s="609">
        <f>L48+L59+L69+L91</f>
        <v>34.429825569944725</v>
      </c>
      <c r="M94" s="379"/>
      <c r="N94" s="390"/>
      <c r="O94" s="390"/>
    </row>
    <row r="95" spans="1:15" ht="15.75" x14ac:dyDescent="0.25">
      <c r="A95" s="610" t="s">
        <v>937</v>
      </c>
      <c r="B95" s="611"/>
      <c r="C95" s="611"/>
      <c r="D95" s="611"/>
      <c r="E95" s="613"/>
      <c r="F95" s="613"/>
      <c r="G95" s="613"/>
      <c r="H95" s="613"/>
      <c r="I95" s="613"/>
      <c r="J95" s="613"/>
      <c r="K95" s="613"/>
      <c r="L95" s="614"/>
      <c r="M95" s="379"/>
      <c r="N95" s="535" t="s">
        <v>162</v>
      </c>
      <c r="O95" s="390"/>
    </row>
    <row r="96" spans="1:15" ht="15.75" x14ac:dyDescent="0.3">
      <c r="A96" s="567"/>
      <c r="B96" s="568"/>
      <c r="C96" s="568"/>
      <c r="D96" s="683"/>
      <c r="E96" s="683"/>
      <c r="F96" s="683"/>
      <c r="G96" s="683"/>
      <c r="H96" s="683" t="s">
        <v>667</v>
      </c>
      <c r="I96" s="684">
        <f>L94</f>
        <v>34.429825569944725</v>
      </c>
      <c r="J96" s="568" t="s">
        <v>321</v>
      </c>
      <c r="K96" s="568"/>
      <c r="L96" s="685"/>
      <c r="M96" s="379"/>
      <c r="N96" s="554" t="s">
        <v>588</v>
      </c>
      <c r="O96" s="390"/>
    </row>
    <row r="97" spans="1:15" ht="15.75" x14ac:dyDescent="0.3">
      <c r="A97" s="567"/>
      <c r="B97" s="568" t="s">
        <v>51</v>
      </c>
      <c r="C97" s="568" t="s">
        <v>704</v>
      </c>
      <c r="D97" s="568"/>
      <c r="E97" s="683" t="s">
        <v>659</v>
      </c>
      <c r="F97" s="686">
        <v>1</v>
      </c>
      <c r="G97" s="686"/>
      <c r="H97" s="568" t="s">
        <v>501</v>
      </c>
      <c r="I97" s="574">
        <f>$I$96*F97/F$99</f>
        <v>22.65043977589205</v>
      </c>
      <c r="J97" s="568" t="s">
        <v>321</v>
      </c>
      <c r="K97" s="568"/>
      <c r="L97" s="685"/>
      <c r="M97" s="379"/>
      <c r="N97" s="540" t="s">
        <v>1056</v>
      </c>
      <c r="O97" s="390"/>
    </row>
    <row r="98" spans="1:15" ht="15.75" x14ac:dyDescent="0.3">
      <c r="A98" s="567"/>
      <c r="B98" s="568" t="s">
        <v>123</v>
      </c>
      <c r="C98" s="568" t="s">
        <v>720</v>
      </c>
      <c r="D98" s="568"/>
      <c r="E98" s="683" t="s">
        <v>134</v>
      </c>
      <c r="F98" s="686">
        <f>C75/C74</f>
        <v>0.52005108556832702</v>
      </c>
      <c r="G98" s="686"/>
      <c r="H98" s="568" t="s">
        <v>501</v>
      </c>
      <c r="I98" s="574">
        <f>$I$96*F98/F$99</f>
        <v>11.779385794052674</v>
      </c>
      <c r="J98" s="568" t="s">
        <v>321</v>
      </c>
      <c r="K98" s="568"/>
      <c r="L98" s="685"/>
      <c r="M98" s="379"/>
      <c r="N98" s="541"/>
      <c r="O98" s="390"/>
    </row>
    <row r="99" spans="1:15" x14ac:dyDescent="0.2">
      <c r="A99" s="567"/>
      <c r="B99" s="568"/>
      <c r="C99" s="568"/>
      <c r="D99" s="568"/>
      <c r="E99" s="568" t="s">
        <v>533</v>
      </c>
      <c r="F99" s="686">
        <f>SUM(F97:F98)</f>
        <v>1.5200510855683271</v>
      </c>
      <c r="G99" s="686"/>
      <c r="H99" s="568" t="s">
        <v>501</v>
      </c>
      <c r="I99" s="568"/>
      <c r="J99" s="568"/>
      <c r="K99" s="568"/>
      <c r="L99" s="685"/>
      <c r="M99" s="379"/>
      <c r="N99" s="541"/>
      <c r="O99" s="390"/>
    </row>
    <row r="100" spans="1:15" ht="14.25" x14ac:dyDescent="0.25">
      <c r="A100" s="519"/>
      <c r="B100" s="520"/>
      <c r="C100" s="520"/>
      <c r="D100" s="520"/>
      <c r="E100" s="523" t="s">
        <v>1058</v>
      </c>
      <c r="F100" s="521"/>
      <c r="G100" s="521"/>
      <c r="H100" s="687"/>
      <c r="I100" s="520"/>
      <c r="J100" s="523" t="s">
        <v>747</v>
      </c>
      <c r="K100" s="687"/>
      <c r="L100" s="525">
        <f>I97</f>
        <v>22.65043977589205</v>
      </c>
      <c r="M100" s="379"/>
      <c r="N100" s="545">
        <f>L100/$E$76</f>
        <v>799.38628993686723</v>
      </c>
      <c r="O100" s="379"/>
    </row>
    <row r="101" spans="1:15" x14ac:dyDescent="0.2">
      <c r="A101" s="390"/>
      <c r="B101" s="390"/>
      <c r="C101" s="390"/>
      <c r="D101" s="379"/>
      <c r="E101" s="379"/>
      <c r="F101" s="551"/>
      <c r="G101" s="551"/>
      <c r="H101" s="437"/>
      <c r="I101" s="378"/>
      <c r="J101" s="379"/>
      <c r="K101" s="379"/>
      <c r="L101" s="586"/>
      <c r="M101" s="379"/>
      <c r="O101" s="379"/>
    </row>
    <row r="102" spans="1:15" x14ac:dyDescent="0.2">
      <c r="A102" s="390"/>
      <c r="B102" s="390"/>
      <c r="C102" s="390"/>
      <c r="D102" s="379"/>
      <c r="E102" s="379"/>
      <c r="F102" s="551"/>
      <c r="G102" s="551"/>
      <c r="H102" s="437"/>
      <c r="I102" s="378"/>
      <c r="J102" s="379"/>
      <c r="K102" s="379"/>
      <c r="L102" s="586"/>
      <c r="M102" s="379"/>
      <c r="O102" s="379"/>
    </row>
    <row r="103" spans="1:15" ht="15.75" x14ac:dyDescent="0.25">
      <c r="A103" s="530" t="s">
        <v>1215</v>
      </c>
      <c r="B103" s="531"/>
      <c r="C103" s="531"/>
      <c r="D103" s="531"/>
      <c r="E103" s="530" t="s">
        <v>513</v>
      </c>
      <c r="F103" s="532"/>
      <c r="G103" s="532"/>
      <c r="H103" s="531"/>
      <c r="I103" s="532" t="s">
        <v>532</v>
      </c>
      <c r="J103" s="533"/>
      <c r="K103" s="533"/>
      <c r="L103" s="534"/>
      <c r="M103" s="379"/>
      <c r="N103" s="535" t="s">
        <v>162</v>
      </c>
      <c r="O103" s="379"/>
    </row>
    <row r="104" spans="1:15" ht="15.75" x14ac:dyDescent="0.3">
      <c r="A104" s="503"/>
      <c r="B104" s="511" t="s">
        <v>1039</v>
      </c>
      <c r="C104" s="593">
        <v>1</v>
      </c>
      <c r="D104" s="495" t="s">
        <v>645</v>
      </c>
      <c r="E104" s="553">
        <f>E74*C104</f>
        <v>37762.149301806327</v>
      </c>
      <c r="F104" s="499" t="s">
        <v>654</v>
      </c>
      <c r="G104" s="499"/>
      <c r="H104" s="495"/>
      <c r="I104" s="492" t="s">
        <v>746</v>
      </c>
      <c r="J104" s="514"/>
      <c r="K104" s="514"/>
      <c r="L104" s="537"/>
      <c r="M104" s="379"/>
      <c r="N104" s="554" t="s">
        <v>588</v>
      </c>
      <c r="O104" s="379"/>
    </row>
    <row r="105" spans="1:15" ht="15.75" x14ac:dyDescent="0.3">
      <c r="A105" s="503"/>
      <c r="B105" s="495"/>
      <c r="C105" s="495"/>
      <c r="D105" s="495"/>
      <c r="E105" s="505">
        <f>E75*C104</f>
        <v>0.65135903608845169</v>
      </c>
      <c r="F105" s="506" t="s">
        <v>707</v>
      </c>
      <c r="G105" s="506"/>
      <c r="H105" s="495"/>
      <c r="I105" s="539" t="s">
        <v>1053</v>
      </c>
      <c r="J105" s="539" t="s">
        <v>1054</v>
      </c>
      <c r="K105" s="539" t="s">
        <v>1055</v>
      </c>
      <c r="L105" s="540" t="s">
        <v>1056</v>
      </c>
      <c r="M105" s="379"/>
      <c r="N105" s="540" t="s">
        <v>1056</v>
      </c>
      <c r="O105" s="379"/>
    </row>
    <row r="106" spans="1:15" x14ac:dyDescent="0.2">
      <c r="A106" s="503"/>
      <c r="B106" s="511" t="s">
        <v>498</v>
      </c>
      <c r="C106" s="495"/>
      <c r="D106" s="495"/>
      <c r="E106" s="505"/>
      <c r="F106" s="506"/>
      <c r="G106" s="506"/>
      <c r="H106" s="495"/>
      <c r="I106" s="539"/>
      <c r="J106" s="539"/>
      <c r="K106" s="539"/>
      <c r="L106" s="540"/>
      <c r="M106" s="379"/>
      <c r="N106" s="541"/>
      <c r="O106" s="379"/>
    </row>
    <row r="107" spans="1:15" ht="15.75" x14ac:dyDescent="0.3">
      <c r="A107" s="503"/>
      <c r="B107" s="495" t="s">
        <v>159</v>
      </c>
      <c r="C107" s="595">
        <v>0</v>
      </c>
      <c r="D107" s="495" t="s">
        <v>510</v>
      </c>
      <c r="E107" s="543">
        <f>(C107*E105)/(VLOOKUP($B104,'Standard values'!$C$9:$S$162,14, FALSE))/1000</f>
        <v>0</v>
      </c>
      <c r="F107" s="495" t="s">
        <v>711</v>
      </c>
      <c r="G107" s="495"/>
      <c r="H107" s="495"/>
      <c r="I107" s="544">
        <f>$E107*VLOOKUP($B107,'Standard values'!$C$9:$S$162,15, FALSE)*VLOOKUP(C108,'Standard values'!$C$9:$S$162,7, FALSE)/$E$249</f>
        <v>0</v>
      </c>
      <c r="J107" s="544">
        <f>$E107*((VLOOKUP($B107,'Standard values'!$C$9:$S$162,15, FALSE)*VLOOKUP(C108,'Standard values'!$C$9:$S$162,8, FALSE))+VLOOKUP($B107,'Standard values'!$C$9:$S$162,16, FALSE))/$E$249</f>
        <v>0</v>
      </c>
      <c r="K107" s="544">
        <f>$E107*((VLOOKUP($B107,'Standard values'!$C$9:$S$162,15, FALSE)*VLOOKUP(C108,'Standard values'!$C$9:$S$162,9, FALSE))+VLOOKUP($B107,'Standard values'!$C$9:$S$162,17, FALSE))/$E$249</f>
        <v>0</v>
      </c>
      <c r="L107" s="516">
        <f>I107*'Standard values'!$D$10+J107*'Standard values'!$D$11+K107*'Standard values'!$D$12</f>
        <v>0</v>
      </c>
      <c r="M107" s="379"/>
      <c r="N107" s="545">
        <f>L107/$E$76</f>
        <v>0</v>
      </c>
      <c r="O107" s="379"/>
    </row>
    <row r="108" spans="1:15" x14ac:dyDescent="0.2">
      <c r="A108" s="503"/>
      <c r="B108" s="546" t="s">
        <v>54</v>
      </c>
      <c r="C108" s="673" t="s">
        <v>509</v>
      </c>
      <c r="D108" s="495"/>
      <c r="E108" s="543"/>
      <c r="F108" s="495"/>
      <c r="G108" s="495"/>
      <c r="H108" s="495"/>
      <c r="I108" s="544"/>
      <c r="J108" s="544"/>
      <c r="K108" s="544"/>
      <c r="L108" s="516"/>
      <c r="M108" s="379"/>
      <c r="N108" s="390"/>
      <c r="O108" s="379"/>
    </row>
    <row r="109" spans="1:15" x14ac:dyDescent="0.2">
      <c r="A109" s="503"/>
      <c r="B109" s="495"/>
      <c r="C109" s="495"/>
      <c r="D109" s="495"/>
      <c r="E109" s="503"/>
      <c r="F109" s="495"/>
      <c r="G109" s="495"/>
      <c r="H109" s="548"/>
      <c r="I109" s="544"/>
      <c r="J109" s="544"/>
      <c r="K109" s="544"/>
      <c r="L109" s="516"/>
      <c r="M109" s="379"/>
      <c r="N109" s="390"/>
      <c r="O109" s="379"/>
    </row>
    <row r="110" spans="1:15" ht="14.25" x14ac:dyDescent="0.25">
      <c r="A110" s="519"/>
      <c r="B110" s="520"/>
      <c r="C110" s="520"/>
      <c r="D110" s="520"/>
      <c r="E110" s="519"/>
      <c r="F110" s="521"/>
      <c r="G110" s="521"/>
      <c r="H110" s="521" t="s">
        <v>534</v>
      </c>
      <c r="I110" s="520"/>
      <c r="J110" s="523" t="s">
        <v>747</v>
      </c>
      <c r="K110" s="549"/>
      <c r="L110" s="525">
        <f>L107</f>
        <v>0</v>
      </c>
      <c r="M110" s="379"/>
      <c r="N110" s="390"/>
      <c r="O110" s="379"/>
    </row>
    <row r="111" spans="1:15" x14ac:dyDescent="0.2">
      <c r="A111" s="390"/>
      <c r="B111" s="390"/>
      <c r="C111" s="390"/>
      <c r="D111" s="390"/>
      <c r="E111" s="390"/>
      <c r="F111" s="376"/>
      <c r="G111" s="376"/>
      <c r="H111" s="376"/>
      <c r="I111" s="390"/>
      <c r="J111" s="550"/>
      <c r="K111" s="551"/>
      <c r="L111" s="552"/>
      <c r="M111" s="379"/>
      <c r="N111" s="379"/>
      <c r="O111" s="379"/>
    </row>
    <row r="112" spans="1:15" x14ac:dyDescent="0.2">
      <c r="A112" s="390"/>
      <c r="B112" s="390"/>
      <c r="C112" s="390"/>
      <c r="D112" s="379"/>
      <c r="E112" s="379"/>
      <c r="F112" s="551"/>
      <c r="G112" s="551"/>
      <c r="H112" s="437"/>
      <c r="I112" s="378"/>
      <c r="J112" s="379"/>
      <c r="K112" s="379"/>
      <c r="L112" s="586"/>
      <c r="M112" s="379"/>
      <c r="N112" s="379"/>
      <c r="O112" s="379"/>
    </row>
    <row r="113" spans="1:15" ht="15.75" x14ac:dyDescent="0.25">
      <c r="A113" s="530" t="s">
        <v>642</v>
      </c>
      <c r="B113" s="531"/>
      <c r="C113" s="531"/>
      <c r="D113" s="531"/>
      <c r="E113" s="530" t="s">
        <v>513</v>
      </c>
      <c r="F113" s="532"/>
      <c r="G113" s="532"/>
      <c r="H113" s="531"/>
      <c r="I113" s="532" t="s">
        <v>532</v>
      </c>
      <c r="J113" s="533"/>
      <c r="K113" s="533"/>
      <c r="L113" s="534"/>
      <c r="M113" s="379"/>
      <c r="N113" s="535" t="s">
        <v>162</v>
      </c>
      <c r="O113" s="379"/>
    </row>
    <row r="114" spans="1:15" x14ac:dyDescent="0.2">
      <c r="A114" s="503"/>
      <c r="B114" s="511" t="s">
        <v>524</v>
      </c>
      <c r="C114" s="495"/>
      <c r="D114" s="495"/>
      <c r="E114" s="553"/>
      <c r="F114" s="499"/>
      <c r="G114" s="499"/>
      <c r="H114" s="495"/>
      <c r="I114" s="492" t="s">
        <v>746</v>
      </c>
      <c r="J114" s="514"/>
      <c r="K114" s="514"/>
      <c r="L114" s="537"/>
      <c r="M114" s="379"/>
      <c r="N114" s="554" t="s">
        <v>541</v>
      </c>
      <c r="O114" s="379"/>
    </row>
    <row r="115" spans="1:15" ht="15.75" x14ac:dyDescent="0.3">
      <c r="A115" s="503"/>
      <c r="B115" s="495" t="s">
        <v>704</v>
      </c>
      <c r="C115" s="593">
        <v>0.96</v>
      </c>
      <c r="D115" s="495" t="s">
        <v>645</v>
      </c>
      <c r="E115" s="553">
        <f>E104*C115</f>
        <v>36251.663329734074</v>
      </c>
      <c r="F115" s="499" t="s">
        <v>654</v>
      </c>
      <c r="G115" s="499"/>
      <c r="H115" s="495"/>
      <c r="I115" s="539" t="s">
        <v>1053</v>
      </c>
      <c r="J115" s="539" t="s">
        <v>1054</v>
      </c>
      <c r="K115" s="539" t="s">
        <v>1055</v>
      </c>
      <c r="L115" s="540" t="s">
        <v>1056</v>
      </c>
      <c r="M115" s="379"/>
      <c r="N115" s="540" t="s">
        <v>1056</v>
      </c>
      <c r="O115" s="379"/>
    </row>
    <row r="116" spans="1:15" ht="15.75" x14ac:dyDescent="0.3">
      <c r="A116" s="563"/>
      <c r="B116" s="506"/>
      <c r="C116" s="564"/>
      <c r="D116" s="506"/>
      <c r="E116" s="505">
        <f>E105*C115</f>
        <v>0.62530467464491357</v>
      </c>
      <c r="F116" s="506" t="s">
        <v>707</v>
      </c>
      <c r="G116" s="506"/>
      <c r="H116" s="495"/>
      <c r="I116" s="495"/>
      <c r="J116" s="495"/>
      <c r="K116" s="495"/>
      <c r="L116" s="541"/>
      <c r="M116" s="379"/>
      <c r="N116" s="541"/>
      <c r="O116" s="379"/>
    </row>
    <row r="117" spans="1:15" ht="15.75" x14ac:dyDescent="0.3">
      <c r="A117" s="563"/>
      <c r="B117" s="511" t="s">
        <v>525</v>
      </c>
      <c r="C117" s="495"/>
      <c r="D117" s="506"/>
      <c r="E117" s="557">
        <f>E115/$E$248/VLOOKUP($B74,'Standard values'!$C$9:$S$162,14, FALSE)</f>
        <v>2.7201394943330424E-2</v>
      </c>
      <c r="F117" s="499" t="s">
        <v>542</v>
      </c>
      <c r="G117" s="499"/>
      <c r="H117" s="495"/>
      <c r="I117" s="495"/>
      <c r="J117" s="495"/>
      <c r="K117" s="495"/>
      <c r="L117" s="541"/>
      <c r="M117" s="379"/>
      <c r="N117" s="541"/>
      <c r="O117" s="379"/>
    </row>
    <row r="118" spans="1:15" ht="15.75" x14ac:dyDescent="0.3">
      <c r="A118" s="503"/>
      <c r="B118" s="1301" t="s">
        <v>50</v>
      </c>
      <c r="C118" s="676">
        <f>1.4*0.0006</f>
        <v>8.3999999999999993E-4</v>
      </c>
      <c r="D118" s="495" t="s">
        <v>644</v>
      </c>
      <c r="E118" s="513"/>
      <c r="F118" s="495"/>
      <c r="G118" s="495"/>
      <c r="H118" s="495"/>
      <c r="I118" s="544">
        <f>$C118*$E$116*VLOOKUP($B118,'Standard values'!$C$9:$S$162,7, FALSE)/$E$249</f>
        <v>0.10091108593548387</v>
      </c>
      <c r="J118" s="544">
        <f>$C118*$E$116*VLOOKUP($B118,'Standard values'!$C$9:$S$162,8, FALSE)/$E$249</f>
        <v>2.4608748387096774E-4</v>
      </c>
      <c r="K118" s="544">
        <f>$C118*$E$116*VLOOKUP($B118,'Standard values'!$C$9:$S$162,9, FALSE)/$E$249</f>
        <v>4.5558709677419349E-6</v>
      </c>
      <c r="L118" s="419">
        <f>I118*'Standard values'!$D$10+J118*'Standard values'!$D$11+K118*'Standard values'!$D$12</f>
        <v>0.10842092258064516</v>
      </c>
      <c r="M118" s="379"/>
      <c r="N118" s="562">
        <f>L118/$E$117</f>
        <v>3.9858589166666669</v>
      </c>
      <c r="O118" s="379"/>
    </row>
    <row r="119" spans="1:15" ht="15.75" x14ac:dyDescent="0.3">
      <c r="A119" s="503"/>
      <c r="B119" s="495" t="s">
        <v>827</v>
      </c>
      <c r="C119" s="675">
        <f>1.4*0.00822222222222222</f>
        <v>1.1511111111111106E-2</v>
      </c>
      <c r="D119" s="495" t="s">
        <v>644</v>
      </c>
      <c r="E119" s="503"/>
      <c r="F119" s="495"/>
      <c r="G119" s="495"/>
      <c r="H119" s="495"/>
      <c r="I119" s="544"/>
      <c r="J119" s="544"/>
      <c r="K119" s="544"/>
      <c r="L119" s="419"/>
      <c r="M119" s="379"/>
      <c r="N119" s="562"/>
      <c r="O119" s="379"/>
    </row>
    <row r="120" spans="1:15" x14ac:dyDescent="0.2">
      <c r="A120" s="503"/>
      <c r="B120" s="571" t="s">
        <v>729</v>
      </c>
      <c r="C120" s="566"/>
      <c r="D120" s="566"/>
      <c r="E120" s="567"/>
      <c r="F120" s="568"/>
      <c r="G120" s="568"/>
      <c r="H120" s="568"/>
      <c r="I120" s="569" t="s">
        <v>830</v>
      </c>
      <c r="J120" s="568"/>
      <c r="K120" s="568"/>
      <c r="L120" s="570"/>
      <c r="M120" s="379"/>
      <c r="N120" s="562"/>
      <c r="O120" s="379"/>
    </row>
    <row r="121" spans="1:15" ht="15.75" x14ac:dyDescent="0.3">
      <c r="A121" s="503"/>
      <c r="B121" s="679" t="s">
        <v>826</v>
      </c>
      <c r="C121" s="573"/>
      <c r="D121" s="566"/>
      <c r="E121" s="567"/>
      <c r="F121" s="568"/>
      <c r="G121" s="568"/>
      <c r="H121" s="568"/>
      <c r="I121" s="574">
        <f>$C119*$E$116*VLOOKUP($B121,'Standard values'!$C$9:$S$159,7, FALSE)/$E$249</f>
        <v>0</v>
      </c>
      <c r="J121" s="574">
        <f>$C119*$E$116*VLOOKUP($B121,'Standard values'!$C$9:$S$159,8, FALSE)/$E$249</f>
        <v>3.2181600955794489E-5</v>
      </c>
      <c r="K121" s="574">
        <f>$C119*$E$116*VLOOKUP($B121,'Standard values'!$C$9:$S$159,9, FALSE)/$E$249</f>
        <v>1.2872640382317794E-5</v>
      </c>
      <c r="L121" s="575">
        <f>I121*'Standard values'!$D$10+J121*'Standard values'!$D$11+K121*'Standard values'!$D$12</f>
        <v>4.6405868578255653E-3</v>
      </c>
      <c r="M121" s="379"/>
      <c r="N121" s="562">
        <f>L121/$E$117</f>
        <v>0.17060106172839501</v>
      </c>
      <c r="O121" s="379"/>
    </row>
    <row r="122" spans="1:15" ht="14.25" x14ac:dyDescent="0.25">
      <c r="A122" s="503"/>
      <c r="B122" s="582" t="s">
        <v>828</v>
      </c>
      <c r="C122" s="536">
        <f>1/0.9</f>
        <v>1.1111111111111112</v>
      </c>
      <c r="D122" s="568" t="s">
        <v>419</v>
      </c>
      <c r="E122" s="567"/>
      <c r="F122" s="568"/>
      <c r="G122" s="568"/>
      <c r="H122" s="568"/>
      <c r="I122" s="574"/>
      <c r="J122" s="581"/>
      <c r="K122" s="581"/>
      <c r="L122" s="575"/>
      <c r="M122" s="379"/>
      <c r="N122" s="562"/>
      <c r="O122" s="379"/>
    </row>
    <row r="123" spans="1:15" ht="29.25" customHeight="1" x14ac:dyDescent="0.3">
      <c r="A123" s="503"/>
      <c r="B123" s="680" t="s">
        <v>158</v>
      </c>
      <c r="C123" s="573">
        <f>C122*C119</f>
        <v>1.2790123456790118E-2</v>
      </c>
      <c r="D123" s="568" t="s">
        <v>644</v>
      </c>
      <c r="E123" s="567"/>
      <c r="F123" s="568"/>
      <c r="G123" s="568"/>
      <c r="H123" s="568"/>
      <c r="I123" s="574">
        <f>$C123*$E$116*VLOOKUP($B123,'Standard values'!$C$9:$S$162,7, FALSE)/$E$249</f>
        <v>0.81051292903225747</v>
      </c>
      <c r="J123" s="574">
        <f>$C123*$E$116*VLOOKUP($B123,'Standard values'!$C$9:$S$162,8, FALSE)/$E$249</f>
        <v>2.55057066241869E-3</v>
      </c>
      <c r="K123" s="574">
        <f>$C123*$E$116*VLOOKUP($B123,'Standard values'!$C$9:$S$162,9, FALSE)/$E$249</f>
        <v>2.8605867516261768E-6</v>
      </c>
      <c r="L123" s="575">
        <f>I123*'Standard values'!$D$10+J123*'Standard values'!$D$11+K123*'Standard values'!$D$12</f>
        <v>0.87512965044470936</v>
      </c>
      <c r="M123" s="379"/>
      <c r="N123" s="562">
        <f>L123/$E$117</f>
        <v>32.172234264746209</v>
      </c>
      <c r="O123" s="379"/>
    </row>
    <row r="124" spans="1:15" ht="14.25" x14ac:dyDescent="0.25">
      <c r="A124" s="503"/>
      <c r="B124" s="582" t="s">
        <v>829</v>
      </c>
      <c r="C124" s="536">
        <v>0.02</v>
      </c>
      <c r="D124" s="568" t="s">
        <v>419</v>
      </c>
      <c r="E124" s="567"/>
      <c r="F124" s="568"/>
      <c r="G124" s="568"/>
      <c r="H124" s="568"/>
      <c r="I124" s="574"/>
      <c r="J124" s="581"/>
      <c r="K124" s="581"/>
      <c r="L124" s="575"/>
      <c r="M124" s="379"/>
      <c r="N124" s="562"/>
      <c r="O124" s="379"/>
    </row>
    <row r="125" spans="1:15" ht="15.75" x14ac:dyDescent="0.3">
      <c r="A125" s="503"/>
      <c r="B125" s="1301" t="s">
        <v>50</v>
      </c>
      <c r="C125" s="573">
        <f>C124*C119</f>
        <v>2.3022222222222213E-4</v>
      </c>
      <c r="D125" s="568" t="s">
        <v>644</v>
      </c>
      <c r="E125" s="567"/>
      <c r="F125" s="568"/>
      <c r="G125" s="568"/>
      <c r="H125" s="568"/>
      <c r="I125" s="574">
        <f>$C125*$E$116*VLOOKUP($B125,'Standard values'!$C$9:$S$162,7, FALSE)/$E$249</f>
        <v>2.7657112441577047E-2</v>
      </c>
      <c r="J125" s="574">
        <f>$C125*$E$116*VLOOKUP($B125,'Standard values'!$C$9:$S$162,8, FALSE)/$E$249</f>
        <v>6.7446199283154084E-5</v>
      </c>
      <c r="K125" s="574">
        <f>$C125*$E$116*VLOOKUP($B125,'Standard values'!$C$9:$S$162,9, FALSE)/$E$249</f>
        <v>1.248646117084826E-6</v>
      </c>
      <c r="L125" s="575">
        <f>I125*'Standard values'!$D$10+J125*'Standard values'!$D$11+K125*'Standard values'!$D$12</f>
        <v>2.9715363966547177E-2</v>
      </c>
      <c r="M125" s="379"/>
      <c r="N125" s="562">
        <f>L125/$E$117</f>
        <v>1.0924205919753083</v>
      </c>
      <c r="O125" s="379"/>
    </row>
    <row r="126" spans="1:15" x14ac:dyDescent="0.2">
      <c r="A126" s="503"/>
      <c r="B126" s="495"/>
      <c r="C126" s="499"/>
      <c r="D126" s="495"/>
      <c r="E126" s="503"/>
      <c r="F126" s="495"/>
      <c r="G126" s="495"/>
      <c r="H126" s="495"/>
      <c r="I126" s="544"/>
      <c r="J126" s="544"/>
      <c r="K126" s="544"/>
      <c r="L126" s="419"/>
      <c r="M126" s="379"/>
      <c r="N126" s="562"/>
      <c r="O126" s="379"/>
    </row>
    <row r="127" spans="1:15" x14ac:dyDescent="0.2">
      <c r="A127" s="503"/>
      <c r="B127" s="511" t="s">
        <v>641</v>
      </c>
      <c r="C127" s="499"/>
      <c r="D127" s="495"/>
      <c r="E127" s="503"/>
      <c r="F127" s="495"/>
      <c r="G127" s="495"/>
      <c r="H127" s="495"/>
      <c r="I127" s="544"/>
      <c r="J127" s="544"/>
      <c r="K127" s="544"/>
      <c r="L127" s="419"/>
      <c r="M127" s="379"/>
      <c r="N127" s="562"/>
      <c r="O127" s="379"/>
    </row>
    <row r="128" spans="1:15" ht="15.75" x14ac:dyDescent="0.3">
      <c r="A128" s="503"/>
      <c r="B128" s="674" t="s">
        <v>142</v>
      </c>
      <c r="C128" s="675">
        <f>1.4*0.000166666666666667</f>
        <v>2.3333333333333379E-4</v>
      </c>
      <c r="D128" s="495" t="s">
        <v>646</v>
      </c>
      <c r="E128" s="503"/>
      <c r="F128" s="495"/>
      <c r="G128" s="495"/>
      <c r="H128" s="495"/>
      <c r="I128" s="544">
        <f>$C128*$E$116*VLOOKUP($B128,'Standard values'!$C$9:$S$162,3, FALSE)/$E$249</f>
        <v>4.6263225806451695E-2</v>
      </c>
      <c r="J128" s="544">
        <f>$C128*$E$116*VLOOKUP($B128,'Standard values'!$C$9:$S$162,4, FALSE)/$E$249</f>
        <v>8.759483870967757E-6</v>
      </c>
      <c r="K128" s="544">
        <f>$C128*$E$116*VLOOKUP($B128,'Standard values'!$C$9:$S$162,5, FALSE)/$E$249</f>
        <v>1.4794838709677446E-6</v>
      </c>
      <c r="L128" s="419">
        <f>I128*'Standard values'!$D$10+J128*'Standard values'!$D$11+K128*'Standard values'!$D$12</f>
        <v>4.6923099096774279E-2</v>
      </c>
      <c r="M128" s="379"/>
      <c r="N128" s="562">
        <f>L128/$E$117</f>
        <v>1.7250254700000034</v>
      </c>
      <c r="O128" s="379"/>
    </row>
    <row r="129" spans="1:15" x14ac:dyDescent="0.2">
      <c r="A129" s="503"/>
      <c r="B129" s="682"/>
      <c r="C129" s="499"/>
      <c r="D129" s="499"/>
      <c r="E129" s="681"/>
      <c r="F129" s="495"/>
      <c r="G129" s="495"/>
      <c r="H129" s="514" t="s">
        <v>1047</v>
      </c>
      <c r="I129" s="583">
        <f>SUM(I116:I128)</f>
        <v>0.98534435321577007</v>
      </c>
      <c r="J129" s="583">
        <f>SUM(J116:J128)</f>
        <v>2.9050454303995743E-3</v>
      </c>
      <c r="K129" s="583">
        <f>SUM(K116:K128)</f>
        <v>2.3017228089738479E-5</v>
      </c>
      <c r="L129" s="516">
        <f>I129*'Standard values'!$D$10+J129*'Standard values'!$D$11+K129*'Standard values'!$D$12</f>
        <v>1.0648296229465015</v>
      </c>
      <c r="M129" s="379"/>
      <c r="N129" s="545">
        <f>L129/$E$117</f>
        <v>39.146140305116582</v>
      </c>
      <c r="O129" s="379"/>
    </row>
    <row r="130" spans="1:15" x14ac:dyDescent="0.2">
      <c r="A130" s="503"/>
      <c r="B130" s="682"/>
      <c r="C130" s="499"/>
      <c r="D130" s="499"/>
      <c r="E130" s="503"/>
      <c r="F130" s="495"/>
      <c r="G130" s="495"/>
      <c r="H130" s="495"/>
      <c r="I130" s="495"/>
      <c r="J130" s="495"/>
      <c r="K130" s="495"/>
      <c r="L130" s="541"/>
      <c r="M130" s="379"/>
      <c r="N130" s="390"/>
      <c r="O130" s="379"/>
    </row>
    <row r="131" spans="1:15" ht="14.25" x14ac:dyDescent="0.25">
      <c r="A131" s="519"/>
      <c r="B131" s="520"/>
      <c r="C131" s="520"/>
      <c r="D131" s="520"/>
      <c r="E131" s="519"/>
      <c r="F131" s="521"/>
      <c r="G131" s="521"/>
      <c r="H131" s="521" t="s">
        <v>534</v>
      </c>
      <c r="I131" s="520"/>
      <c r="J131" s="523" t="s">
        <v>747</v>
      </c>
      <c r="K131" s="549"/>
      <c r="L131" s="525">
        <f>L129</f>
        <v>1.0648296229465015</v>
      </c>
      <c r="M131" s="379"/>
      <c r="N131" s="390"/>
      <c r="O131" s="379"/>
    </row>
    <row r="132" spans="1:15" x14ac:dyDescent="0.2">
      <c r="A132" s="390"/>
      <c r="B132" s="390"/>
      <c r="C132" s="390"/>
      <c r="D132" s="379"/>
      <c r="E132" s="379"/>
      <c r="F132" s="551"/>
      <c r="G132" s="551"/>
      <c r="H132" s="437"/>
      <c r="I132" s="378"/>
      <c r="J132" s="379"/>
      <c r="K132" s="379"/>
      <c r="L132" s="586"/>
      <c r="M132" s="379"/>
      <c r="N132" s="379"/>
      <c r="O132" s="379"/>
    </row>
    <row r="133" spans="1:15" x14ac:dyDescent="0.2">
      <c r="A133" s="390"/>
      <c r="B133" s="390"/>
      <c r="C133" s="390"/>
      <c r="D133" s="379"/>
      <c r="E133" s="379"/>
      <c r="F133" s="551"/>
      <c r="G133" s="551"/>
      <c r="H133" s="437"/>
      <c r="I133" s="378"/>
      <c r="J133" s="379"/>
      <c r="K133" s="379"/>
      <c r="L133" s="586"/>
      <c r="M133" s="379"/>
      <c r="O133" s="379"/>
    </row>
    <row r="134" spans="1:15" ht="15.75" x14ac:dyDescent="0.25">
      <c r="A134" s="530" t="s">
        <v>1216</v>
      </c>
      <c r="B134" s="531"/>
      <c r="C134" s="531"/>
      <c r="D134" s="531"/>
      <c r="E134" s="530" t="s">
        <v>513</v>
      </c>
      <c r="F134" s="532"/>
      <c r="G134" s="532"/>
      <c r="H134" s="531"/>
      <c r="I134" s="532" t="s">
        <v>532</v>
      </c>
      <c r="J134" s="533"/>
      <c r="K134" s="533"/>
      <c r="L134" s="534"/>
      <c r="M134" s="379"/>
      <c r="N134" s="535" t="s">
        <v>162</v>
      </c>
      <c r="O134" s="379"/>
    </row>
    <row r="135" spans="1:15" ht="15.75" x14ac:dyDescent="0.3">
      <c r="A135" s="503"/>
      <c r="B135" s="511" t="s">
        <v>1210</v>
      </c>
      <c r="C135" s="593">
        <v>1</v>
      </c>
      <c r="D135" s="495" t="s">
        <v>645</v>
      </c>
      <c r="E135" s="553">
        <f>E115*C135</f>
        <v>36251.663329734074</v>
      </c>
      <c r="F135" s="499" t="s">
        <v>654</v>
      </c>
      <c r="G135" s="499"/>
      <c r="H135" s="495"/>
      <c r="I135" s="492" t="s">
        <v>746</v>
      </c>
      <c r="J135" s="514"/>
      <c r="K135" s="514"/>
      <c r="L135" s="537"/>
      <c r="M135" s="379"/>
      <c r="N135" s="554" t="s">
        <v>541</v>
      </c>
      <c r="O135" s="379"/>
    </row>
    <row r="136" spans="1:15" ht="15.75" x14ac:dyDescent="0.3">
      <c r="A136" s="503"/>
      <c r="B136" s="495"/>
      <c r="C136" s="495"/>
      <c r="D136" s="495"/>
      <c r="E136" s="505">
        <f>E116*C135</f>
        <v>0.62530467464491357</v>
      </c>
      <c r="F136" s="506" t="s">
        <v>707</v>
      </c>
      <c r="G136" s="506"/>
      <c r="H136" s="495"/>
      <c r="I136" s="539" t="s">
        <v>1053</v>
      </c>
      <c r="J136" s="539" t="s">
        <v>1054</v>
      </c>
      <c r="K136" s="539" t="s">
        <v>1055</v>
      </c>
      <c r="L136" s="540" t="s">
        <v>1056</v>
      </c>
      <c r="M136" s="379"/>
      <c r="N136" s="540" t="s">
        <v>1056</v>
      </c>
      <c r="O136" s="379"/>
    </row>
    <row r="137" spans="1:15" x14ac:dyDescent="0.2">
      <c r="A137" s="503"/>
      <c r="B137" s="511" t="s">
        <v>498</v>
      </c>
      <c r="C137" s="495"/>
      <c r="D137" s="495"/>
      <c r="E137" s="505"/>
      <c r="F137" s="506"/>
      <c r="G137" s="506"/>
      <c r="H137" s="495"/>
      <c r="I137" s="539"/>
      <c r="J137" s="539"/>
      <c r="K137" s="539"/>
      <c r="L137" s="540"/>
      <c r="M137" s="379"/>
      <c r="N137" s="541"/>
      <c r="O137" s="379"/>
    </row>
    <row r="138" spans="1:15" ht="15.75" x14ac:dyDescent="0.3">
      <c r="A138" s="503"/>
      <c r="B138" s="495" t="s">
        <v>159</v>
      </c>
      <c r="C138" s="595">
        <v>0</v>
      </c>
      <c r="D138" s="495" t="s">
        <v>510</v>
      </c>
      <c r="E138" s="543">
        <f>(C138*E136)/(VLOOKUP($B135,'Standard values'!$C$9:$S$162,14, FALSE))/1000</f>
        <v>0</v>
      </c>
      <c r="F138" s="495" t="s">
        <v>711</v>
      </c>
      <c r="G138" s="495"/>
      <c r="H138" s="495"/>
      <c r="I138" s="544">
        <f>$E138*VLOOKUP($B138,'Standard values'!$C$9:$S$162,15, FALSE)*VLOOKUP(C139,'Standard values'!$C$9:$S$162,7, FALSE)/$E$249</f>
        <v>0</v>
      </c>
      <c r="J138" s="544">
        <f>$E138*((VLOOKUP($B138,'Standard values'!$C$9:$S$162,15, FALSE)*VLOOKUP(C139,'Standard values'!$C$9:$S$162,8, FALSE))+VLOOKUP($B138,'Standard values'!$C$9:$S$162,16, FALSE))/$E$249</f>
        <v>0</v>
      </c>
      <c r="K138" s="544">
        <f>$E138*((VLOOKUP($B138,'Standard values'!$C$9:$S$162,15, FALSE)*VLOOKUP(C139,'Standard values'!$C$9:$S$162,9, FALSE))+VLOOKUP($B138,'Standard values'!$C$9:$S$162,17, FALSE))/$E$249</f>
        <v>0</v>
      </c>
      <c r="L138" s="516">
        <f>I138*'Standard values'!$D$10+J138*'Standard values'!$D$11+K138*'Standard values'!$D$12</f>
        <v>0</v>
      </c>
      <c r="M138" s="379"/>
      <c r="N138" s="545">
        <f>L138/$E$117</f>
        <v>0</v>
      </c>
      <c r="O138" s="379"/>
    </row>
    <row r="139" spans="1:15" x14ac:dyDescent="0.2">
      <c r="A139" s="503"/>
      <c r="B139" s="546" t="s">
        <v>54</v>
      </c>
      <c r="C139" s="673" t="s">
        <v>509</v>
      </c>
      <c r="D139" s="495"/>
      <c r="E139" s="543"/>
      <c r="F139" s="495"/>
      <c r="G139" s="495"/>
      <c r="H139" s="495"/>
      <c r="I139" s="544"/>
      <c r="J139" s="544"/>
      <c r="K139" s="544"/>
      <c r="L139" s="516"/>
      <c r="M139" s="379"/>
      <c r="N139" s="390"/>
      <c r="O139" s="379"/>
    </row>
    <row r="140" spans="1:15" x14ac:dyDescent="0.2">
      <c r="A140" s="503"/>
      <c r="B140" s="495"/>
      <c r="C140" s="495"/>
      <c r="D140" s="495"/>
      <c r="E140" s="503"/>
      <c r="F140" s="495"/>
      <c r="G140" s="495"/>
      <c r="H140" s="548"/>
      <c r="I140" s="544"/>
      <c r="J140" s="544"/>
      <c r="K140" s="544"/>
      <c r="L140" s="516"/>
      <c r="M140" s="379"/>
      <c r="N140" s="390"/>
      <c r="O140" s="379"/>
    </row>
    <row r="141" spans="1:15" ht="14.25" x14ac:dyDescent="0.25">
      <c r="A141" s="519"/>
      <c r="B141" s="520"/>
      <c r="C141" s="520"/>
      <c r="D141" s="520"/>
      <c r="E141" s="519"/>
      <c r="F141" s="521"/>
      <c r="G141" s="521"/>
      <c r="H141" s="521" t="s">
        <v>534</v>
      </c>
      <c r="I141" s="520"/>
      <c r="J141" s="523" t="s">
        <v>747</v>
      </c>
      <c r="K141" s="549"/>
      <c r="L141" s="525">
        <f>L138</f>
        <v>0</v>
      </c>
      <c r="M141" s="379"/>
      <c r="N141" s="390"/>
      <c r="O141" s="379"/>
    </row>
    <row r="142" spans="1:15" x14ac:dyDescent="0.2">
      <c r="A142" s="390"/>
      <c r="B142" s="390"/>
      <c r="C142" s="390"/>
      <c r="D142" s="390"/>
      <c r="E142" s="390"/>
      <c r="F142" s="376"/>
      <c r="G142" s="376"/>
      <c r="H142" s="376"/>
      <c r="I142" s="390"/>
      <c r="J142" s="550"/>
      <c r="K142" s="551"/>
      <c r="L142" s="552"/>
      <c r="M142" s="379"/>
      <c r="N142" s="379"/>
      <c r="O142" s="379"/>
    </row>
    <row r="143" spans="1:15" x14ac:dyDescent="0.2">
      <c r="A143" s="390"/>
      <c r="B143" s="390"/>
      <c r="C143" s="390"/>
      <c r="D143" s="379"/>
      <c r="E143" s="379"/>
      <c r="F143" s="551"/>
      <c r="G143" s="551"/>
      <c r="H143" s="437"/>
      <c r="I143" s="378"/>
      <c r="J143" s="379"/>
      <c r="K143" s="379"/>
      <c r="L143" s="586"/>
      <c r="M143" s="379"/>
      <c r="N143" s="379"/>
      <c r="O143" s="379"/>
    </row>
    <row r="144" spans="1:15" ht="15.75" x14ac:dyDescent="0.25">
      <c r="A144" s="530" t="s">
        <v>647</v>
      </c>
      <c r="B144" s="531"/>
      <c r="C144" s="531"/>
      <c r="D144" s="531"/>
      <c r="E144" s="530" t="s">
        <v>513</v>
      </c>
      <c r="F144" s="532"/>
      <c r="G144" s="532"/>
      <c r="H144" s="531"/>
      <c r="I144" s="532" t="s">
        <v>532</v>
      </c>
      <c r="J144" s="533"/>
      <c r="K144" s="533"/>
      <c r="L144" s="534"/>
      <c r="M144" s="379"/>
      <c r="N144" s="535" t="s">
        <v>162</v>
      </c>
      <c r="O144" s="379"/>
    </row>
    <row r="145" spans="1:15" x14ac:dyDescent="0.2">
      <c r="A145" s="503"/>
      <c r="B145" s="511" t="s">
        <v>524</v>
      </c>
      <c r="C145" s="495"/>
      <c r="D145" s="495"/>
      <c r="E145" s="553"/>
      <c r="F145" s="499"/>
      <c r="G145" s="499"/>
      <c r="H145" s="495"/>
      <c r="I145" s="492" t="s">
        <v>746</v>
      </c>
      <c r="J145" s="514"/>
      <c r="K145" s="514"/>
      <c r="L145" s="537"/>
      <c r="M145" s="379"/>
      <c r="N145" s="554" t="s">
        <v>977</v>
      </c>
      <c r="O145" s="379"/>
    </row>
    <row r="146" spans="1:15" ht="15.75" x14ac:dyDescent="0.3">
      <c r="A146" s="503"/>
      <c r="B146" s="495" t="s">
        <v>1094</v>
      </c>
      <c r="C146" s="675">
        <v>0.99358974358974361</v>
      </c>
      <c r="D146" s="495" t="s">
        <v>649</v>
      </c>
      <c r="E146" s="553">
        <f>E135*C146</f>
        <v>36019.280872492192</v>
      </c>
      <c r="F146" s="499" t="s">
        <v>655</v>
      </c>
      <c r="G146" s="499"/>
      <c r="H146" s="495"/>
      <c r="I146" s="539" t="s">
        <v>1053</v>
      </c>
      <c r="J146" s="539" t="s">
        <v>1054</v>
      </c>
      <c r="K146" s="539" t="s">
        <v>1055</v>
      </c>
      <c r="L146" s="540" t="s">
        <v>1056</v>
      </c>
      <c r="M146" s="379"/>
      <c r="N146" s="540" t="s">
        <v>1056</v>
      </c>
      <c r="O146" s="379"/>
    </row>
    <row r="147" spans="1:15" ht="15.75" x14ac:dyDescent="0.3">
      <c r="A147" s="563"/>
      <c r="B147" s="495" t="s">
        <v>128</v>
      </c>
      <c r="C147" s="664">
        <v>105.6</v>
      </c>
      <c r="D147" s="674" t="s">
        <v>650</v>
      </c>
      <c r="E147" s="505">
        <f>E136*C146</f>
        <v>0.62129631134590768</v>
      </c>
      <c r="F147" s="506" t="s">
        <v>707</v>
      </c>
      <c r="G147" s="506"/>
      <c r="H147" s="495"/>
      <c r="I147" s="495"/>
      <c r="J147" s="495"/>
      <c r="K147" s="495"/>
      <c r="L147" s="541"/>
      <c r="M147" s="379"/>
      <c r="N147" s="541"/>
      <c r="O147" s="379"/>
    </row>
    <row r="148" spans="1:15" ht="15.75" x14ac:dyDescent="0.3">
      <c r="A148" s="563"/>
      <c r="B148" s="506"/>
      <c r="C148" s="564"/>
      <c r="D148" s="506"/>
      <c r="E148" s="557">
        <f>E146/$E$248/VLOOKUP($B146,'Standard values'!$C$9:$S$162,14, FALSE)</f>
        <v>2.6881720430107524E-2</v>
      </c>
      <c r="F148" s="499" t="s">
        <v>543</v>
      </c>
      <c r="G148" s="499"/>
      <c r="H148" s="495"/>
      <c r="I148" s="495"/>
      <c r="J148" s="495"/>
      <c r="K148" s="495"/>
      <c r="L148" s="541"/>
      <c r="M148" s="379"/>
      <c r="N148" s="562"/>
      <c r="O148" s="379"/>
    </row>
    <row r="149" spans="1:15" x14ac:dyDescent="0.2">
      <c r="A149" s="503"/>
      <c r="B149" s="511" t="s">
        <v>525</v>
      </c>
      <c r="C149" s="495"/>
      <c r="D149" s="495"/>
      <c r="E149" s="513"/>
      <c r="F149" s="495"/>
      <c r="G149" s="495"/>
      <c r="H149" s="495"/>
      <c r="I149" s="495"/>
      <c r="J149" s="495"/>
      <c r="K149" s="495"/>
      <c r="L149" s="541"/>
      <c r="M149" s="379"/>
      <c r="N149" s="562"/>
      <c r="O149" s="379"/>
    </row>
    <row r="150" spans="1:15" ht="15.75" x14ac:dyDescent="0.3">
      <c r="A150" s="503"/>
      <c r="B150" s="1301" t="s">
        <v>50</v>
      </c>
      <c r="C150" s="676">
        <f>1.4*0.00290322580645161</f>
        <v>4.0645161290322543E-3</v>
      </c>
      <c r="D150" s="495" t="s">
        <v>651</v>
      </c>
      <c r="E150" s="503"/>
      <c r="F150" s="495"/>
      <c r="G150" s="495"/>
      <c r="H150" s="495"/>
      <c r="I150" s="544">
        <f>$C150*$E$147*VLOOKUP($B150,'Standard values'!$C$9:$S$162,7, FALSE)/$E$249</f>
        <v>0.48514945161290263</v>
      </c>
      <c r="J150" s="544">
        <f>$C150*$E$147*VLOOKUP($B150,'Standard values'!$C$9:$S$162,8, FALSE)/$E$249</f>
        <v>1.1831129032258052E-3</v>
      </c>
      <c r="K150" s="544">
        <f>$C150*$E$147*VLOOKUP($B150,'Standard values'!$C$9:$S$162,9, FALSE)/$E$249</f>
        <v>2.1903225806451588E-5</v>
      </c>
      <c r="L150" s="419">
        <f>I150*'Standard values'!$D$10+J150*'Standard values'!$D$11+K150*'Standard values'!$D$12</f>
        <v>0.5212544354838704</v>
      </c>
      <c r="M150" s="379"/>
      <c r="N150" s="562">
        <f>L150/$E$148</f>
        <v>19.390664999999981</v>
      </c>
      <c r="O150" s="379"/>
    </row>
    <row r="151" spans="1:15" ht="15.75" x14ac:dyDescent="0.3">
      <c r="A151" s="503"/>
      <c r="B151" s="495" t="s">
        <v>827</v>
      </c>
      <c r="C151" s="675">
        <f>1.4*0.0718477788639079</f>
        <v>0.10058689040947107</v>
      </c>
      <c r="D151" s="495" t="s">
        <v>651</v>
      </c>
      <c r="E151" s="503"/>
      <c r="F151" s="495"/>
      <c r="G151" s="495"/>
      <c r="H151" s="495"/>
      <c r="I151" s="544"/>
      <c r="J151" s="544"/>
      <c r="K151" s="544"/>
      <c r="L151" s="419"/>
      <c r="M151" s="379"/>
      <c r="N151" s="562"/>
      <c r="O151" s="379"/>
    </row>
    <row r="152" spans="1:15" x14ac:dyDescent="0.2">
      <c r="A152" s="503"/>
      <c r="B152" s="571" t="s">
        <v>729</v>
      </c>
      <c r="C152" s="566"/>
      <c r="D152" s="566"/>
      <c r="E152" s="567"/>
      <c r="F152" s="568"/>
      <c r="G152" s="568"/>
      <c r="H152" s="568"/>
      <c r="I152" s="569" t="s">
        <v>830</v>
      </c>
      <c r="J152" s="568"/>
      <c r="K152" s="568"/>
      <c r="L152" s="688"/>
      <c r="M152" s="379"/>
      <c r="N152" s="562"/>
      <c r="O152" s="379"/>
    </row>
    <row r="153" spans="1:15" ht="15.75" x14ac:dyDescent="0.3">
      <c r="A153" s="503"/>
      <c r="B153" s="679" t="s">
        <v>826</v>
      </c>
      <c r="C153" s="573"/>
      <c r="D153" s="566"/>
      <c r="E153" s="567"/>
      <c r="F153" s="568"/>
      <c r="G153" s="568"/>
      <c r="H153" s="568"/>
      <c r="I153" s="574">
        <f>$C151*$E$147*VLOOKUP($B153,'Standard values'!$C$9:$S$159,7, FALSE)/$E$249</f>
        <v>0</v>
      </c>
      <c r="J153" s="574">
        <f>$C151*$E$147*VLOOKUP($B153,'Standard values'!$C$9:$S$159,8, FALSE)/$E$249</f>
        <v>2.7940802891519736E-4</v>
      </c>
      <c r="K153" s="574">
        <f>$C151*$E$147*VLOOKUP($B153,'Standard values'!$C$9:$S$159,9, FALSE)/$E$249</f>
        <v>1.1176321156607894E-4</v>
      </c>
      <c r="L153" s="575">
        <f>I153*'Standard values'!$D$10+J153*'Standard values'!$D$11+K153*'Standard values'!$D$12</f>
        <v>4.0290637769571459E-2</v>
      </c>
      <c r="M153" s="379"/>
      <c r="N153" s="562">
        <f>L153/$E$148</f>
        <v>1.4988117250280584</v>
      </c>
      <c r="O153" s="379"/>
    </row>
    <row r="154" spans="1:15" ht="14.25" x14ac:dyDescent="0.25">
      <c r="A154" s="503"/>
      <c r="B154" s="582" t="s">
        <v>828</v>
      </c>
      <c r="C154" s="536">
        <f>1/0.9</f>
        <v>1.1111111111111112</v>
      </c>
      <c r="D154" s="568" t="s">
        <v>419</v>
      </c>
      <c r="E154" s="567"/>
      <c r="F154" s="568"/>
      <c r="G154" s="568"/>
      <c r="H154" s="568"/>
      <c r="I154" s="574"/>
      <c r="J154" s="581"/>
      <c r="K154" s="581"/>
      <c r="L154" s="575"/>
      <c r="M154" s="379"/>
      <c r="N154" s="562"/>
      <c r="O154" s="379"/>
    </row>
    <row r="155" spans="1:15" ht="29.25" customHeight="1" x14ac:dyDescent="0.3">
      <c r="A155" s="503"/>
      <c r="B155" s="680" t="s">
        <v>158</v>
      </c>
      <c r="C155" s="573">
        <f>C154*C151</f>
        <v>0.11176321156607896</v>
      </c>
      <c r="D155" s="568" t="s">
        <v>651</v>
      </c>
      <c r="E155" s="567"/>
      <c r="F155" s="568"/>
      <c r="G155" s="568"/>
      <c r="H155" s="568"/>
      <c r="I155" s="574">
        <f>$C155*$E$147*VLOOKUP($B155,'Standard values'!$C$9:$S$162,7, FALSE)/$E$249</f>
        <v>7.0370588530465952</v>
      </c>
      <c r="J155" s="574">
        <f>$C155*$E$147*VLOOKUP($B155,'Standard values'!$C$9:$S$162,8, FALSE)/$E$249</f>
        <v>2.2144638558356699E-2</v>
      </c>
      <c r="K155" s="574">
        <f>$C155*$E$147*VLOOKUP($B155,'Standard values'!$C$9:$S$162,9, FALSE)/$E$249</f>
        <v>2.4836269236906431E-5</v>
      </c>
      <c r="L155" s="575">
        <f>I155*'Standard values'!$D$10+J155*'Standard values'!$D$11+K155*'Standard values'!$D$12</f>
        <v>7.598076025238111</v>
      </c>
      <c r="M155" s="379"/>
      <c r="N155" s="562">
        <f t="shared" ref="N155:N165" si="3">L155/$E$148</f>
        <v>282.64842813885775</v>
      </c>
      <c r="O155" s="379"/>
    </row>
    <row r="156" spans="1:15" ht="14.25" x14ac:dyDescent="0.25">
      <c r="A156" s="503"/>
      <c r="B156" s="582" t="s">
        <v>829</v>
      </c>
      <c r="C156" s="536">
        <v>0.02</v>
      </c>
      <c r="D156" s="568" t="s">
        <v>419</v>
      </c>
      <c r="E156" s="567"/>
      <c r="F156" s="568"/>
      <c r="G156" s="568"/>
      <c r="H156" s="568"/>
      <c r="I156" s="574"/>
      <c r="J156" s="581"/>
      <c r="K156" s="581"/>
      <c r="L156" s="575"/>
      <c r="M156" s="379"/>
      <c r="N156" s="562"/>
      <c r="O156" s="379"/>
    </row>
    <row r="157" spans="1:15" ht="15.75" x14ac:dyDescent="0.3">
      <c r="A157" s="503"/>
      <c r="B157" s="1301" t="s">
        <v>50</v>
      </c>
      <c r="C157" s="573">
        <f>C156*C151</f>
        <v>2.0117378081894212E-3</v>
      </c>
      <c r="D157" s="568" t="s">
        <v>651</v>
      </c>
      <c r="E157" s="567"/>
      <c r="F157" s="568"/>
      <c r="G157" s="568"/>
      <c r="H157" s="568"/>
      <c r="I157" s="574">
        <f>$C157*$E$147*VLOOKUP($B157,'Standard values'!$C$9:$S$162,7, FALSE)/$E$249</f>
        <v>0.24012538355074037</v>
      </c>
      <c r="J157" s="574">
        <f>$C157*$E$147*VLOOKUP($B157,'Standard values'!$C$9:$S$162,8, FALSE)/$E$249</f>
        <v>5.8558334700047066E-4</v>
      </c>
      <c r="K157" s="574">
        <f>$C157*$E$147*VLOOKUP($B157,'Standard values'!$C$9:$S$162,9, FALSE)/$E$249</f>
        <v>1.0841031521909657E-5</v>
      </c>
      <c r="L157" s="575">
        <f>I157*'Standard values'!$D$10+J157*'Standard values'!$D$11+K157*'Standard values'!$D$12</f>
        <v>0.25799559461928123</v>
      </c>
      <c r="M157" s="379"/>
      <c r="N157" s="562">
        <f t="shared" si="3"/>
        <v>9.5974361198372637</v>
      </c>
      <c r="O157" s="379"/>
    </row>
    <row r="158" spans="1:15" x14ac:dyDescent="0.2">
      <c r="A158" s="503"/>
      <c r="B158" s="495"/>
      <c r="C158" s="499"/>
      <c r="D158" s="495"/>
      <c r="E158" s="503"/>
      <c r="F158" s="495"/>
      <c r="G158" s="495"/>
      <c r="H158" s="495"/>
      <c r="I158" s="544"/>
      <c r="J158" s="544"/>
      <c r="K158" s="544"/>
      <c r="L158" s="419"/>
      <c r="M158" s="379"/>
      <c r="N158" s="562"/>
      <c r="O158" s="379"/>
    </row>
    <row r="159" spans="1:15" x14ac:dyDescent="0.2">
      <c r="A159" s="503"/>
      <c r="B159" s="511" t="s">
        <v>641</v>
      </c>
      <c r="C159" s="499"/>
      <c r="D159" s="495"/>
      <c r="E159" s="503"/>
      <c r="F159" s="495"/>
      <c r="G159" s="495"/>
      <c r="H159" s="495"/>
      <c r="I159" s="544"/>
      <c r="J159" s="544"/>
      <c r="K159" s="544"/>
      <c r="L159" s="419"/>
      <c r="M159" s="379"/>
      <c r="N159" s="562"/>
      <c r="O159" s="379"/>
    </row>
    <row r="160" spans="1:15" ht="15.75" x14ac:dyDescent="0.3">
      <c r="A160" s="503"/>
      <c r="B160" s="674" t="s">
        <v>241</v>
      </c>
      <c r="C160" s="738">
        <f>1.4*0.0000456989247311828</f>
        <v>6.3978494623655906E-5</v>
      </c>
      <c r="D160" s="495" t="s">
        <v>652</v>
      </c>
      <c r="E160" s="503"/>
      <c r="F160" s="495"/>
      <c r="G160" s="495"/>
      <c r="H160" s="495"/>
      <c r="I160" s="544">
        <f>$C160*$E$147*VLOOKUP($B160,'Standard values'!$C$9:$S$162,3, FALSE)/$E$249</f>
        <v>0.17760430107526876</v>
      </c>
      <c r="J160" s="544">
        <f>$C160*$E$147*VLOOKUP($B160,'Standard values'!$C$9:$S$162,4, FALSE)/$E$249</f>
        <v>5.7112322580645154E-4</v>
      </c>
      <c r="K160" s="544">
        <f>$C160*$E$147*VLOOKUP($B160,'Standard values'!$C$9:$S$162,5, FALSE)/$E$249</f>
        <v>6.5769892473118271E-6</v>
      </c>
      <c r="L160" s="419">
        <f>I160*'Standard values'!$D$10+J160*'Standard values'!$D$11+K160*'Standard values'!$D$12</f>
        <v>0.19384232451612896</v>
      </c>
      <c r="M160" s="379"/>
      <c r="N160" s="562">
        <f t="shared" si="3"/>
        <v>7.2109344719999982</v>
      </c>
      <c r="O160" s="379"/>
    </row>
    <row r="161" spans="1:15" ht="15.75" x14ac:dyDescent="0.3">
      <c r="A161" s="503"/>
      <c r="B161" s="674" t="s">
        <v>237</v>
      </c>
      <c r="C161" s="738">
        <f>1.4*0.000537634408602151</f>
        <v>7.5268817204301129E-4</v>
      </c>
      <c r="D161" s="495" t="s">
        <v>652</v>
      </c>
      <c r="E161" s="503"/>
      <c r="F161" s="495"/>
      <c r="G161" s="495"/>
      <c r="H161" s="495"/>
      <c r="I161" s="544">
        <f>$C161*$E$147*VLOOKUP($B161,'Standard values'!$C$9:$S$162,3, FALSE)/$E$249</f>
        <v>0.53996193548387128</v>
      </c>
      <c r="J161" s="544">
        <f>$C161*$E$147*VLOOKUP($B161,'Standard values'!$C$9:$S$162,4, FALSE)/$E$249</f>
        <v>8.4978494623655961E-4</v>
      </c>
      <c r="K161" s="544">
        <f>$C161*$E$147*VLOOKUP($B161,'Standard values'!$C$9:$S$162,5, FALSE)/$E$249</f>
        <v>1.911827956989248E-5</v>
      </c>
      <c r="L161" s="419">
        <f>I161*'Standard values'!$D$10+J161*'Standard values'!$D$11+K161*'Standard values'!$D$12</f>
        <v>0.5669038064516132</v>
      </c>
      <c r="M161" s="379"/>
      <c r="N161" s="562">
        <f t="shared" si="3"/>
        <v>21.088821600000013</v>
      </c>
      <c r="O161" s="379"/>
    </row>
    <row r="162" spans="1:15" ht="15.75" x14ac:dyDescent="0.3">
      <c r="A162" s="503"/>
      <c r="B162" s="674" t="s">
        <v>648</v>
      </c>
      <c r="C162" s="738">
        <f>1.4*0.0000672043010752688</f>
        <v>9.4086021505376317E-5</v>
      </c>
      <c r="D162" s="495" t="s">
        <v>652</v>
      </c>
      <c r="E162" s="503"/>
      <c r="F162" s="495"/>
      <c r="G162" s="495"/>
      <c r="H162" s="495"/>
      <c r="I162" s="544">
        <f>$C162*$E$147*VLOOKUP($B162,'Standard values'!$C$9:$S$162,3, FALSE)/$E$249</f>
        <v>9.8413978494623619E-2</v>
      </c>
      <c r="J162" s="544">
        <f>$C162*$E$147*VLOOKUP($B162,'Standard values'!$C$9:$S$162,4, FALSE)/$E$249</f>
        <v>5.8333333333333306E-4</v>
      </c>
      <c r="K162" s="544">
        <f>$C162*$E$147*VLOOKUP($B162,'Standard values'!$C$9:$S$162,5, FALSE)/$E$249</f>
        <v>5.174731182795696E-7</v>
      </c>
      <c r="L162" s="419">
        <f>I162*'Standard values'!$D$10+J162*'Standard values'!$D$11+K162*'Standard values'!$D$12</f>
        <v>0.11315151881720426</v>
      </c>
      <c r="M162" s="379"/>
      <c r="N162" s="562">
        <f t="shared" si="3"/>
        <v>4.2092364999999985</v>
      </c>
      <c r="O162" s="379"/>
    </row>
    <row r="163" spans="1:15" ht="15.75" x14ac:dyDescent="0.3">
      <c r="A163" s="503"/>
      <c r="B163" s="674" t="s">
        <v>1107</v>
      </c>
      <c r="C163" s="738">
        <f>1.4*0.000180645161290323</f>
        <v>2.5290322580645222E-4</v>
      </c>
      <c r="D163" s="495" t="s">
        <v>652</v>
      </c>
      <c r="E163" s="503"/>
      <c r="F163" s="495"/>
      <c r="G163" s="495"/>
      <c r="H163" s="495"/>
      <c r="I163" s="544">
        <f>$C163*$E$147*VLOOKUP($B163,'Standard values'!$C$9:$S$162,3, FALSE)/$E$249</f>
        <v>0.11089634477419379</v>
      </c>
      <c r="J163" s="544">
        <f>$C163*$E$147*VLOOKUP($B163,'Standard values'!$C$9:$S$162,4, FALSE)/$E$249</f>
        <v>2.6051561290322639E-4</v>
      </c>
      <c r="K163" s="544">
        <f>$C163*$E$147*VLOOKUP($B163,'Standard values'!$C$9:$S$162,5, FALSE)/$E$249</f>
        <v>6.0696774193548518E-6</v>
      </c>
      <c r="L163" s="419">
        <f>I163*'Standard values'!$D$10+J163*'Standard values'!$D$11+K163*'Standard values'!$D$12</f>
        <v>0.1192179989677422</v>
      </c>
      <c r="M163" s="379"/>
      <c r="N163" s="562">
        <f t="shared" si="3"/>
        <v>4.4349095616000103</v>
      </c>
      <c r="O163" s="379"/>
    </row>
    <row r="164" spans="1:15" ht="15.75" x14ac:dyDescent="0.3">
      <c r="A164" s="503"/>
      <c r="B164" s="674" t="s">
        <v>500</v>
      </c>
      <c r="C164" s="675">
        <f>1.4*0.0584556451612903</f>
        <v>8.1837903225806419E-2</v>
      </c>
      <c r="D164" s="495" t="s">
        <v>651</v>
      </c>
      <c r="E164" s="503"/>
      <c r="F164" s="495"/>
      <c r="G164" s="495"/>
      <c r="H164" s="495"/>
      <c r="I164" s="544">
        <f>$C164*$E$147*VLOOKUP($B164,'Standard values'!$C$9:$S$162,7, FALSE)/$E$249</f>
        <v>7.5943482780465921</v>
      </c>
      <c r="J164" s="544">
        <f>$C164*$E$147*VLOOKUP($B164,'Standard values'!$C$9:$S$162,8, FALSE)/$E$249</f>
        <v>2.3735265210573463E-2</v>
      </c>
      <c r="K164" s="544">
        <f>$C164*$E$147*VLOOKUP($B164,'Standard values'!$C$9:$S$162,9, FALSE)/$E$249</f>
        <v>2.7279301075268799E-5</v>
      </c>
      <c r="L164" s="419">
        <f>I164*'Standard values'!$D$10+J164*'Standard values'!$D$11+K164*'Standard values'!$D$12</f>
        <v>8.1958591400313576</v>
      </c>
      <c r="M164" s="379"/>
      <c r="N164" s="562">
        <f t="shared" si="3"/>
        <v>304.88596000916652</v>
      </c>
      <c r="O164" s="379"/>
    </row>
    <row r="165" spans="1:15" x14ac:dyDescent="0.2">
      <c r="A165" s="503"/>
      <c r="B165" s="682"/>
      <c r="C165" s="499"/>
      <c r="D165" s="499"/>
      <c r="E165" s="681"/>
      <c r="F165" s="495"/>
      <c r="G165" s="495"/>
      <c r="H165" s="514" t="s">
        <v>1047</v>
      </c>
      <c r="I165" s="583">
        <f>SUM(I147:I164)</f>
        <v>16.283558526084786</v>
      </c>
      <c r="J165" s="583">
        <f>SUM(J147:J164)</f>
        <v>5.0192765166351211E-2</v>
      </c>
      <c r="K165" s="583">
        <f>SUM(K147:K164)</f>
        <v>2.2890545856145417E-4</v>
      </c>
      <c r="L165" s="516">
        <f>I165*'Standard values'!$D$10+J165*'Standard values'!$D$11+K165*'Standard values'!$D$12</f>
        <v>17.606591481894878</v>
      </c>
      <c r="M165" s="379"/>
      <c r="N165" s="545">
        <f t="shared" si="3"/>
        <v>654.96520312648954</v>
      </c>
      <c r="O165" s="379"/>
    </row>
    <row r="166" spans="1:15" x14ac:dyDescent="0.2">
      <c r="A166" s="503"/>
      <c r="B166" s="682"/>
      <c r="C166" s="499"/>
      <c r="D166" s="499"/>
      <c r="E166" s="503"/>
      <c r="F166" s="495"/>
      <c r="G166" s="495"/>
      <c r="H166" s="495"/>
      <c r="I166" s="495"/>
      <c r="J166" s="495"/>
      <c r="K166" s="495"/>
      <c r="L166" s="541"/>
      <c r="M166" s="379"/>
      <c r="N166" s="390"/>
      <c r="O166" s="379"/>
    </row>
    <row r="167" spans="1:15" ht="14.25" x14ac:dyDescent="0.25">
      <c r="A167" s="519"/>
      <c r="B167" s="520"/>
      <c r="C167" s="520"/>
      <c r="D167" s="520"/>
      <c r="E167" s="519"/>
      <c r="F167" s="521"/>
      <c r="G167" s="521"/>
      <c r="H167" s="521" t="s">
        <v>534</v>
      </c>
      <c r="I167" s="520"/>
      <c r="J167" s="523" t="s">
        <v>747</v>
      </c>
      <c r="K167" s="549"/>
      <c r="L167" s="525">
        <f>L165</f>
        <v>17.606591481894878</v>
      </c>
      <c r="M167" s="379"/>
      <c r="N167" s="390"/>
      <c r="O167" s="379"/>
    </row>
    <row r="168" spans="1:15" x14ac:dyDescent="0.2">
      <c r="A168" s="390"/>
      <c r="B168" s="390"/>
      <c r="C168" s="390"/>
      <c r="D168" s="379"/>
      <c r="E168" s="379"/>
      <c r="F168" s="551"/>
      <c r="G168" s="551"/>
      <c r="H168" s="437"/>
      <c r="I168" s="378"/>
      <c r="J168" s="379"/>
      <c r="K168" s="379"/>
      <c r="L168" s="586"/>
      <c r="M168" s="379"/>
      <c r="N168" s="379"/>
      <c r="O168" s="379"/>
    </row>
    <row r="169" spans="1:15" x14ac:dyDescent="0.2">
      <c r="A169" s="390"/>
      <c r="B169" s="390"/>
      <c r="C169" s="390"/>
      <c r="D169" s="379"/>
      <c r="E169" s="379"/>
      <c r="F169" s="551"/>
      <c r="G169" s="551"/>
      <c r="H169" s="437"/>
      <c r="I169" s="378"/>
      <c r="J169" s="379"/>
      <c r="K169" s="379"/>
      <c r="L169" s="586"/>
      <c r="M169" s="379"/>
      <c r="N169" s="379"/>
      <c r="O169" s="379"/>
    </row>
    <row r="170" spans="1:15" ht="15.75" x14ac:dyDescent="0.25">
      <c r="A170" s="530" t="s">
        <v>1057</v>
      </c>
      <c r="B170" s="531"/>
      <c r="C170" s="531"/>
      <c r="D170" s="531"/>
      <c r="E170" s="608" t="s">
        <v>526</v>
      </c>
      <c r="F170" s="606"/>
      <c r="G170" s="606"/>
      <c r="H170" s="606"/>
      <c r="I170" s="607"/>
      <c r="J170" s="608" t="s">
        <v>747</v>
      </c>
      <c r="K170" s="607"/>
      <c r="L170" s="609">
        <f>L100+L110+L131+L141+L167</f>
        <v>41.321860880733425</v>
      </c>
      <c r="M170" s="379"/>
      <c r="N170" s="535" t="s">
        <v>162</v>
      </c>
      <c r="O170" s="390"/>
    </row>
    <row r="171" spans="1:15" ht="15.75" x14ac:dyDescent="0.25">
      <c r="A171" s="610" t="s">
        <v>937</v>
      </c>
      <c r="B171" s="611"/>
      <c r="C171" s="611"/>
      <c r="D171" s="611"/>
      <c r="E171" s="613"/>
      <c r="F171" s="613"/>
      <c r="G171" s="613"/>
      <c r="H171" s="613"/>
      <c r="I171" s="613"/>
      <c r="J171" s="613"/>
      <c r="K171" s="613"/>
      <c r="L171" s="614"/>
      <c r="M171" s="379"/>
      <c r="N171" s="554" t="s">
        <v>977</v>
      </c>
      <c r="O171" s="390"/>
    </row>
    <row r="172" spans="1:15" ht="15.75" x14ac:dyDescent="0.3">
      <c r="A172" s="567"/>
      <c r="B172" s="568"/>
      <c r="C172" s="568"/>
      <c r="D172" s="683"/>
      <c r="E172" s="683"/>
      <c r="F172" s="683"/>
      <c r="G172" s="683"/>
      <c r="H172" s="683" t="s">
        <v>667</v>
      </c>
      <c r="I172" s="684">
        <f>L170</f>
        <v>41.321860880733425</v>
      </c>
      <c r="J172" s="568" t="s">
        <v>321</v>
      </c>
      <c r="K172" s="568"/>
      <c r="L172" s="685"/>
      <c r="M172" s="379"/>
      <c r="N172" s="540" t="s">
        <v>1056</v>
      </c>
      <c r="O172" s="390"/>
    </row>
    <row r="173" spans="1:15" ht="15.75" x14ac:dyDescent="0.3">
      <c r="A173" s="567"/>
      <c r="B173" s="568" t="s">
        <v>51</v>
      </c>
      <c r="C173" s="568" t="s">
        <v>1094</v>
      </c>
      <c r="D173" s="568"/>
      <c r="E173" s="683" t="s">
        <v>135</v>
      </c>
      <c r="F173" s="747">
        <f>1*1000*VLOOKUP($C173,'Standard values'!$C$9:$S$162,14, FALSE)</f>
        <v>37200</v>
      </c>
      <c r="G173" s="747"/>
      <c r="H173" s="568" t="s">
        <v>501</v>
      </c>
      <c r="I173" s="574">
        <f>$I$172*F173/F$175</f>
        <v>39.526588722004945</v>
      </c>
      <c r="J173" s="568" t="s">
        <v>321</v>
      </c>
      <c r="K173" s="568"/>
      <c r="L173" s="685"/>
      <c r="M173" s="379"/>
      <c r="N173" s="541"/>
      <c r="O173" s="390"/>
    </row>
    <row r="174" spans="1:15" ht="15.75" x14ac:dyDescent="0.3">
      <c r="A174" s="567"/>
      <c r="B174" s="568" t="s">
        <v>123</v>
      </c>
      <c r="C174" s="568" t="s">
        <v>1037</v>
      </c>
      <c r="D174" s="568"/>
      <c r="E174" s="683" t="s">
        <v>663</v>
      </c>
      <c r="F174" s="747">
        <f>C147*VLOOKUP($C174,'Standard values'!$C$9:$S$162,14, FALSE)</f>
        <v>1689.6</v>
      </c>
      <c r="G174" s="747"/>
      <c r="H174" s="568" t="s">
        <v>501</v>
      </c>
      <c r="I174" s="574">
        <f>$I$172*F174/F$175</f>
        <v>1.7952721587284828</v>
      </c>
      <c r="J174" s="568" t="s">
        <v>321</v>
      </c>
      <c r="K174" s="568"/>
      <c r="L174" s="685"/>
      <c r="M174" s="379"/>
      <c r="N174" s="541"/>
      <c r="O174" s="390"/>
    </row>
    <row r="175" spans="1:15" x14ac:dyDescent="0.2">
      <c r="A175" s="567"/>
      <c r="B175" s="568"/>
      <c r="C175" s="568" t="s">
        <v>316</v>
      </c>
      <c r="D175" s="568"/>
      <c r="E175" s="568" t="s">
        <v>533</v>
      </c>
      <c r="F175" s="747">
        <f>SUM(F173:F174)</f>
        <v>38889.599999999999</v>
      </c>
      <c r="G175" s="747"/>
      <c r="H175" s="568" t="s">
        <v>501</v>
      </c>
      <c r="I175" s="568"/>
      <c r="J175" s="568"/>
      <c r="K175" s="568"/>
      <c r="L175" s="685"/>
      <c r="M175" s="379"/>
      <c r="N175" s="562"/>
      <c r="O175" s="390"/>
    </row>
    <row r="176" spans="1:15" ht="14.25" x14ac:dyDescent="0.25">
      <c r="A176" s="519"/>
      <c r="B176" s="520"/>
      <c r="C176" s="520"/>
      <c r="D176" s="520"/>
      <c r="E176" s="523" t="s">
        <v>1058</v>
      </c>
      <c r="F176" s="521"/>
      <c r="G176" s="521"/>
      <c r="H176" s="687"/>
      <c r="I176" s="520"/>
      <c r="J176" s="523" t="s">
        <v>747</v>
      </c>
      <c r="K176" s="687"/>
      <c r="L176" s="525">
        <f>I173</f>
        <v>39.526588722004945</v>
      </c>
      <c r="M176" s="379"/>
      <c r="N176" s="545">
        <f>L176/$E$148</f>
        <v>1470.3891004585842</v>
      </c>
      <c r="O176" s="379"/>
    </row>
    <row r="177" spans="1:15" x14ac:dyDescent="0.2">
      <c r="A177" s="390"/>
      <c r="B177" s="390"/>
      <c r="C177" s="390"/>
      <c r="D177" s="379"/>
      <c r="E177" s="379"/>
      <c r="F177" s="551"/>
      <c r="G177" s="551"/>
      <c r="H177" s="437"/>
      <c r="I177" s="378"/>
      <c r="J177" s="379"/>
      <c r="K177" s="379"/>
      <c r="L177" s="586"/>
      <c r="M177" s="379"/>
      <c r="N177" s="379"/>
      <c r="O177" s="379"/>
    </row>
    <row r="178" spans="1:15" x14ac:dyDescent="0.2">
      <c r="A178" s="375"/>
      <c r="B178" s="585"/>
      <c r="C178" s="386"/>
      <c r="D178" s="390"/>
      <c r="E178" s="379"/>
      <c r="F178" s="379"/>
      <c r="G178" s="379"/>
      <c r="H178" s="379"/>
      <c r="I178" s="379"/>
      <c r="J178" s="591"/>
      <c r="K178" s="379"/>
      <c r="L178" s="379"/>
      <c r="M178" s="379"/>
      <c r="N178" s="379"/>
      <c r="O178" s="379"/>
    </row>
    <row r="179" spans="1:15" ht="15.75" x14ac:dyDescent="0.25">
      <c r="A179" s="530" t="s">
        <v>812</v>
      </c>
      <c r="B179" s="532"/>
      <c r="C179" s="531"/>
      <c r="D179" s="531"/>
      <c r="E179" s="530" t="s">
        <v>513</v>
      </c>
      <c r="F179" s="532"/>
      <c r="G179" s="532"/>
      <c r="H179" s="531"/>
      <c r="I179" s="532" t="s">
        <v>532</v>
      </c>
      <c r="J179" s="533"/>
      <c r="K179" s="533"/>
      <c r="L179" s="534"/>
      <c r="M179" s="379"/>
      <c r="N179" s="535" t="s">
        <v>162</v>
      </c>
      <c r="O179" s="379"/>
    </row>
    <row r="180" spans="1:15" ht="15.75" x14ac:dyDescent="0.3">
      <c r="A180" s="503"/>
      <c r="B180" s="511" t="s">
        <v>1094</v>
      </c>
      <c r="C180" s="593">
        <v>1</v>
      </c>
      <c r="D180" s="495" t="s">
        <v>653</v>
      </c>
      <c r="E180" s="513">
        <f>E146*C180</f>
        <v>36019.280872492192</v>
      </c>
      <c r="F180" s="499" t="s">
        <v>655</v>
      </c>
      <c r="G180" s="499"/>
      <c r="H180" s="594"/>
      <c r="I180" s="492" t="s">
        <v>746</v>
      </c>
      <c r="J180" s="514"/>
      <c r="K180" s="514"/>
      <c r="L180" s="537"/>
      <c r="M180" s="379"/>
      <c r="N180" s="554" t="s">
        <v>977</v>
      </c>
      <c r="O180" s="379"/>
    </row>
    <row r="181" spans="1:15" ht="15.75" x14ac:dyDescent="0.3">
      <c r="A181" s="503"/>
      <c r="B181" s="495"/>
      <c r="C181" s="689"/>
      <c r="D181" s="495"/>
      <c r="E181" s="505">
        <f>E147*C180</f>
        <v>0.62129631134590768</v>
      </c>
      <c r="F181" s="506" t="s">
        <v>707</v>
      </c>
      <c r="G181" s="506"/>
      <c r="H181" s="594"/>
      <c r="I181" s="539" t="s">
        <v>1053</v>
      </c>
      <c r="J181" s="539" t="s">
        <v>1054</v>
      </c>
      <c r="K181" s="539" t="s">
        <v>1055</v>
      </c>
      <c r="L181" s="540" t="s">
        <v>1056</v>
      </c>
      <c r="M181" s="379"/>
      <c r="N181" s="540" t="s">
        <v>1056</v>
      </c>
      <c r="O181" s="379"/>
    </row>
    <row r="182" spans="1:15" x14ac:dyDescent="0.2">
      <c r="A182" s="503"/>
      <c r="B182" s="511" t="s">
        <v>498</v>
      </c>
      <c r="C182" s="689"/>
      <c r="D182" s="495"/>
      <c r="E182" s="513"/>
      <c r="F182" s="495"/>
      <c r="G182" s="495"/>
      <c r="H182" s="495"/>
      <c r="I182" s="495"/>
      <c r="J182" s="495"/>
      <c r="K182" s="495"/>
      <c r="L182" s="541"/>
      <c r="M182" s="379"/>
      <c r="N182" s="541"/>
      <c r="O182" s="379"/>
    </row>
    <row r="183" spans="1:15" ht="15.75" x14ac:dyDescent="0.3">
      <c r="A183" s="503"/>
      <c r="B183" s="495" t="s">
        <v>159</v>
      </c>
      <c r="C183" s="595">
        <v>150</v>
      </c>
      <c r="D183" s="495" t="s">
        <v>510</v>
      </c>
      <c r="E183" s="543">
        <f>(C183*E181/VLOOKUP($B180,'Standard values'!$C$9:$S$162,14, FALSE))/1000</f>
        <v>2.5052270618786598E-3</v>
      </c>
      <c r="F183" s="495" t="s">
        <v>711</v>
      </c>
      <c r="G183" s="495"/>
      <c r="H183" s="495"/>
      <c r="I183" s="544">
        <f>$E183*VLOOKUP($B183,'Standard values'!$C$9:$S$162,15, FALSE)*VLOOKUP(C184,'Standard values'!$C$9:$S$162,7, FALSE)/$E$249</f>
        <v>0.35620967741935472</v>
      </c>
      <c r="J183" s="544">
        <f>$E183*((VLOOKUP($B183,'Standard values'!$C$9:$S$162,15, FALSE)*VLOOKUP(C184,'Standard values'!$C$9:$S$162,8, FALSE))+VLOOKUP($B183,'Standard values'!$C$9:$S$162,16, FALSE))/$E$249</f>
        <v>2.0161290322580642E-5</v>
      </c>
      <c r="K183" s="544">
        <f>$E183*((VLOOKUP($B183,'Standard values'!$C$9:$S$162,15, FALSE)*VLOOKUP(C184,'Standard values'!$C$9:$S$162,9, FALSE))+VLOOKUP($B183,'Standard values'!$C$9:$S$162,17, FALSE))/$E$249</f>
        <v>0</v>
      </c>
      <c r="L183" s="516">
        <f>I183*'Standard values'!$D$10+J183*'Standard values'!$D$11+K183*'Standard values'!$D$12</f>
        <v>0.35671370967741922</v>
      </c>
      <c r="M183" s="379"/>
      <c r="N183" s="562">
        <f>L183/$E$148</f>
        <v>13.269749999999997</v>
      </c>
      <c r="O183" s="379"/>
    </row>
    <row r="184" spans="1:15" x14ac:dyDescent="0.2">
      <c r="A184" s="503"/>
      <c r="B184" s="546" t="s">
        <v>54</v>
      </c>
      <c r="C184" s="673" t="s">
        <v>509</v>
      </c>
      <c r="D184" s="495"/>
      <c r="E184" s="503"/>
      <c r="F184" s="495"/>
      <c r="G184" s="495"/>
      <c r="H184" s="495"/>
      <c r="I184" s="544"/>
      <c r="J184" s="544"/>
      <c r="K184" s="544"/>
      <c r="L184" s="516"/>
      <c r="M184" s="379"/>
      <c r="N184" s="562"/>
      <c r="O184" s="379"/>
    </row>
    <row r="185" spans="1:15" x14ac:dyDescent="0.2">
      <c r="A185" s="503"/>
      <c r="B185" s="495"/>
      <c r="C185" s="689"/>
      <c r="D185" s="495"/>
      <c r="E185" s="543"/>
      <c r="F185" s="495"/>
      <c r="G185" s="495"/>
      <c r="H185" s="495"/>
      <c r="I185" s="544"/>
      <c r="J185" s="544"/>
      <c r="K185" s="544"/>
      <c r="L185" s="516"/>
      <c r="M185" s="379"/>
      <c r="N185" s="562"/>
      <c r="O185" s="379"/>
    </row>
    <row r="186" spans="1:15" x14ac:dyDescent="0.2">
      <c r="A186" s="503"/>
      <c r="B186" s="511" t="s">
        <v>444</v>
      </c>
      <c r="C186" s="689"/>
      <c r="D186" s="495"/>
      <c r="E186" s="503"/>
      <c r="F186" s="495"/>
      <c r="G186" s="495"/>
      <c r="H186" s="495"/>
      <c r="I186" s="544"/>
      <c r="J186" s="544"/>
      <c r="K186" s="544"/>
      <c r="L186" s="584"/>
      <c r="M186" s="379"/>
      <c r="N186" s="562"/>
      <c r="O186" s="379"/>
    </row>
    <row r="187" spans="1:15" ht="15.75" x14ac:dyDescent="0.3">
      <c r="A187" s="590"/>
      <c r="B187" s="1301" t="s">
        <v>49</v>
      </c>
      <c r="C187" s="542">
        <v>8.4000000000000003E-4</v>
      </c>
      <c r="D187" s="495" t="s">
        <v>651</v>
      </c>
      <c r="E187" s="503"/>
      <c r="F187" s="495"/>
      <c r="G187" s="495"/>
      <c r="H187" s="495"/>
      <c r="I187" s="544">
        <f>$C187*$E$181*VLOOKUP($B187,'Standard values'!$C$9:$S$162,7, FALSE)/$E$249</f>
        <v>0.10146737999999998</v>
      </c>
      <c r="J187" s="544">
        <f>$C187*$E$181*VLOOKUP($B187,'Standard values'!$C$9:$S$162,8, FALSE)/$E$249</f>
        <v>2.4744999999999997E-4</v>
      </c>
      <c r="K187" s="544">
        <f>$C187*$E$181*VLOOKUP($B187,'Standard values'!$C$9:$S$162,9, FALSE)/$E$249</f>
        <v>4.596666666666667E-6</v>
      </c>
      <c r="L187" s="516">
        <f>I187*'Standard values'!$D$10+J187*'Standard values'!$D$11+K187*'Standard values'!$D$12</f>
        <v>0.10902343666666665</v>
      </c>
      <c r="M187" s="379"/>
      <c r="N187" s="562">
        <f>L187/$E$148</f>
        <v>4.0556718439999999</v>
      </c>
      <c r="O187" s="379"/>
    </row>
    <row r="188" spans="1:15" ht="14.25" x14ac:dyDescent="0.25">
      <c r="A188" s="519"/>
      <c r="B188" s="520"/>
      <c r="C188" s="520"/>
      <c r="D188" s="520"/>
      <c r="E188" s="519"/>
      <c r="F188" s="521"/>
      <c r="G188" s="521"/>
      <c r="H188" s="521" t="s">
        <v>534</v>
      </c>
      <c r="I188" s="520"/>
      <c r="J188" s="523" t="s">
        <v>747</v>
      </c>
      <c r="K188" s="549"/>
      <c r="L188" s="525">
        <f>L187+L183</f>
        <v>0.46573714634408586</v>
      </c>
      <c r="M188" s="379"/>
      <c r="N188" s="545">
        <f>L188/$E$148</f>
        <v>17.325421843999997</v>
      </c>
      <c r="O188" s="379"/>
    </row>
    <row r="189" spans="1:15" x14ac:dyDescent="0.2">
      <c r="A189" s="390"/>
      <c r="B189" s="390"/>
      <c r="C189" s="390"/>
      <c r="D189" s="390"/>
      <c r="E189" s="390"/>
      <c r="F189" s="376"/>
      <c r="G189" s="376"/>
      <c r="H189" s="376"/>
      <c r="I189" s="390"/>
      <c r="J189" s="550"/>
      <c r="K189" s="551"/>
      <c r="L189" s="552"/>
      <c r="M189" s="379"/>
      <c r="N189" s="390"/>
      <c r="O189" s="379"/>
    </row>
    <row r="190" spans="1:15" x14ac:dyDescent="0.2">
      <c r="A190" s="390"/>
      <c r="B190" s="390"/>
      <c r="C190" s="390"/>
      <c r="D190" s="390"/>
      <c r="E190" s="390"/>
      <c r="F190" s="376"/>
      <c r="G190" s="376"/>
      <c r="H190" s="376"/>
      <c r="I190" s="390"/>
      <c r="J190" s="550"/>
      <c r="K190" s="551"/>
      <c r="L190" s="552"/>
      <c r="M190" s="379"/>
      <c r="N190" s="379"/>
      <c r="O190" s="379"/>
    </row>
    <row r="191" spans="1:15" ht="15.75" x14ac:dyDescent="0.25">
      <c r="A191" s="530" t="s">
        <v>810</v>
      </c>
      <c r="B191" s="531"/>
      <c r="C191" s="531"/>
      <c r="D191" s="531"/>
      <c r="E191" s="530" t="s">
        <v>513</v>
      </c>
      <c r="F191" s="531"/>
      <c r="G191" s="531"/>
      <c r="H191" s="531"/>
      <c r="I191" s="531"/>
      <c r="J191" s="531"/>
      <c r="K191" s="531"/>
      <c r="L191" s="596"/>
      <c r="M191" s="379"/>
      <c r="N191" s="535" t="s">
        <v>162</v>
      </c>
      <c r="O191" s="379"/>
    </row>
    <row r="192" spans="1:15" ht="15.75" x14ac:dyDescent="0.3">
      <c r="A192" s="503"/>
      <c r="B192" s="511" t="s">
        <v>1094</v>
      </c>
      <c r="C192" s="593">
        <v>1</v>
      </c>
      <c r="D192" s="495" t="s">
        <v>653</v>
      </c>
      <c r="E192" s="513">
        <f>E180*C192</f>
        <v>36019.280872492192</v>
      </c>
      <c r="F192" s="499" t="s">
        <v>655</v>
      </c>
      <c r="G192" s="499"/>
      <c r="H192" s="495"/>
      <c r="I192" s="492" t="s">
        <v>746</v>
      </c>
      <c r="J192" s="514"/>
      <c r="K192" s="514"/>
      <c r="L192" s="537"/>
      <c r="M192" s="379"/>
      <c r="N192" s="554" t="s">
        <v>977</v>
      </c>
      <c r="O192" s="379"/>
    </row>
    <row r="193" spans="1:15" ht="15.75" x14ac:dyDescent="0.3">
      <c r="A193" s="503"/>
      <c r="B193" s="495"/>
      <c r="C193" s="689"/>
      <c r="D193" s="495"/>
      <c r="E193" s="505">
        <f>E181*C192</f>
        <v>0.62129631134590768</v>
      </c>
      <c r="F193" s="506" t="s">
        <v>707</v>
      </c>
      <c r="G193" s="506"/>
      <c r="H193" s="495"/>
      <c r="I193" s="539" t="s">
        <v>1053</v>
      </c>
      <c r="J193" s="539" t="s">
        <v>1054</v>
      </c>
      <c r="K193" s="539" t="s">
        <v>1055</v>
      </c>
      <c r="L193" s="540" t="s">
        <v>1056</v>
      </c>
      <c r="M193" s="379"/>
      <c r="N193" s="540" t="s">
        <v>1056</v>
      </c>
      <c r="O193" s="379"/>
    </row>
    <row r="194" spans="1:15" x14ac:dyDescent="0.2">
      <c r="A194" s="503"/>
      <c r="B194" s="511" t="s">
        <v>498</v>
      </c>
      <c r="C194" s="689"/>
      <c r="D194" s="495"/>
      <c r="E194" s="513"/>
      <c r="F194" s="495"/>
      <c r="G194" s="495"/>
      <c r="H194" s="495"/>
      <c r="I194" s="495"/>
      <c r="J194" s="495"/>
      <c r="K194" s="495"/>
      <c r="L194" s="541"/>
      <c r="M194" s="379"/>
      <c r="N194" s="541"/>
      <c r="O194" s="379"/>
    </row>
    <row r="195" spans="1:15" ht="15.75" x14ac:dyDescent="0.3">
      <c r="A195" s="503"/>
      <c r="B195" s="495" t="s">
        <v>159</v>
      </c>
      <c r="C195" s="595">
        <v>150</v>
      </c>
      <c r="D195" s="495" t="s">
        <v>510</v>
      </c>
      <c r="E195" s="543">
        <f>(C195*E193/VLOOKUP($B192,'Standard values'!$C$9:$S$162,14, FALSE))/1000</f>
        <v>2.5052270618786598E-3</v>
      </c>
      <c r="F195" s="495" t="s">
        <v>711</v>
      </c>
      <c r="G195" s="495"/>
      <c r="H195" s="495"/>
      <c r="I195" s="544">
        <f>$E195*VLOOKUP($B195,'Standard values'!$C$9:$S$162,15, FALSE)*VLOOKUP(C196,'Standard values'!$C$9:$S$162,7, FALSE)/$E$249</f>
        <v>0.35620967741935472</v>
      </c>
      <c r="J195" s="544">
        <f>$E195*((VLOOKUP($B195,'Standard values'!$C$9:$S$162,15, FALSE)*VLOOKUP(C196,'Standard values'!$C$9:$S$162,8, FALSE))+VLOOKUP($B195,'Standard values'!$C$9:$S$162,16, FALSE))/$E$249</f>
        <v>2.0161290322580642E-5</v>
      </c>
      <c r="K195" s="544">
        <f>$E195*((VLOOKUP($B195,'Standard values'!$C$9:$S$162,15, FALSE)*VLOOKUP(C196,'Standard values'!$C$9:$S$162,9, FALSE))+VLOOKUP($B195,'Standard values'!$C$9:$S$162,17, FALSE))/$E$249</f>
        <v>0</v>
      </c>
      <c r="L195" s="516">
        <f>I195*'Standard values'!$D$10+J195*'Standard values'!$D$11+K195*'Standard values'!$D$12</f>
        <v>0.35671370967741922</v>
      </c>
      <c r="M195" s="379"/>
      <c r="N195" s="562">
        <f>L195/$E$148</f>
        <v>13.269749999999997</v>
      </c>
      <c r="O195" s="379"/>
    </row>
    <row r="196" spans="1:15" x14ac:dyDescent="0.2">
      <c r="A196" s="503"/>
      <c r="B196" s="546" t="s">
        <v>54</v>
      </c>
      <c r="C196" s="673" t="s">
        <v>509</v>
      </c>
      <c r="D196" s="495"/>
      <c r="E196" s="503"/>
      <c r="F196" s="495"/>
      <c r="G196" s="495"/>
      <c r="H196" s="495"/>
      <c r="I196" s="544"/>
      <c r="J196" s="544"/>
      <c r="K196" s="544"/>
      <c r="L196" s="516"/>
      <c r="M196" s="379"/>
      <c r="N196" s="562"/>
      <c r="O196" s="379"/>
    </row>
    <row r="197" spans="1:15" x14ac:dyDescent="0.2">
      <c r="A197" s="503"/>
      <c r="B197" s="495"/>
      <c r="C197" s="689"/>
      <c r="D197" s="495"/>
      <c r="E197" s="505"/>
      <c r="F197" s="506"/>
      <c r="G197" s="506"/>
      <c r="H197" s="495"/>
      <c r="I197" s="539"/>
      <c r="J197" s="539"/>
      <c r="K197" s="539"/>
      <c r="L197" s="690"/>
      <c r="M197" s="379"/>
      <c r="N197" s="540"/>
      <c r="O197" s="379"/>
    </row>
    <row r="198" spans="1:15" x14ac:dyDescent="0.2">
      <c r="A198" s="503"/>
      <c r="B198" s="511" t="s">
        <v>441</v>
      </c>
      <c r="C198" s="689"/>
      <c r="D198" s="495"/>
      <c r="E198" s="503"/>
      <c r="F198" s="495"/>
      <c r="G198" s="495"/>
      <c r="H198" s="495"/>
      <c r="I198" s="544"/>
      <c r="J198" s="544"/>
      <c r="K198" s="544"/>
      <c r="L198" s="584"/>
      <c r="M198" s="379"/>
      <c r="N198" s="541"/>
      <c r="O198" s="379"/>
    </row>
    <row r="199" spans="1:15" ht="15.75" x14ac:dyDescent="0.3">
      <c r="A199" s="503"/>
      <c r="B199" s="1301" t="s">
        <v>49</v>
      </c>
      <c r="C199" s="542">
        <v>3.3999999999999998E-3</v>
      </c>
      <c r="D199" s="495" t="s">
        <v>651</v>
      </c>
      <c r="E199" s="503"/>
      <c r="F199" s="495"/>
      <c r="G199" s="495"/>
      <c r="H199" s="495"/>
      <c r="I199" s="544">
        <f>$C199*$E$193*VLOOKUP($B199,'Standard values'!$C$9:$S$162,7, FALSE)/$E$249</f>
        <v>0.41070129999999988</v>
      </c>
      <c r="J199" s="544">
        <f>$C199*$E$193*VLOOKUP($B199,'Standard values'!$C$9:$S$162,8, FALSE)/$E$249</f>
        <v>1.0015833333333331E-3</v>
      </c>
      <c r="K199" s="544">
        <f>$C199*$E$193*VLOOKUP($B199,'Standard values'!$C$9:$S$162,9, FALSE)/$E$249</f>
        <v>1.8605555555555551E-5</v>
      </c>
      <c r="L199" s="516">
        <f>I199*'Standard values'!$D$10+J199*'Standard values'!$D$11+K199*'Standard values'!$D$12</f>
        <v>0.44128533888888877</v>
      </c>
      <c r="M199" s="379"/>
      <c r="N199" s="562">
        <f>L199/$E$148</f>
        <v>16.415814606666665</v>
      </c>
      <c r="O199" s="379"/>
    </row>
    <row r="200" spans="1:15" ht="14.25" x14ac:dyDescent="0.25">
      <c r="A200" s="519"/>
      <c r="B200" s="520"/>
      <c r="C200" s="520"/>
      <c r="D200" s="520"/>
      <c r="E200" s="519"/>
      <c r="F200" s="521"/>
      <c r="G200" s="521"/>
      <c r="H200" s="521" t="s">
        <v>534</v>
      </c>
      <c r="I200" s="520"/>
      <c r="J200" s="523" t="s">
        <v>747</v>
      </c>
      <c r="K200" s="549"/>
      <c r="L200" s="525">
        <f>L195+L199</f>
        <v>0.79799904856630799</v>
      </c>
      <c r="M200" s="379"/>
      <c r="N200" s="545">
        <f>L200/$E$148</f>
        <v>29.685564606666659</v>
      </c>
      <c r="O200" s="379"/>
    </row>
    <row r="201" spans="1:15" x14ac:dyDescent="0.2">
      <c r="A201" s="390"/>
      <c r="B201" s="390"/>
      <c r="C201" s="390"/>
      <c r="D201" s="390"/>
      <c r="E201" s="390"/>
      <c r="F201" s="376"/>
      <c r="G201" s="376"/>
      <c r="H201" s="376"/>
      <c r="I201" s="390"/>
      <c r="J201" s="550"/>
      <c r="K201" s="551"/>
      <c r="L201" s="597"/>
      <c r="M201" s="379"/>
      <c r="N201" s="390"/>
      <c r="O201" s="379"/>
    </row>
    <row r="202" spans="1:15" x14ac:dyDescent="0.2">
      <c r="A202" s="390"/>
      <c r="B202" s="390"/>
      <c r="C202" s="390"/>
      <c r="D202" s="390"/>
      <c r="E202" s="390"/>
      <c r="F202" s="376"/>
      <c r="G202" s="376"/>
      <c r="H202" s="376"/>
      <c r="I202" s="390"/>
      <c r="J202" s="550"/>
      <c r="K202" s="551"/>
      <c r="L202" s="597"/>
      <c r="M202" s="379"/>
      <c r="N202" s="379"/>
      <c r="O202" s="379"/>
    </row>
    <row r="203" spans="1:15" ht="15.75" x14ac:dyDescent="0.25">
      <c r="A203" s="530" t="s">
        <v>546</v>
      </c>
      <c r="B203" s="598"/>
      <c r="C203" s="599"/>
      <c r="D203" s="531"/>
      <c r="E203" s="600"/>
      <c r="F203" s="531"/>
      <c r="G203" s="531"/>
      <c r="H203" s="531"/>
      <c r="I203" s="531"/>
      <c r="J203" s="531"/>
      <c r="K203" s="531"/>
      <c r="L203" s="601"/>
      <c r="M203" s="379"/>
      <c r="N203" s="379"/>
      <c r="O203" s="379"/>
    </row>
    <row r="204" spans="1:15" ht="15.75" x14ac:dyDescent="0.25">
      <c r="A204" s="602"/>
      <c r="B204" s="603" t="s">
        <v>549</v>
      </c>
      <c r="C204" s="511" t="s">
        <v>908</v>
      </c>
      <c r="D204" s="495"/>
      <c r="E204" s="503"/>
      <c r="F204" s="495"/>
      <c r="G204" s="495"/>
      <c r="H204" s="495"/>
      <c r="I204" s="495"/>
      <c r="J204" s="495"/>
      <c r="K204" s="495"/>
      <c r="L204" s="537"/>
      <c r="M204" s="379"/>
      <c r="N204" s="390"/>
      <c r="O204" s="390"/>
    </row>
    <row r="205" spans="1:15" ht="15.75" customHeight="1" x14ac:dyDescent="0.25">
      <c r="A205" s="602"/>
      <c r="B205" s="511"/>
      <c r="C205" s="668"/>
      <c r="D205" s="691" t="s">
        <v>431</v>
      </c>
      <c r="E205" s="692" t="str">
        <f>IF(D207="Yes","From :  ", " ")</f>
        <v xml:space="preserve"> </v>
      </c>
      <c r="F205" s="1422" t="str">
        <f>IF(D207="Yes",LUC!H$35 &amp; " ; " &amp; LUC!H$36 &amp; " ; " &amp; LUC!H$39 &amp; " ; " &amp; LUC!H$40 &amp; " ; " &amp; LUC!H$45 &amp; " ; " &amp; LUC!H$46 &amp; " ; " &amp; LUC!H$47, " ")</f>
        <v xml:space="preserve"> </v>
      </c>
      <c r="G205" s="1422"/>
      <c r="H205" s="1422"/>
      <c r="I205" s="1422"/>
      <c r="J205" s="1422"/>
      <c r="K205" s="1422"/>
      <c r="L205" s="1423"/>
      <c r="M205" s="379"/>
      <c r="N205" s="390"/>
      <c r="O205" s="390"/>
    </row>
    <row r="206" spans="1:15" ht="15.75" x14ac:dyDescent="0.25">
      <c r="A206" s="602"/>
      <c r="B206" s="539" t="s">
        <v>450</v>
      </c>
      <c r="C206" s="693" t="s">
        <v>431</v>
      </c>
      <c r="D206" s="691" t="s">
        <v>432</v>
      </c>
      <c r="E206" s="513"/>
      <c r="F206" s="1422"/>
      <c r="G206" s="1422"/>
      <c r="H206" s="1422"/>
      <c r="I206" s="1422"/>
      <c r="J206" s="1422"/>
      <c r="K206" s="1422"/>
      <c r="L206" s="1423"/>
      <c r="M206" s="379"/>
      <c r="N206" s="390"/>
      <c r="O206" s="390"/>
    </row>
    <row r="207" spans="1:15" ht="15.75" customHeight="1" x14ac:dyDescent="0.25">
      <c r="A207" s="602"/>
      <c r="B207" s="511"/>
      <c r="C207" s="670" t="str">
        <f>IF(D207="Yes","Go to", " ")</f>
        <v xml:space="preserve"> </v>
      </c>
      <c r="D207" s="691" t="s">
        <v>432</v>
      </c>
      <c r="E207" s="692" t="str">
        <f>IF(D207="Yes","To    :   ", " ")</f>
        <v xml:space="preserve"> </v>
      </c>
      <c r="F207" s="1424" t="str">
        <f>IF(D207="Yes", LUC!D$35 &amp; " ; " &amp; LUC!D$36 &amp; " ; " &amp; LUC!D$39 &amp; " ; " &amp; LUC!D$40 &amp; " ; " &amp; LUC!D$45 &amp; " ; " &amp; LUC!D$46 &amp; " ; " &amp; LUC!D$47, " ")</f>
        <v xml:space="preserve"> </v>
      </c>
      <c r="G207" s="1424"/>
      <c r="H207" s="1424"/>
      <c r="I207" s="1424"/>
      <c r="J207" s="1424"/>
      <c r="K207" s="1424"/>
      <c r="L207" s="1425"/>
      <c r="M207" s="379"/>
      <c r="N207" s="390"/>
      <c r="O207" s="390"/>
    </row>
    <row r="208" spans="1:15" ht="15.75" x14ac:dyDescent="0.25">
      <c r="A208" s="602"/>
      <c r="B208" s="416"/>
      <c r="C208" s="671" t="str">
        <f>IF(D207="Yes","sheet 'LUC' ", " ")</f>
        <v xml:space="preserve"> </v>
      </c>
      <c r="D208" s="495"/>
      <c r="E208" s="696"/>
      <c r="F208" s="1424"/>
      <c r="G208" s="1424"/>
      <c r="H208" s="1424"/>
      <c r="I208" s="1424"/>
      <c r="J208" s="1424"/>
      <c r="K208" s="1424"/>
      <c r="L208" s="1425"/>
      <c r="M208" s="379"/>
      <c r="N208" s="390"/>
      <c r="O208" s="390"/>
    </row>
    <row r="209" spans="1:15" ht="15.75" x14ac:dyDescent="0.25">
      <c r="A209" s="602"/>
      <c r="B209" s="416"/>
      <c r="C209" s="670" t="str">
        <f>IF(D207="Yes","to calculate the land use change", " ")</f>
        <v xml:space="preserve"> </v>
      </c>
      <c r="D209" s="495"/>
      <c r="E209" s="696"/>
      <c r="F209" s="694"/>
      <c r="G209" s="694"/>
      <c r="H209" s="694"/>
      <c r="I209" s="492" t="s">
        <v>746</v>
      </c>
      <c r="J209" s="514"/>
      <c r="K209" s="694"/>
      <c r="L209" s="695"/>
      <c r="M209" s="379"/>
      <c r="N209" s="390"/>
      <c r="O209" s="390"/>
    </row>
    <row r="210" spans="1:15" ht="16.5" x14ac:dyDescent="0.3">
      <c r="A210" s="602"/>
      <c r="B210" s="416"/>
      <c r="C210" s="670"/>
      <c r="D210" s="495"/>
      <c r="E210" s="696"/>
      <c r="F210" s="694"/>
      <c r="G210" s="694"/>
      <c r="H210" s="694"/>
      <c r="I210" s="539" t="s">
        <v>1053</v>
      </c>
      <c r="J210" s="539" t="s">
        <v>1054</v>
      </c>
      <c r="K210" s="539" t="s">
        <v>1055</v>
      </c>
      <c r="L210" s="540" t="s">
        <v>1056</v>
      </c>
      <c r="M210" s="379"/>
      <c r="N210" s="390"/>
      <c r="O210" s="390"/>
    </row>
    <row r="211" spans="1:15" ht="16.5" x14ac:dyDescent="0.3">
      <c r="A211" s="602"/>
      <c r="B211" s="507" t="s">
        <v>451</v>
      </c>
      <c r="C211" s="697">
        <f>IF(D207="Yes",LUC!$J$86,0)</f>
        <v>0</v>
      </c>
      <c r="D211" s="497" t="s">
        <v>449</v>
      </c>
      <c r="E211" s="503"/>
      <c r="F211" s="495"/>
      <c r="G211" s="495"/>
      <c r="H211" s="495"/>
      <c r="I211" s="544">
        <f>$C211*1000000/$E$248</f>
        <v>0</v>
      </c>
      <c r="J211" s="544">
        <v>0</v>
      </c>
      <c r="K211" s="544">
        <v>0</v>
      </c>
      <c r="L211" s="419">
        <f>I211*'Standard values'!$D$10+J211*'Standard values'!$D$11+K211*'Standard values'!$D$12</f>
        <v>0</v>
      </c>
      <c r="M211" s="379"/>
      <c r="N211" s="390"/>
      <c r="O211" s="390"/>
    </row>
    <row r="212" spans="1:15" ht="15.75" x14ac:dyDescent="0.25">
      <c r="A212" s="602"/>
      <c r="B212" s="507"/>
      <c r="C212" s="698"/>
      <c r="D212" s="497"/>
      <c r="E212" s="503"/>
      <c r="F212" s="495"/>
      <c r="G212" s="495"/>
      <c r="H212" s="495"/>
      <c r="I212" s="544"/>
      <c r="J212" s="544"/>
      <c r="K212" s="544"/>
      <c r="L212" s="516">
        <f>SUM(L211:L211)</f>
        <v>0</v>
      </c>
      <c r="M212" s="379"/>
      <c r="N212" s="390"/>
      <c r="O212" s="390"/>
    </row>
    <row r="213" spans="1:15" ht="15.75" x14ac:dyDescent="0.25">
      <c r="A213" s="602"/>
      <c r="B213" s="416"/>
      <c r="C213" s="492"/>
      <c r="D213" s="495"/>
      <c r="E213" s="503"/>
      <c r="F213" s="495"/>
      <c r="G213" s="495"/>
      <c r="H213" s="495"/>
      <c r="I213" s="544"/>
      <c r="J213" s="544"/>
      <c r="K213" s="544"/>
      <c r="L213" s="516"/>
      <c r="M213" s="379"/>
      <c r="N213" s="390"/>
      <c r="O213" s="390"/>
    </row>
    <row r="214" spans="1:15" ht="15.75" x14ac:dyDescent="0.3">
      <c r="A214" s="503"/>
      <c r="B214" s="539" t="s">
        <v>452</v>
      </c>
      <c r="C214" s="595">
        <v>0</v>
      </c>
      <c r="D214" s="605" t="s">
        <v>672</v>
      </c>
      <c r="E214" s="699"/>
      <c r="F214" s="495"/>
      <c r="G214" s="495"/>
      <c r="H214" s="495"/>
      <c r="I214" s="544">
        <f>-C214</f>
        <v>0</v>
      </c>
      <c r="J214" s="544">
        <v>0</v>
      </c>
      <c r="K214" s="544">
        <v>0</v>
      </c>
      <c r="L214" s="419">
        <f>I214*'Standard values'!$D$10+J214*'Standard values'!$D$11+K214*'Standard values'!$D$12</f>
        <v>0</v>
      </c>
      <c r="M214" s="379"/>
      <c r="N214" s="390"/>
      <c r="O214" s="390"/>
    </row>
    <row r="215" spans="1:15" x14ac:dyDescent="0.2">
      <c r="A215" s="503"/>
      <c r="B215" s="539" t="str">
        <f>IF(C214=-29,"Year of conversion:","")</f>
        <v/>
      </c>
      <c r="C215" s="539" t="str">
        <f>IF(D214=-29,"Year of conversion:","")</f>
        <v/>
      </c>
      <c r="D215" s="605" t="str">
        <f>IF(C214=-29,"Fill in the year of conversion","")</f>
        <v/>
      </c>
      <c r="E215" s="503"/>
      <c r="F215" s="495"/>
      <c r="G215" s="495"/>
      <c r="H215" s="495"/>
      <c r="I215" s="495"/>
      <c r="J215" s="495"/>
      <c r="K215" s="544"/>
      <c r="L215" s="516">
        <f>SUM(L214:L214)</f>
        <v>0</v>
      </c>
      <c r="M215" s="379"/>
      <c r="N215" s="390"/>
      <c r="O215" s="390"/>
    </row>
    <row r="216" spans="1:15" x14ac:dyDescent="0.2">
      <c r="A216" s="503"/>
      <c r="B216" s="539"/>
      <c r="C216" s="539"/>
      <c r="D216" s="605"/>
      <c r="E216" s="503"/>
      <c r="F216" s="495"/>
      <c r="G216" s="495"/>
      <c r="H216" s="495"/>
      <c r="I216" s="495"/>
      <c r="J216" s="495"/>
      <c r="K216" s="544"/>
      <c r="L216" s="700"/>
      <c r="M216" s="379"/>
      <c r="N216" s="390"/>
      <c r="O216" s="390"/>
    </row>
    <row r="217" spans="1:15" ht="14.25" x14ac:dyDescent="0.25">
      <c r="A217" s="519"/>
      <c r="B217" s="520"/>
      <c r="C217" s="520"/>
      <c r="D217" s="520"/>
      <c r="E217" s="519"/>
      <c r="F217" s="521"/>
      <c r="G217" s="521"/>
      <c r="H217" s="521" t="s">
        <v>534</v>
      </c>
      <c r="I217" s="520"/>
      <c r="J217" s="523" t="s">
        <v>747</v>
      </c>
      <c r="K217" s="549"/>
      <c r="L217" s="525">
        <f>L212+L215</f>
        <v>0</v>
      </c>
      <c r="M217" s="379"/>
      <c r="N217" s="390"/>
      <c r="O217" s="390"/>
    </row>
    <row r="218" spans="1:15" x14ac:dyDescent="0.2">
      <c r="A218" s="390"/>
      <c r="B218" s="390"/>
      <c r="C218" s="390"/>
      <c r="D218" s="390"/>
      <c r="E218" s="390"/>
      <c r="F218" s="376"/>
      <c r="G218" s="376"/>
      <c r="H218" s="376"/>
      <c r="I218" s="390"/>
      <c r="J218" s="550"/>
      <c r="K218" s="551"/>
      <c r="L218" s="604"/>
      <c r="M218" s="379"/>
      <c r="N218" s="390"/>
      <c r="O218" s="390"/>
    </row>
    <row r="219" spans="1:15" x14ac:dyDescent="0.2">
      <c r="A219" s="390"/>
      <c r="B219" s="390"/>
      <c r="C219" s="390"/>
      <c r="D219" s="390"/>
      <c r="E219" s="390"/>
      <c r="F219" s="376"/>
      <c r="G219" s="376"/>
      <c r="H219" s="376"/>
      <c r="I219" s="390"/>
      <c r="J219" s="550"/>
      <c r="K219" s="551"/>
      <c r="L219" s="604"/>
      <c r="M219" s="379"/>
      <c r="N219" s="390"/>
      <c r="O219" s="390"/>
    </row>
    <row r="220" spans="1:15" ht="15.75" x14ac:dyDescent="0.25">
      <c r="A220" s="530" t="s">
        <v>547</v>
      </c>
      <c r="B220" s="598"/>
      <c r="C220" s="599"/>
      <c r="D220" s="531"/>
      <c r="E220" s="600"/>
      <c r="F220" s="531"/>
      <c r="G220" s="531"/>
      <c r="H220" s="531"/>
      <c r="I220" s="531"/>
      <c r="J220" s="531"/>
      <c r="K220" s="531"/>
      <c r="L220" s="601"/>
      <c r="M220" s="379"/>
      <c r="N220" s="390"/>
      <c r="O220" s="390"/>
    </row>
    <row r="221" spans="1:15" ht="15.75" x14ac:dyDescent="0.25">
      <c r="A221" s="602"/>
      <c r="B221" s="416" t="s">
        <v>548</v>
      </c>
      <c r="C221" s="492" t="s">
        <v>429</v>
      </c>
      <c r="D221" s="616"/>
      <c r="E221" s="503"/>
      <c r="F221" s="495"/>
      <c r="G221" s="495"/>
      <c r="H221" s="495"/>
      <c r="I221" s="492" t="s">
        <v>746</v>
      </c>
      <c r="J221" s="514"/>
      <c r="K221" s="514"/>
      <c r="L221" s="537"/>
      <c r="M221" s="379"/>
      <c r="N221" s="390"/>
      <c r="O221" s="390"/>
    </row>
    <row r="222" spans="1:15" ht="15.75" customHeight="1" x14ac:dyDescent="0.25">
      <c r="A222" s="602"/>
      <c r="B222" s="511"/>
      <c r="C222" s="668"/>
      <c r="D222" s="691" t="s">
        <v>431</v>
      </c>
      <c r="E222" s="692" t="str">
        <f>IF(D224="Yes","From :  ", " ")</f>
        <v xml:space="preserve"> </v>
      </c>
      <c r="F222" s="1422" t="str">
        <f>IF(D224="Yes",Esca!H$42 &amp; ", " &amp; Esca!H$43 &amp; " input ","")</f>
        <v/>
      </c>
      <c r="G222" s="1422"/>
      <c r="H222" s="1422"/>
      <c r="I222" s="1422"/>
      <c r="J222" s="1422"/>
      <c r="K222" s="1422"/>
      <c r="L222" s="1423"/>
      <c r="M222" s="379"/>
      <c r="N222" s="390"/>
      <c r="O222" s="390"/>
    </row>
    <row r="223" spans="1:15" ht="15.75" x14ac:dyDescent="0.25">
      <c r="A223" s="602"/>
      <c r="B223" s="539" t="s">
        <v>430</v>
      </c>
      <c r="C223" s="668"/>
      <c r="D223" s="691" t="s">
        <v>432</v>
      </c>
      <c r="E223" s="513"/>
      <c r="F223" s="1422"/>
      <c r="G223" s="1422"/>
      <c r="H223" s="1422"/>
      <c r="I223" s="1422"/>
      <c r="J223" s="1422"/>
      <c r="K223" s="1422"/>
      <c r="L223" s="1423"/>
      <c r="M223" s="379"/>
      <c r="N223" s="390"/>
      <c r="O223" s="390"/>
    </row>
    <row r="224" spans="1:15" ht="15.75" customHeight="1" x14ac:dyDescent="0.25">
      <c r="A224" s="602"/>
      <c r="B224" s="511"/>
      <c r="C224" s="670" t="str">
        <f>IF(D224="Yes","Go to", " ")</f>
        <v xml:space="preserve"> </v>
      </c>
      <c r="D224" s="691" t="s">
        <v>432</v>
      </c>
      <c r="E224" s="692" t="str">
        <f>IF(D224="Yes","To    :   ", " ")</f>
        <v xml:space="preserve"> </v>
      </c>
      <c r="F224" s="1422" t="str">
        <f>IF(D224="Yes",Esca!D$42 &amp; ", " &amp; Esca!D$43 &amp; " input ","")</f>
        <v/>
      </c>
      <c r="G224" s="1422"/>
      <c r="H224" s="1422"/>
      <c r="I224" s="1422"/>
      <c r="J224" s="1422"/>
      <c r="K224" s="1422"/>
      <c r="L224" s="1423"/>
      <c r="M224" s="379"/>
      <c r="N224" s="390"/>
      <c r="O224" s="390"/>
    </row>
    <row r="225" spans="1:15" ht="15.75" x14ac:dyDescent="0.25">
      <c r="A225" s="602"/>
      <c r="B225" s="416"/>
      <c r="C225" s="671" t="str">
        <f>IF(D224="Yes","sheet 'Esca' ", " ")</f>
        <v xml:space="preserve"> </v>
      </c>
      <c r="D225" s="495"/>
      <c r="E225" s="696"/>
      <c r="F225" s="1422"/>
      <c r="G225" s="1422"/>
      <c r="H225" s="1422"/>
      <c r="I225" s="1422"/>
      <c r="J225" s="1422"/>
      <c r="K225" s="1422"/>
      <c r="L225" s="1423"/>
      <c r="M225" s="379"/>
      <c r="N225" s="390"/>
      <c r="O225" s="390"/>
    </row>
    <row r="226" spans="1:15" ht="15.75" x14ac:dyDescent="0.25">
      <c r="A226" s="602"/>
      <c r="B226" s="416"/>
      <c r="C226" s="670" t="str">
        <f>IF(D224="Yes","to calculate the soil carbon accumulation", " ")</f>
        <v xml:space="preserve"> </v>
      </c>
      <c r="D226" s="495"/>
      <c r="E226" s="696"/>
      <c r="F226" s="694"/>
      <c r="G226" s="694"/>
      <c r="H226" s="694"/>
      <c r="I226" s="492" t="s">
        <v>746</v>
      </c>
      <c r="J226" s="514"/>
      <c r="K226" s="694"/>
      <c r="L226" s="695"/>
      <c r="M226" s="379"/>
      <c r="N226" s="390"/>
      <c r="O226" s="390"/>
    </row>
    <row r="227" spans="1:15" ht="16.5" x14ac:dyDescent="0.3">
      <c r="A227" s="602"/>
      <c r="B227" s="416"/>
      <c r="C227" s="670"/>
      <c r="D227" s="495"/>
      <c r="E227" s="696"/>
      <c r="F227" s="694"/>
      <c r="G227" s="694"/>
      <c r="H227" s="694"/>
      <c r="I227" s="539" t="s">
        <v>1053</v>
      </c>
      <c r="J227" s="539" t="s">
        <v>1054</v>
      </c>
      <c r="K227" s="539" t="s">
        <v>1055</v>
      </c>
      <c r="L227" s="540" t="s">
        <v>1056</v>
      </c>
      <c r="M227" s="379"/>
      <c r="N227" s="390"/>
      <c r="O227" s="390"/>
    </row>
    <row r="228" spans="1:15" ht="16.5" x14ac:dyDescent="0.3">
      <c r="A228" s="602"/>
      <c r="B228" s="507" t="s">
        <v>807</v>
      </c>
      <c r="C228" s="697">
        <f>IF(D224="yes",Esca!$J$81,0)</f>
        <v>0</v>
      </c>
      <c r="D228" s="497" t="s">
        <v>449</v>
      </c>
      <c r="E228" s="503"/>
      <c r="F228" s="495"/>
      <c r="G228" s="495"/>
      <c r="H228" s="495"/>
      <c r="I228" s="544">
        <f>$C228*1000000/$E$248</f>
        <v>0</v>
      </c>
      <c r="J228" s="544">
        <v>0</v>
      </c>
      <c r="K228" s="544">
        <v>0</v>
      </c>
      <c r="L228" s="419">
        <f>I228*'Standard values'!$D$10+J228*'Standard values'!$D$11+K228*'Standard values'!$D$12</f>
        <v>0</v>
      </c>
      <c r="M228" s="379"/>
      <c r="N228" s="390"/>
      <c r="O228" s="390"/>
    </row>
    <row r="229" spans="1:15" x14ac:dyDescent="0.2">
      <c r="A229" s="503"/>
      <c r="B229" s="539"/>
      <c r="C229" s="539"/>
      <c r="D229" s="605"/>
      <c r="E229" s="503"/>
      <c r="F229" s="495"/>
      <c r="G229" s="495"/>
      <c r="H229" s="495"/>
      <c r="I229" s="495"/>
      <c r="J229" s="495"/>
      <c r="K229" s="544"/>
      <c r="L229" s="516">
        <f>SUM(L228:L228)</f>
        <v>0</v>
      </c>
      <c r="M229" s="379"/>
      <c r="N229" s="390"/>
      <c r="O229" s="390"/>
    </row>
    <row r="230" spans="1:15" x14ac:dyDescent="0.2">
      <c r="A230" s="503"/>
      <c r="B230" s="539"/>
      <c r="C230" s="539"/>
      <c r="D230" s="605"/>
      <c r="E230" s="503"/>
      <c r="F230" s="495"/>
      <c r="G230" s="495"/>
      <c r="H230" s="495"/>
      <c r="I230" s="495"/>
      <c r="J230" s="495"/>
      <c r="K230" s="544"/>
      <c r="L230" s="700"/>
      <c r="M230" s="379"/>
      <c r="N230" s="390"/>
      <c r="O230" s="390"/>
    </row>
    <row r="231" spans="1:15" ht="14.25" x14ac:dyDescent="0.25">
      <c r="A231" s="519"/>
      <c r="B231" s="520"/>
      <c r="C231" s="520"/>
      <c r="D231" s="520"/>
      <c r="E231" s="519"/>
      <c r="F231" s="521"/>
      <c r="G231" s="521"/>
      <c r="H231" s="521" t="s">
        <v>534</v>
      </c>
      <c r="I231" s="520"/>
      <c r="J231" s="523" t="s">
        <v>747</v>
      </c>
      <c r="K231" s="549"/>
      <c r="L231" s="525">
        <f>L229</f>
        <v>0</v>
      </c>
      <c r="M231" s="379"/>
      <c r="N231" s="390"/>
      <c r="O231" s="390"/>
    </row>
    <row r="232" spans="1:15" x14ac:dyDescent="0.2">
      <c r="A232" s="390"/>
      <c r="B232" s="390"/>
      <c r="C232" s="390"/>
      <c r="D232" s="390"/>
      <c r="E232" s="390"/>
      <c r="F232" s="376"/>
      <c r="G232" s="376"/>
      <c r="H232" s="376"/>
      <c r="I232" s="390"/>
      <c r="J232" s="550"/>
      <c r="K232" s="551"/>
      <c r="L232" s="604"/>
      <c r="M232" s="379"/>
      <c r="N232" s="390"/>
      <c r="O232" s="390"/>
    </row>
    <row r="233" spans="1:15" x14ac:dyDescent="0.2">
      <c r="A233" s="390"/>
      <c r="B233" s="390"/>
      <c r="C233" s="390"/>
      <c r="D233" s="390"/>
      <c r="E233" s="390"/>
      <c r="F233" s="376"/>
      <c r="G233" s="376"/>
      <c r="H233" s="376"/>
      <c r="I233" s="390"/>
      <c r="J233" s="550"/>
      <c r="K233" s="551"/>
      <c r="L233" s="604"/>
      <c r="M233" s="379"/>
      <c r="N233" s="390"/>
      <c r="O233" s="390"/>
    </row>
    <row r="234" spans="1:15" ht="18.75" x14ac:dyDescent="0.35">
      <c r="A234" s="530" t="s">
        <v>168</v>
      </c>
      <c r="B234" s="598"/>
      <c r="C234" s="599"/>
      <c r="D234" s="531"/>
      <c r="E234" s="600"/>
      <c r="F234" s="531"/>
      <c r="G234" s="531"/>
      <c r="H234" s="531"/>
      <c r="I234" s="531"/>
      <c r="J234" s="531"/>
      <c r="K234" s="531"/>
      <c r="L234" s="601"/>
      <c r="M234" s="379"/>
      <c r="N234" s="390"/>
      <c r="O234" s="390"/>
    </row>
    <row r="235" spans="1:15" ht="15.75" x14ac:dyDescent="0.25">
      <c r="A235" s="602"/>
      <c r="B235" s="416" t="s">
        <v>166</v>
      </c>
      <c r="C235" s="492"/>
      <c r="D235" s="495"/>
      <c r="E235" s="503"/>
      <c r="F235" s="495"/>
      <c r="G235" s="495"/>
      <c r="H235" s="495"/>
      <c r="I235" s="492" t="s">
        <v>746</v>
      </c>
      <c r="J235" s="514"/>
      <c r="K235" s="514"/>
      <c r="L235" s="537"/>
      <c r="M235" s="379"/>
      <c r="N235" s="390"/>
      <c r="O235" s="390"/>
    </row>
    <row r="236" spans="1:15" ht="15.75" x14ac:dyDescent="0.3">
      <c r="A236" s="503"/>
      <c r="B236" s="539"/>
      <c r="C236" s="595">
        <v>0</v>
      </c>
      <c r="D236" s="605" t="s">
        <v>672</v>
      </c>
      <c r="E236" s="503"/>
      <c r="F236" s="495"/>
      <c r="G236" s="495"/>
      <c r="H236" s="495"/>
      <c r="I236" s="495"/>
      <c r="J236" s="495"/>
      <c r="K236" s="544"/>
      <c r="L236" s="516">
        <f>C236</f>
        <v>0</v>
      </c>
      <c r="M236" s="379"/>
      <c r="N236" s="390"/>
      <c r="O236" s="390"/>
    </row>
    <row r="237" spans="1:15" ht="14.25" x14ac:dyDescent="0.25">
      <c r="A237" s="519"/>
      <c r="B237" s="520"/>
      <c r="C237" s="701"/>
      <c r="D237" s="520"/>
      <c r="E237" s="519"/>
      <c r="F237" s="521"/>
      <c r="G237" s="521"/>
      <c r="H237" s="521" t="s">
        <v>534</v>
      </c>
      <c r="I237" s="520"/>
      <c r="J237" s="523" t="s">
        <v>747</v>
      </c>
      <c r="K237" s="549"/>
      <c r="L237" s="525">
        <f>C236</f>
        <v>0</v>
      </c>
      <c r="M237" s="379"/>
      <c r="N237" s="390"/>
      <c r="O237" s="390"/>
    </row>
    <row r="238" spans="1:15" x14ac:dyDescent="0.2">
      <c r="A238" s="390"/>
      <c r="B238" s="390"/>
      <c r="C238" s="390"/>
      <c r="D238" s="390"/>
      <c r="E238" s="390"/>
      <c r="F238" s="376"/>
      <c r="G238" s="376"/>
      <c r="H238" s="376"/>
      <c r="I238" s="390"/>
      <c r="J238" s="550"/>
      <c r="K238" s="551"/>
      <c r="L238" s="604"/>
      <c r="M238" s="379"/>
      <c r="N238" s="390"/>
      <c r="O238" s="390"/>
    </row>
    <row r="239" spans="1:15" x14ac:dyDescent="0.2">
      <c r="A239" s="390"/>
      <c r="B239" s="390"/>
      <c r="C239" s="390"/>
      <c r="D239" s="390"/>
      <c r="E239" s="390"/>
      <c r="F239" s="376"/>
      <c r="G239" s="376"/>
      <c r="H239" s="376"/>
      <c r="I239" s="390"/>
      <c r="J239" s="550"/>
      <c r="K239" s="551"/>
      <c r="L239" s="604"/>
      <c r="M239" s="379"/>
      <c r="N239" s="390"/>
      <c r="O239" s="390"/>
    </row>
    <row r="240" spans="1:15" ht="18.75" x14ac:dyDescent="0.35">
      <c r="A240" s="530" t="s">
        <v>169</v>
      </c>
      <c r="B240" s="598"/>
      <c r="C240" s="599"/>
      <c r="D240" s="531"/>
      <c r="E240" s="600"/>
      <c r="F240" s="531"/>
      <c r="G240" s="531"/>
      <c r="H240" s="531"/>
      <c r="I240" s="531"/>
      <c r="J240" s="531"/>
      <c r="K240" s="531"/>
      <c r="L240" s="601"/>
      <c r="M240" s="379"/>
      <c r="N240" s="390"/>
      <c r="O240" s="390"/>
    </row>
    <row r="241" spans="1:15" ht="15.75" x14ac:dyDescent="0.25">
      <c r="A241" s="602"/>
      <c r="B241" s="416" t="s">
        <v>167</v>
      </c>
      <c r="C241" s="492"/>
      <c r="D241" s="495"/>
      <c r="E241" s="503"/>
      <c r="F241" s="495"/>
      <c r="G241" s="495"/>
      <c r="H241" s="495"/>
      <c r="I241" s="492" t="s">
        <v>746</v>
      </c>
      <c r="J241" s="514"/>
      <c r="K241" s="514"/>
      <c r="L241" s="537"/>
      <c r="M241" s="379"/>
      <c r="N241" s="390"/>
      <c r="O241" s="390"/>
    </row>
    <row r="242" spans="1:15" ht="15.75" x14ac:dyDescent="0.3">
      <c r="A242" s="503"/>
      <c r="B242" s="539"/>
      <c r="C242" s="595">
        <v>0</v>
      </c>
      <c r="D242" s="605" t="s">
        <v>672</v>
      </c>
      <c r="E242" s="503"/>
      <c r="F242" s="495"/>
      <c r="G242" s="495"/>
      <c r="H242" s="495"/>
      <c r="I242" s="495"/>
      <c r="J242" s="495"/>
      <c r="K242" s="544"/>
      <c r="L242" s="516">
        <f>C242</f>
        <v>0</v>
      </c>
      <c r="M242" s="379"/>
      <c r="N242" s="390"/>
      <c r="O242" s="390"/>
    </row>
    <row r="243" spans="1:15" ht="14.25" x14ac:dyDescent="0.25">
      <c r="A243" s="519"/>
      <c r="B243" s="520"/>
      <c r="C243" s="520"/>
      <c r="D243" s="520"/>
      <c r="E243" s="519"/>
      <c r="F243" s="521"/>
      <c r="G243" s="521"/>
      <c r="H243" s="521" t="s">
        <v>534</v>
      </c>
      <c r="I243" s="520"/>
      <c r="J243" s="523" t="s">
        <v>747</v>
      </c>
      <c r="K243" s="549"/>
      <c r="L243" s="525">
        <f>C242</f>
        <v>0</v>
      </c>
      <c r="M243" s="379"/>
      <c r="N243" s="390"/>
      <c r="O243" s="390"/>
    </row>
    <row r="244" spans="1:15" x14ac:dyDescent="0.2">
      <c r="A244" s="390"/>
      <c r="B244" s="390"/>
      <c r="C244" s="390"/>
      <c r="D244" s="390"/>
      <c r="E244" s="390"/>
      <c r="F244" s="376"/>
      <c r="G244" s="376"/>
      <c r="H244" s="376"/>
      <c r="I244" s="390"/>
      <c r="J244" s="550"/>
      <c r="K244" s="551"/>
      <c r="L244" s="604"/>
      <c r="M244" s="379"/>
      <c r="N244" s="390"/>
      <c r="O244" s="390"/>
    </row>
    <row r="245" spans="1:15" x14ac:dyDescent="0.2">
      <c r="A245" s="390"/>
      <c r="B245" s="390"/>
      <c r="C245" s="390"/>
      <c r="D245" s="390"/>
      <c r="E245" s="390"/>
      <c r="F245" s="376"/>
      <c r="G245" s="376"/>
      <c r="H245" s="376"/>
      <c r="I245" s="390"/>
      <c r="J245" s="550"/>
      <c r="K245" s="551"/>
      <c r="L245" s="604"/>
      <c r="M245" s="379"/>
      <c r="N245" s="390"/>
      <c r="O245" s="390"/>
    </row>
    <row r="246" spans="1:15" ht="15.75" x14ac:dyDescent="0.25">
      <c r="A246" s="530" t="s">
        <v>457</v>
      </c>
      <c r="B246" s="531"/>
      <c r="C246" s="531"/>
      <c r="D246" s="531"/>
      <c r="E246" s="532"/>
      <c r="F246" s="606"/>
      <c r="G246" s="606"/>
      <c r="H246" s="606"/>
      <c r="I246" s="607"/>
      <c r="J246" s="608"/>
      <c r="K246" s="607"/>
      <c r="L246" s="609"/>
      <c r="M246" s="379"/>
      <c r="N246" s="390"/>
      <c r="O246" s="390"/>
    </row>
    <row r="247" spans="1:15" ht="15.75" x14ac:dyDescent="0.25">
      <c r="A247" s="610"/>
      <c r="B247" s="611"/>
      <c r="C247" s="611"/>
      <c r="D247" s="611"/>
      <c r="E247" s="612"/>
      <c r="F247" s="613"/>
      <c r="G247" s="613"/>
      <c r="H247" s="613"/>
      <c r="I247" s="613"/>
      <c r="J247" s="613"/>
      <c r="K247" s="613"/>
      <c r="L247" s="614"/>
      <c r="M247" s="379"/>
      <c r="N247" s="390"/>
      <c r="O247" s="390"/>
    </row>
    <row r="248" spans="1:15" ht="15.75" x14ac:dyDescent="0.3">
      <c r="A248" s="503"/>
      <c r="B248" s="495"/>
      <c r="C248" s="495"/>
      <c r="D248" s="546" t="s">
        <v>300</v>
      </c>
      <c r="E248" s="702">
        <f>E27*C52*C63*C74*C104*C115*C135*C146*C180*C192</f>
        <v>36019.280872492192</v>
      </c>
      <c r="F248" s="499" t="s">
        <v>655</v>
      </c>
      <c r="G248" s="499"/>
      <c r="H248" s="495"/>
      <c r="I248" s="495"/>
      <c r="J248" s="495"/>
      <c r="K248" s="495"/>
      <c r="L248" s="616"/>
      <c r="M248" s="379"/>
      <c r="N248" s="390"/>
      <c r="O248" s="390"/>
    </row>
    <row r="249" spans="1:15" ht="15.75" x14ac:dyDescent="0.3">
      <c r="A249" s="503"/>
      <c r="B249" s="495"/>
      <c r="C249" s="495"/>
      <c r="D249" s="546" t="s">
        <v>299</v>
      </c>
      <c r="E249" s="615">
        <f>E248/E27</f>
        <v>0.62129631134590779</v>
      </c>
      <c r="F249" s="495" t="s">
        <v>712</v>
      </c>
      <c r="G249" s="495"/>
      <c r="H249" s="495"/>
      <c r="I249" s="544"/>
      <c r="J249" s="495"/>
      <c r="K249" s="495"/>
      <c r="L249" s="616"/>
      <c r="M249" s="379"/>
      <c r="N249" s="390"/>
      <c r="O249" s="390"/>
    </row>
    <row r="250" spans="1:15" x14ac:dyDescent="0.2">
      <c r="A250" s="503"/>
      <c r="B250" s="495"/>
      <c r="C250" s="495"/>
      <c r="D250" s="495"/>
      <c r="E250" s="495"/>
      <c r="F250" s="617"/>
      <c r="G250" s="617"/>
      <c r="H250" s="495"/>
      <c r="I250" s="544"/>
      <c r="J250" s="495"/>
      <c r="K250" s="495"/>
      <c r="L250" s="616"/>
      <c r="M250" s="379"/>
      <c r="N250" s="390"/>
      <c r="O250" s="390"/>
    </row>
    <row r="251" spans="1:15" x14ac:dyDescent="0.2">
      <c r="A251" s="503"/>
      <c r="B251" s="495"/>
      <c r="C251" s="495"/>
      <c r="D251" s="495"/>
      <c r="E251" s="495"/>
      <c r="F251" s="617"/>
      <c r="G251" s="617"/>
      <c r="H251" s="495"/>
      <c r="I251" s="495"/>
      <c r="J251" s="495"/>
      <c r="K251" s="495"/>
      <c r="L251" s="616"/>
      <c r="M251" s="379"/>
      <c r="N251" s="390"/>
      <c r="O251" s="390"/>
    </row>
    <row r="252" spans="1:15" ht="14.25" x14ac:dyDescent="0.25">
      <c r="A252" s="703"/>
      <c r="B252" s="404"/>
      <c r="C252" s="404"/>
      <c r="D252" s="404"/>
      <c r="E252" s="704" t="s">
        <v>1059</v>
      </c>
      <c r="F252" s="705"/>
      <c r="G252" s="705"/>
      <c r="H252" s="423"/>
      <c r="I252" s="404"/>
      <c r="J252" s="704" t="s">
        <v>747</v>
      </c>
      <c r="K252" s="423"/>
      <c r="L252" s="706">
        <f>L48+L59+L69+L91+L110+L131+L141+L167+L188+L200+L217-L231-L237-L243</f>
        <v>54.364982869696505</v>
      </c>
      <c r="M252" s="379"/>
      <c r="N252" s="390"/>
      <c r="O252" s="390"/>
    </row>
    <row r="253" spans="1:15" ht="14.25" x14ac:dyDescent="0.25">
      <c r="A253" s="707"/>
      <c r="B253" s="708"/>
      <c r="C253" s="709"/>
      <c r="D253" s="404"/>
      <c r="E253" s="704" t="s">
        <v>1060</v>
      </c>
      <c r="F253" s="404"/>
      <c r="G253" s="404"/>
      <c r="H253" s="404"/>
      <c r="I253" s="404"/>
      <c r="J253" s="704" t="s">
        <v>747</v>
      </c>
      <c r="K253" s="404"/>
      <c r="L253" s="710">
        <f>L176+L188+L200+(L212*J6*J9)+L215-L231-L237-L243</f>
        <v>40.790324916915338</v>
      </c>
      <c r="M253" s="379"/>
      <c r="N253" s="390"/>
      <c r="O253" s="390"/>
    </row>
    <row r="254" spans="1:15" x14ac:dyDescent="0.2">
      <c r="A254" s="703"/>
      <c r="B254" s="404"/>
      <c r="C254" s="404"/>
      <c r="D254" s="404"/>
      <c r="E254" s="404"/>
      <c r="F254" s="711"/>
      <c r="G254" s="711"/>
      <c r="H254" s="404"/>
      <c r="I254" s="404"/>
      <c r="J254" s="404"/>
      <c r="K254" s="404"/>
      <c r="L254" s="712"/>
      <c r="M254" s="379"/>
      <c r="N254" s="390"/>
      <c r="O254" s="390"/>
    </row>
    <row r="255" spans="1:15" x14ac:dyDescent="0.2">
      <c r="A255" s="519"/>
      <c r="B255" s="520"/>
      <c r="C255" s="520"/>
      <c r="D255" s="520"/>
      <c r="E255" s="713" t="s">
        <v>1061</v>
      </c>
      <c r="F255" s="632"/>
      <c r="G255" s="632"/>
      <c r="H255" s="632"/>
      <c r="I255" s="632"/>
      <c r="J255" s="632"/>
      <c r="K255" s="632"/>
      <c r="L255" s="633">
        <f>(83.8-L253)/83.8</f>
        <v>0.51324194609886231</v>
      </c>
      <c r="M255" s="379"/>
      <c r="N255" s="390"/>
      <c r="O255" s="390"/>
    </row>
    <row r="256" spans="1:15" x14ac:dyDescent="0.2">
      <c r="M256" s="361"/>
    </row>
    <row r="257" spans="5:14" x14ac:dyDescent="0.2">
      <c r="E257" s="634"/>
      <c r="F257" s="634"/>
      <c r="G257" s="634"/>
      <c r="H257" s="635"/>
      <c r="I257" s="634"/>
      <c r="J257" s="634"/>
      <c r="K257" s="634"/>
      <c r="L257" s="636"/>
      <c r="M257" s="361"/>
    </row>
    <row r="258" spans="5:14" x14ac:dyDescent="0.2">
      <c r="F258" s="634"/>
      <c r="G258" s="634"/>
      <c r="H258" s="634"/>
      <c r="I258" s="637"/>
      <c r="J258" s="634"/>
      <c r="K258" s="634"/>
      <c r="L258" s="638"/>
      <c r="M258" s="639"/>
      <c r="N258" s="361"/>
    </row>
    <row r="259" spans="5:14" x14ac:dyDescent="0.2">
      <c r="F259" s="634"/>
      <c r="G259" s="634"/>
      <c r="H259" s="634"/>
      <c r="I259" s="637"/>
      <c r="J259" s="634"/>
      <c r="K259" s="634"/>
      <c r="L259" s="638"/>
      <c r="M259" s="639"/>
      <c r="N259" s="361"/>
    </row>
    <row r="260" spans="5:14" ht="15.75" x14ac:dyDescent="0.25">
      <c r="F260" s="640"/>
      <c r="G260" s="640"/>
      <c r="H260" s="634"/>
      <c r="I260" s="634"/>
      <c r="J260" s="634"/>
      <c r="K260" s="634"/>
      <c r="L260" s="634"/>
      <c r="M260" s="634"/>
      <c r="N260" s="361"/>
    </row>
    <row r="261" spans="5:14" x14ac:dyDescent="0.2">
      <c r="F261" s="634"/>
      <c r="G261" s="634"/>
      <c r="H261" s="637"/>
      <c r="I261" s="634"/>
      <c r="J261" s="634"/>
      <c r="K261" s="634"/>
      <c r="L261" s="634"/>
      <c r="M261" s="634"/>
      <c r="N261" s="634"/>
    </row>
    <row r="262" spans="5:14" x14ac:dyDescent="0.2">
      <c r="F262" s="637"/>
      <c r="G262" s="637"/>
      <c r="H262" s="634"/>
      <c r="I262" s="641"/>
      <c r="J262" s="634"/>
      <c r="K262" s="634"/>
      <c r="L262" s="634"/>
      <c r="M262" s="634"/>
      <c r="N262" s="634"/>
    </row>
    <row r="263" spans="5:14" x14ac:dyDescent="0.2">
      <c r="F263" s="637"/>
      <c r="G263" s="637"/>
      <c r="H263" s="634"/>
      <c r="I263" s="641"/>
      <c r="J263" s="634"/>
      <c r="K263" s="634"/>
      <c r="L263" s="634"/>
      <c r="M263" s="634"/>
      <c r="N263" s="634"/>
    </row>
    <row r="264" spans="5:14" x14ac:dyDescent="0.2">
      <c r="F264" s="634"/>
      <c r="G264" s="634"/>
      <c r="H264" s="639"/>
      <c r="I264" s="634"/>
      <c r="J264" s="634"/>
      <c r="K264" s="634"/>
      <c r="L264" s="634"/>
      <c r="M264" s="634"/>
      <c r="N264" s="634"/>
    </row>
    <row r="265" spans="5:14" x14ac:dyDescent="0.2">
      <c r="F265" s="634"/>
      <c r="G265" s="634"/>
      <c r="H265" s="634"/>
      <c r="I265" s="634"/>
      <c r="J265" s="634"/>
      <c r="K265" s="634"/>
      <c r="L265" s="634"/>
      <c r="M265" s="634"/>
      <c r="N265" s="634"/>
    </row>
    <row r="266" spans="5:14" x14ac:dyDescent="0.2">
      <c r="F266" s="634"/>
      <c r="G266" s="634"/>
      <c r="H266" s="634"/>
      <c r="I266" s="634"/>
      <c r="J266" s="634"/>
      <c r="K266" s="634"/>
      <c r="L266" s="634"/>
      <c r="M266" s="634"/>
      <c r="N266" s="634"/>
    </row>
    <row r="267" spans="5:14" x14ac:dyDescent="0.2">
      <c r="F267" s="634"/>
      <c r="G267" s="634"/>
      <c r="H267" s="634"/>
      <c r="I267" s="634"/>
      <c r="J267" s="634"/>
      <c r="K267" s="634"/>
      <c r="L267" s="634"/>
      <c r="M267" s="634"/>
      <c r="N267" s="634"/>
    </row>
    <row r="268" spans="5:14" x14ac:dyDescent="0.2">
      <c r="F268" s="634"/>
      <c r="G268" s="634"/>
      <c r="H268" s="634"/>
      <c r="I268" s="634"/>
      <c r="J268" s="634"/>
      <c r="K268" s="634"/>
      <c r="L268" s="634"/>
      <c r="M268" s="634"/>
      <c r="N268" s="634"/>
    </row>
    <row r="269" spans="5:14" x14ac:dyDescent="0.2">
      <c r="F269" s="634"/>
      <c r="G269" s="634"/>
      <c r="H269" s="634"/>
      <c r="I269" s="634"/>
      <c r="J269" s="634"/>
      <c r="K269" s="634"/>
      <c r="L269" s="634"/>
      <c r="M269" s="634"/>
      <c r="N269" s="634"/>
    </row>
    <row r="270" spans="5:14" x14ac:dyDescent="0.2">
      <c r="F270" s="634"/>
      <c r="G270" s="634"/>
      <c r="H270" s="634"/>
      <c r="I270" s="634"/>
      <c r="J270" s="634"/>
      <c r="K270" s="634"/>
      <c r="L270" s="634"/>
      <c r="M270" s="634"/>
      <c r="N270" s="634"/>
    </row>
    <row r="271" spans="5:14" x14ac:dyDescent="0.2">
      <c r="F271" s="634"/>
      <c r="G271" s="634"/>
      <c r="H271" s="634"/>
      <c r="I271" s="634"/>
      <c r="J271" s="634"/>
      <c r="K271" s="634"/>
      <c r="L271" s="634"/>
      <c r="M271" s="634"/>
      <c r="N271" s="634"/>
    </row>
    <row r="272" spans="5:14" x14ac:dyDescent="0.2">
      <c r="F272" s="634"/>
      <c r="G272" s="634"/>
      <c r="H272" s="634"/>
      <c r="I272" s="634"/>
      <c r="J272" s="634"/>
      <c r="K272" s="634"/>
      <c r="L272" s="634"/>
      <c r="M272" s="634"/>
      <c r="N272" s="634"/>
    </row>
    <row r="273" spans="6:14" x14ac:dyDescent="0.2">
      <c r="F273" s="634"/>
      <c r="G273" s="634"/>
      <c r="H273" s="634"/>
      <c r="I273" s="634"/>
      <c r="J273" s="634"/>
      <c r="K273" s="634"/>
      <c r="L273" s="634"/>
      <c r="M273" s="634"/>
      <c r="N273" s="634"/>
    </row>
    <row r="274" spans="6:14" x14ac:dyDescent="0.2">
      <c r="F274" s="634"/>
      <c r="G274" s="634"/>
      <c r="H274" s="634"/>
      <c r="I274" s="634"/>
      <c r="J274" s="634"/>
      <c r="K274" s="634"/>
      <c r="L274" s="634"/>
      <c r="M274" s="634"/>
      <c r="N274" s="634"/>
    </row>
    <row r="275" spans="6:14" x14ac:dyDescent="0.2">
      <c r="F275" s="634"/>
      <c r="G275" s="634"/>
      <c r="H275" s="634"/>
      <c r="I275" s="634"/>
      <c r="J275" s="634"/>
      <c r="K275" s="634"/>
      <c r="L275" s="634"/>
      <c r="M275" s="634"/>
      <c r="N275" s="634"/>
    </row>
    <row r="276" spans="6:14" x14ac:dyDescent="0.2">
      <c r="F276" s="634"/>
      <c r="G276" s="634"/>
      <c r="H276" s="634"/>
      <c r="I276" s="634"/>
      <c r="J276" s="634"/>
      <c r="K276" s="634"/>
      <c r="L276" s="634"/>
      <c r="M276" s="634"/>
      <c r="N276" s="634"/>
    </row>
  </sheetData>
  <sheetProtection insertColumns="0" insertRows="0" deleteColumns="0" deleteRows="0"/>
  <customSheetViews>
    <customSheetView guid="{AD88818B-9F97-4B1E-9426-0DECE603685E}" scale="80" showGridLines="0" fitToPage="1" showRuler="0">
      <pane ySplit="21" topLeftCell="A22" activePane="bottomLeft" state="frozen"/>
      <selection pane="bottomLeft" activeCell="E3" sqref="E3"/>
      <pageMargins left="0.75" right="0.75" top="1" bottom="1" header="0.5" footer="0.5"/>
      <pageSetup paperSize="8" fitToHeight="0" orientation="landscape"/>
      <headerFooter alignWithMargins="0">
        <oddFooter>&amp;L&amp;8&amp;F&amp;C&amp;8&amp;A&amp;R&amp;8page&amp;P</oddFooter>
      </headerFooter>
    </customSheetView>
    <customSheetView guid="{7EB5D807-CE20-46E2-AEE6-2C193E010EA4}" scale="80" showGridLines="0" fitToPage="1" showRuler="0">
      <pane ySplit="21" topLeftCell="A22" activePane="bottomLeft" state="frozen"/>
      <selection pane="bottomLeft" activeCell="E3" sqref="E3"/>
      <pageMargins left="0.75" right="0.75" top="1" bottom="1" header="0.5" footer="0.5"/>
      <pageSetup paperSize="8" fitToHeight="0" orientation="landscape"/>
      <headerFooter alignWithMargins="0">
        <oddFooter>&amp;L&amp;8&amp;F&amp;C&amp;8&amp;A&amp;R&amp;8page&amp;P</oddFooter>
      </headerFooter>
    </customSheetView>
  </customSheetViews>
  <mergeCells count="6">
    <mergeCell ref="F222:L223"/>
    <mergeCell ref="F224:L225"/>
    <mergeCell ref="H11:H12"/>
    <mergeCell ref="O11:O12"/>
    <mergeCell ref="F205:L206"/>
    <mergeCell ref="F207:L208"/>
  </mergeCells>
  <phoneticPr fontId="0" type="noConversion"/>
  <conditionalFormatting sqref="O9:O23">
    <cfRule type="cellIs" dxfId="75" priority="3" stopIfTrue="1" operator="notBetween">
      <formula>-0.05</formula>
      <formula>0.05</formula>
    </cfRule>
  </conditionalFormatting>
  <conditionalFormatting sqref="E19">
    <cfRule type="expression" dxfId="74" priority="5" stopIfTrue="1">
      <formula>($E19="Combined result of previous calculation")</formula>
    </cfRule>
  </conditionalFormatting>
  <conditionalFormatting sqref="A19:D19 F19:G19">
    <cfRule type="expression" dxfId="73" priority="6" stopIfTrue="1">
      <formula>($E19="Combined result of previous calculation")</formula>
    </cfRule>
  </conditionalFormatting>
  <conditionalFormatting sqref="A10:G10 A7:G8 A14:G14">
    <cfRule type="expression" dxfId="72" priority="7" stopIfTrue="1">
      <formula>($E7&lt;&gt;"")</formula>
    </cfRule>
  </conditionalFormatting>
  <conditionalFormatting sqref="A20:D20 F20:G20">
    <cfRule type="expression" dxfId="71" priority="8" stopIfTrue="1">
      <formula>($E20="Esca included in combined result of previous calculation")</formula>
    </cfRule>
  </conditionalFormatting>
  <conditionalFormatting sqref="E20">
    <cfRule type="expression" dxfId="70" priority="9" stopIfTrue="1">
      <formula>($E20="Esca included in combined result of previous calculation")</formula>
    </cfRule>
  </conditionalFormatting>
  <conditionalFormatting sqref="A15:G15">
    <cfRule type="expression" dxfId="69" priority="2" stopIfTrue="1">
      <formula>($E15&lt;&gt;"")</formula>
    </cfRule>
  </conditionalFormatting>
  <conditionalFormatting sqref="A16:G16">
    <cfRule type="expression" dxfId="68" priority="1" stopIfTrue="1">
      <formula>($E16&lt;&gt;"")</formula>
    </cfRule>
  </conditionalFormatting>
  <dataValidations count="8">
    <dataValidation type="list" allowBlank="1" showInputMessage="1" showErrorMessage="1" sqref="F6 F9 F13" xr:uid="{00000000-0002-0000-1200-000000000000}">
      <formula1>"A,D"</formula1>
    </dataValidation>
    <dataValidation type="list" showDropDown="1" showInputMessage="1" showErrorMessage="1" errorTitle="Wrong input" error="Only values &quot;0&quot; and &quot;29&quot; are allowed_x000a_" sqref="C214" xr:uid="{00000000-0002-0000-1200-000001000000}">
      <formula1>"0,29"</formula1>
    </dataValidation>
    <dataValidation allowBlank="1" showInputMessage="1" showErrorMessage="1" promptTitle="Input value for manure" prompt="Use of manure will not lead to direct GHG emissions as the emission coeffient is 0 g CO2,eq/MJ._x000a_Use of manure will indirectly lead to GHG emissions. When using actual inputs, field N2O emissions must be calculated which increase due to use of manure." sqref="C36" xr:uid="{00000000-0002-0000-1200-000002000000}"/>
    <dataValidation type="list" allowBlank="1" showInputMessage="1" showErrorMessage="1" sqref="E19" xr:uid="{00000000-0002-0000-1200-000003000000}">
      <formula1>"- , Combined result of previous calculation"</formula1>
    </dataValidation>
    <dataValidation type="list" allowBlank="1" showInputMessage="1" showErrorMessage="1" sqref="E14:E16 E10 E7:E8" xr:uid="{00000000-0002-0000-1200-000004000000}">
      <formula1>"- ,Individual result of previous calculation, Combined result of previous calculation"</formula1>
    </dataValidation>
    <dataValidation type="list" allowBlank="1" showInputMessage="1" showErrorMessage="1" sqref="E20" xr:uid="{00000000-0002-0000-1200-000005000000}">
      <formula1>"- , Esca included in combined result of previous calculation"</formula1>
    </dataValidation>
    <dataValidation allowBlank="1" showInputMessage="1" showErrorMessage="1" promptTitle="Please note !" prompt="When changing the value in this cell, you must indicate in column E under &quot;overview results&quot; that you have used the result of a previous calculation. Please refer to paragraph 4.2 of the user manual for further instructions and examples." sqref="N46 N57 N66 N89" xr:uid="{00000000-0002-0000-1200-000006000000}"/>
    <dataValidation allowBlank="1" showInputMessage="1" showErrorMessage="1" promptTitle="Electricity mix" sqref="B187 B199 B56 B78 B85 B118 B125 B150 B157" xr:uid="{00000000-0002-0000-1200-000007000000}"/>
  </dataValidations>
  <hyperlinks>
    <hyperlink ref="O54" location="Menu!A6" display="Back to menu" xr:uid="{00000000-0004-0000-1200-000000000000}"/>
    <hyperlink ref="O65" location="Menu!A6" display="Back to menu" xr:uid="{00000000-0004-0000-1200-000001000000}"/>
    <hyperlink ref="O181" location="Menu!A6" display="Back to menu" xr:uid="{00000000-0004-0000-1200-000002000000}"/>
    <hyperlink ref="O53" location="Menu!A6" display="Back to menu" xr:uid="{00000000-0004-0000-1200-000003000000}"/>
    <hyperlink ref="O64" location="Menu!A6" display="Back to menu" xr:uid="{00000000-0004-0000-1200-000004000000}"/>
    <hyperlink ref="O180" location="Menu!A6" display="Back to menu" xr:uid="{00000000-0004-0000-1200-000005000000}"/>
    <hyperlink ref="C225" location="Esca!A1" display="Esca!A1" xr:uid="{00000000-0004-0000-1200-000006000000}"/>
    <hyperlink ref="C208" location="LUC!A1" display="LUC!A1" xr:uid="{00000000-0004-0000-1200-000007000000}"/>
    <hyperlink ref="C47" location="'N2O emissions IPCC '!A1" display="N2O emissions IPCC" xr:uid="{00000000-0004-0000-1200-000008000000}"/>
  </hyperlinks>
  <pageMargins left="0.75" right="0.75" top="1" bottom="1" header="0.5" footer="0.5"/>
  <pageSetup paperSize="8" fitToHeight="0" orientation="landscape"/>
  <headerFooter alignWithMargins="0">
    <oddFooter>&amp;L&amp;8&amp;F&amp;C&amp;8&amp;A&amp;R&amp;8page&amp;P</oddFooter>
  </headerFooter>
  <drawing r:id="rId1"/>
  <legacyDrawing r:id="rId2"/>
  <controls>
    <mc:AlternateContent xmlns:mc="http://schemas.openxmlformats.org/markup-compatibility/2006">
      <mc:Choice Requires="x14">
        <control shapeId="26628" r:id="rId3" name="CheckBox2">
          <controlPr autoLine="0" linkedCell="About!N86" r:id="rId4">
            <anchor moveWithCells="1">
              <from>
                <xdr:col>9</xdr:col>
                <xdr:colOff>38100</xdr:colOff>
                <xdr:row>18</xdr:row>
                <xdr:rowOff>47625</xdr:rowOff>
              </from>
              <to>
                <xdr:col>13</xdr:col>
                <xdr:colOff>885825</xdr:colOff>
                <xdr:row>20</xdr:row>
                <xdr:rowOff>85725</xdr:rowOff>
              </to>
            </anchor>
          </controlPr>
        </control>
      </mc:Choice>
      <mc:Fallback>
        <control shapeId="26628" r:id="rId3" name="CheckBox2"/>
      </mc:Fallback>
    </mc:AlternateContent>
    <mc:AlternateContent xmlns:mc="http://schemas.openxmlformats.org/markup-compatibility/2006">
      <mc:Choice Requires="x14">
        <control shapeId="26629" r:id="rId5" name="CheckBox1">
          <controlPr autoLine="0" linkedCell="About!N88" r:id="rId6">
            <anchor moveWithCells="1">
              <from>
                <xdr:col>9</xdr:col>
                <xdr:colOff>38100</xdr:colOff>
                <xdr:row>16</xdr:row>
                <xdr:rowOff>0</xdr:rowOff>
              </from>
              <to>
                <xdr:col>13</xdr:col>
                <xdr:colOff>866775</xdr:colOff>
                <xdr:row>18</xdr:row>
                <xdr:rowOff>171450</xdr:rowOff>
              </to>
            </anchor>
          </controlPr>
        </control>
      </mc:Choice>
      <mc:Fallback>
        <control shapeId="26629" r:id="rId5" name="CheckBox1"/>
      </mc:Fallback>
    </mc:AlternateContent>
    <mc:AlternateContent xmlns:mc="http://schemas.openxmlformats.org/markup-compatibility/2006">
      <mc:Choice Requires="x14">
        <control shapeId="26662" r:id="rId7" name="ComboBox1">
          <controlPr locked="0" defaultSize="0" autoLine="0" linkedCell="D207" listFillRange="D205:D206" r:id="rId8">
            <anchor moveWithCells="1">
              <from>
                <xdr:col>2</xdr:col>
                <xdr:colOff>0</xdr:colOff>
                <xdr:row>205</xdr:row>
                <xdr:rowOff>0</xdr:rowOff>
              </from>
              <to>
                <xdr:col>3</xdr:col>
                <xdr:colOff>38100</xdr:colOff>
                <xdr:row>206</xdr:row>
                <xdr:rowOff>38100</xdr:rowOff>
              </to>
            </anchor>
          </controlPr>
        </control>
      </mc:Choice>
      <mc:Fallback>
        <control shapeId="26662" r:id="rId7" name="ComboBox1"/>
      </mc:Fallback>
    </mc:AlternateContent>
    <mc:AlternateContent xmlns:mc="http://schemas.openxmlformats.org/markup-compatibility/2006">
      <mc:Choice Requires="x14">
        <control shapeId="26900" r:id="rId9" name="ComboBox2">
          <controlPr locked="0" defaultSize="0" autoLine="0" linkedCell="D224" listFillRange="D222:D223" r:id="rId10">
            <anchor moveWithCells="1">
              <from>
                <xdr:col>1</xdr:col>
                <xdr:colOff>1714500</xdr:colOff>
                <xdr:row>221</xdr:row>
                <xdr:rowOff>190500</xdr:rowOff>
              </from>
              <to>
                <xdr:col>3</xdr:col>
                <xdr:colOff>0</xdr:colOff>
                <xdr:row>223</xdr:row>
                <xdr:rowOff>0</xdr:rowOff>
              </to>
            </anchor>
          </controlPr>
        </control>
      </mc:Choice>
      <mc:Fallback>
        <control shapeId="26900" r:id="rId9" name="ComboBox2"/>
      </mc:Fallback>
    </mc:AlternateContent>
    <mc:AlternateContent xmlns:mc="http://schemas.openxmlformats.org/markup-compatibility/2006">
      <mc:Choice Requires="x14">
        <control shapeId="27228" r:id="rId11" name="cmdTrackChanges">
          <controlPr defaultSize="0" autoLine="0" r:id="rId12">
            <anchor moveWithCells="1">
              <from>
                <xdr:col>1</xdr:col>
                <xdr:colOff>1371600</xdr:colOff>
                <xdr:row>22</xdr:row>
                <xdr:rowOff>104775</xdr:rowOff>
              </from>
              <to>
                <xdr:col>3</xdr:col>
                <xdr:colOff>542925</xdr:colOff>
                <xdr:row>23</xdr:row>
                <xdr:rowOff>228600</xdr:rowOff>
              </to>
            </anchor>
          </controlPr>
        </control>
      </mc:Choice>
      <mc:Fallback>
        <control shapeId="27228" r:id="rId11" name="cmdTrackChanges"/>
      </mc:Fallback>
    </mc:AlternateContent>
    <mc:AlternateContent xmlns:mc="http://schemas.openxmlformats.org/markup-compatibility/2006">
      <mc:Choice Requires="x14">
        <control shapeId="27300" r:id="rId13" name="Label 676">
          <controlPr defaultSize="0" autoFill="0" autoLine="0" autoPict="0" macro="[0]!GoToAbout">
            <anchor moveWithCells="1" sizeWithCells="1">
              <from>
                <xdr:col>10</xdr:col>
                <xdr:colOff>438150</xdr:colOff>
                <xdr:row>0</xdr:row>
                <xdr:rowOff>800100</xdr:rowOff>
              </from>
              <to>
                <xdr:col>12</xdr:col>
                <xdr:colOff>85725</xdr:colOff>
                <xdr:row>1</xdr:row>
                <xdr:rowOff>0</xdr:rowOff>
              </to>
            </anchor>
          </controlPr>
        </control>
      </mc:Choice>
    </mc:AlternateContent>
    <mc:AlternateContent xmlns:mc="http://schemas.openxmlformats.org/markup-compatibility/2006">
      <mc:Choice Requires="x14">
        <control shapeId="27301" r:id="rId14" name="Label 677">
          <controlPr defaultSize="0" autoFill="0" autoLine="0" autoPict="0" macro="[0]!GoToDirectory">
            <anchor moveWithCells="1" sizeWithCells="1">
              <from>
                <xdr:col>12</xdr:col>
                <xdr:colOff>161925</xdr:colOff>
                <xdr:row>0</xdr:row>
                <xdr:rowOff>800100</xdr:rowOff>
              </from>
              <to>
                <xdr:col>13</xdr:col>
                <xdr:colOff>990600</xdr:colOff>
                <xdr:row>1</xdr:row>
                <xdr:rowOff>0</xdr:rowOff>
              </to>
            </anchor>
          </controlPr>
        </control>
      </mc:Choice>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F3">
    <pageSetUpPr fitToPage="1"/>
  </sheetPr>
  <dimension ref="A1:O266"/>
  <sheetViews>
    <sheetView showGridLines="0" zoomScale="80" workbookViewId="0">
      <selection activeCell="A2" sqref="A2"/>
    </sheetView>
  </sheetViews>
  <sheetFormatPr baseColWidth="10" defaultColWidth="8.85546875" defaultRowHeight="12.75" x14ac:dyDescent="0.2"/>
  <cols>
    <col min="1" max="1" width="22.5703125" style="360" customWidth="1"/>
    <col min="2" max="2" width="25.85546875" style="360" customWidth="1"/>
    <col min="3" max="3" width="9.7109375" style="360" customWidth="1"/>
    <col min="4" max="4" width="20.140625" style="360" customWidth="1"/>
    <col min="5" max="5" width="14.85546875" style="360" customWidth="1"/>
    <col min="6" max="6" width="8.5703125" style="360" customWidth="1"/>
    <col min="7" max="7" width="2.85546875" style="360" customWidth="1"/>
    <col min="8" max="8" width="19.5703125" style="360" customWidth="1"/>
    <col min="9" max="12" width="9.140625" style="360" customWidth="1"/>
    <col min="13" max="13" width="2.5703125" style="360" customWidth="1"/>
    <col min="14" max="14" width="16.7109375" style="360" customWidth="1"/>
    <col min="15" max="15" width="13.7109375" style="360" customWidth="1"/>
    <col min="16" max="16384" width="8.85546875" style="361"/>
  </cols>
  <sheetData>
    <row r="1" spans="1:15" ht="102" customHeight="1" x14ac:dyDescent="0.2"/>
    <row r="2" spans="1:15" ht="27.75" customHeight="1" x14ac:dyDescent="0.25">
      <c r="A2" s="362" t="s">
        <v>954</v>
      </c>
      <c r="B2" s="363"/>
      <c r="C2" s="364"/>
      <c r="D2" s="364"/>
      <c r="E2" s="364"/>
      <c r="F2" s="365"/>
      <c r="G2" s="365"/>
      <c r="H2" s="366"/>
      <c r="I2" s="367"/>
      <c r="J2" s="368"/>
      <c r="K2" s="369"/>
      <c r="L2" s="370"/>
      <c r="M2" s="367"/>
      <c r="N2" s="367"/>
      <c r="O2" s="371" t="str">
        <f>About!D2</f>
        <v>Version 4d for Testing</v>
      </c>
    </row>
    <row r="3" spans="1:15" ht="27.75" customHeight="1" x14ac:dyDescent="0.25">
      <c r="A3" s="372" t="s">
        <v>1050</v>
      </c>
      <c r="B3" s="373"/>
      <c r="C3" s="374"/>
      <c r="D3" s="374"/>
      <c r="E3" s="373"/>
      <c r="F3" s="373"/>
      <c r="G3" s="373"/>
      <c r="H3" s="375"/>
      <c r="I3" s="376"/>
      <c r="J3" s="377"/>
      <c r="K3" s="378"/>
      <c r="L3" s="377"/>
      <c r="M3" s="377"/>
      <c r="N3" s="379"/>
      <c r="O3" s="378"/>
    </row>
    <row r="4" spans="1:15" ht="16.5" customHeight="1" x14ac:dyDescent="0.25">
      <c r="A4" s="380" t="s">
        <v>861</v>
      </c>
      <c r="B4" s="381" t="s">
        <v>854</v>
      </c>
      <c r="C4" s="381" t="s">
        <v>1057</v>
      </c>
      <c r="D4" s="381" t="s">
        <v>852</v>
      </c>
      <c r="E4" s="382" t="s">
        <v>1047</v>
      </c>
      <c r="F4" s="383" t="s">
        <v>1125</v>
      </c>
      <c r="G4" s="384"/>
      <c r="H4" s="385" t="s">
        <v>869</v>
      </c>
      <c r="I4" s="386"/>
      <c r="J4" s="387" t="s">
        <v>1063</v>
      </c>
      <c r="K4" s="388"/>
      <c r="L4" s="389"/>
      <c r="M4" s="390"/>
      <c r="N4" s="387" t="s">
        <v>391</v>
      </c>
      <c r="O4" s="391"/>
    </row>
    <row r="5" spans="1:15" ht="16.5" customHeight="1" x14ac:dyDescent="0.25">
      <c r="A5" s="392" t="s">
        <v>862</v>
      </c>
      <c r="B5" s="393" t="s">
        <v>853</v>
      </c>
      <c r="C5" s="393" t="s">
        <v>1062</v>
      </c>
      <c r="D5" s="393" t="s">
        <v>853</v>
      </c>
      <c r="E5" s="394"/>
      <c r="F5" s="395" t="s">
        <v>1126</v>
      </c>
      <c r="G5" s="396"/>
      <c r="H5" s="397" t="s">
        <v>866</v>
      </c>
      <c r="I5" s="390"/>
      <c r="J5" s="398" t="str">
        <f>A62</f>
        <v>Extraction of oil</v>
      </c>
      <c r="K5" s="399"/>
      <c r="L5" s="400"/>
      <c r="M5" s="390"/>
      <c r="N5" s="398" t="s">
        <v>395</v>
      </c>
      <c r="O5" s="400"/>
    </row>
    <row r="6" spans="1:15" ht="16.5" customHeight="1" x14ac:dyDescent="0.35">
      <c r="A6" s="401" t="s">
        <v>170</v>
      </c>
      <c r="B6" s="402"/>
      <c r="C6" s="403"/>
      <c r="D6" s="404"/>
      <c r="E6" s="405">
        <f>IF(F6="A",D7,H6)</f>
        <v>18.594004397072148</v>
      </c>
      <c r="F6" s="406" t="s">
        <v>1127</v>
      </c>
      <c r="G6" s="407"/>
      <c r="H6" s="408">
        <v>19</v>
      </c>
      <c r="I6" s="390"/>
      <c r="J6" s="409">
        <f>F87/F89</f>
        <v>0.34404000000000001</v>
      </c>
      <c r="K6" s="410" t="s">
        <v>411</v>
      </c>
      <c r="L6" s="411"/>
      <c r="M6" s="390"/>
      <c r="N6" s="412">
        <v>83.8</v>
      </c>
      <c r="O6" s="413" t="s">
        <v>394</v>
      </c>
    </row>
    <row r="7" spans="1:15" ht="12" customHeight="1" x14ac:dyDescent="0.2">
      <c r="A7" s="398" t="str">
        <f>A24</f>
        <v>Cultivation of soybean</v>
      </c>
      <c r="B7" s="414">
        <f>L47</f>
        <v>56.50079084017932</v>
      </c>
      <c r="C7" s="415">
        <f>J6*J9</f>
        <v>0.32909281658849671</v>
      </c>
      <c r="D7" s="416">
        <f>C7*B7</f>
        <v>18.594004397072148</v>
      </c>
      <c r="E7" s="1215"/>
      <c r="F7" s="418"/>
      <c r="G7" s="418"/>
      <c r="H7" s="419">
        <v>18.559999999999999</v>
      </c>
      <c r="I7" s="390"/>
      <c r="J7" s="744">
        <f>1-J6</f>
        <v>0.65595999999999999</v>
      </c>
      <c r="K7" s="733" t="s">
        <v>412</v>
      </c>
      <c r="L7" s="411"/>
      <c r="M7" s="390"/>
      <c r="N7" s="398" t="s">
        <v>393</v>
      </c>
      <c r="O7" s="400"/>
    </row>
    <row r="8" spans="1:15" ht="16.5" customHeight="1" x14ac:dyDescent="0.35">
      <c r="A8" s="401" t="s">
        <v>544</v>
      </c>
      <c r="B8" s="423"/>
      <c r="C8" s="423"/>
      <c r="D8" s="424"/>
      <c r="E8" s="425">
        <f>IF(F8="A",D9+D10+D11, H8)</f>
        <v>25.494095185016576</v>
      </c>
      <c r="F8" s="406" t="s">
        <v>1127</v>
      </c>
      <c r="G8" s="407"/>
      <c r="H8" s="408">
        <v>26</v>
      </c>
      <c r="I8" s="390"/>
      <c r="J8" s="398" t="str">
        <f>A134</f>
        <v>Esterification</v>
      </c>
      <c r="K8" s="399"/>
      <c r="L8" s="400"/>
      <c r="M8" s="390"/>
      <c r="N8" s="426">
        <f>(N6-E21)/N6</f>
        <v>0.31760587404241963</v>
      </c>
      <c r="O8" s="427"/>
    </row>
    <row r="9" spans="1:15" ht="12" customHeight="1" x14ac:dyDescent="0.2">
      <c r="A9" s="398" t="str">
        <f>A62</f>
        <v>Extraction of oil</v>
      </c>
      <c r="B9" s="414">
        <f>L81</f>
        <v>23.196719671187385</v>
      </c>
      <c r="C9" s="415">
        <f>J6*J9</f>
        <v>0.32909281658849671</v>
      </c>
      <c r="D9" s="416">
        <f>C9*B9</f>
        <v>7.6338738122048433</v>
      </c>
      <c r="E9" s="1215"/>
      <c r="F9" s="418"/>
      <c r="G9" s="418"/>
      <c r="H9" s="419">
        <f>1.4*5.46</f>
        <v>7.6439999999999992</v>
      </c>
      <c r="I9" s="390"/>
      <c r="J9" s="409">
        <f>F163/F165</f>
        <v>0.95655393729943228</v>
      </c>
      <c r="K9" s="410" t="s">
        <v>662</v>
      </c>
      <c r="L9" s="411"/>
      <c r="M9" s="390"/>
      <c r="N9" s="390"/>
      <c r="O9" s="441"/>
    </row>
    <row r="10" spans="1:15" ht="12" customHeight="1" x14ac:dyDescent="0.2">
      <c r="A10" s="398" t="str">
        <f>A103</f>
        <v>Refining of vegetable oil</v>
      </c>
      <c r="B10" s="414">
        <f>L121</f>
        <v>1.0648296229465015</v>
      </c>
      <c r="C10" s="415">
        <f>J9</f>
        <v>0.95655393729943228</v>
      </c>
      <c r="D10" s="416">
        <f>C10*B10</f>
        <v>1.018566968382546</v>
      </c>
      <c r="E10" s="417"/>
      <c r="F10" s="418"/>
      <c r="G10" s="418"/>
      <c r="H10" s="1429">
        <f>1.4*12.77</f>
        <v>17.877999999999997</v>
      </c>
      <c r="I10" s="390"/>
      <c r="J10" s="420">
        <f>1-J9</f>
        <v>4.3446062700567722E-2</v>
      </c>
      <c r="K10" s="421" t="s">
        <v>317</v>
      </c>
      <c r="L10" s="422"/>
      <c r="M10" s="390"/>
      <c r="N10" s="390"/>
      <c r="O10" s="1428"/>
    </row>
    <row r="11" spans="1:15" ht="12" customHeight="1" x14ac:dyDescent="0.2">
      <c r="A11" s="398" t="str">
        <f>A134</f>
        <v>Esterification</v>
      </c>
      <c r="B11" s="414">
        <f>L157</f>
        <v>17.606591481894874</v>
      </c>
      <c r="C11" s="415">
        <f>J9</f>
        <v>0.95655393729943228</v>
      </c>
      <c r="D11" s="416">
        <f>C11*B11</f>
        <v>16.841654404429189</v>
      </c>
      <c r="E11" s="417"/>
      <c r="F11" s="418"/>
      <c r="G11" s="418"/>
      <c r="H11" s="1431"/>
      <c r="I11" s="390"/>
      <c r="J11" s="390"/>
      <c r="K11" s="390"/>
      <c r="L11" s="390"/>
      <c r="M11" s="390"/>
      <c r="N11" s="390"/>
      <c r="O11" s="1428"/>
    </row>
    <row r="12" spans="1:15" ht="16.5" customHeight="1" x14ac:dyDescent="0.35">
      <c r="A12" s="401" t="s">
        <v>545</v>
      </c>
      <c r="B12" s="423"/>
      <c r="C12" s="423"/>
      <c r="D12" s="424"/>
      <c r="E12" s="425">
        <f>IF(F12="A",D13+D14+D15+D16+D17, H12)</f>
        <v>13.096528173156505</v>
      </c>
      <c r="F12" s="406" t="s">
        <v>1127</v>
      </c>
      <c r="G12" s="407"/>
      <c r="H12" s="648">
        <v>13</v>
      </c>
      <c r="I12" s="390"/>
      <c r="J12" s="390"/>
      <c r="K12" s="390"/>
      <c r="L12" s="390"/>
      <c r="M12" s="390"/>
      <c r="N12" s="390"/>
      <c r="O12" s="430"/>
    </row>
    <row r="13" spans="1:15" ht="12" customHeight="1" x14ac:dyDescent="0.2">
      <c r="A13" s="398" t="str">
        <f>A50</f>
        <v>Transport of soybeans</v>
      </c>
      <c r="B13" s="414">
        <f>L59</f>
        <v>35.955789314727092</v>
      </c>
      <c r="C13" s="415">
        <f>J6*J9</f>
        <v>0.32909281658849671</v>
      </c>
      <c r="D13" s="416">
        <f t="shared" ref="D13:D20" si="0">C13*B13</f>
        <v>11.832791978246112</v>
      </c>
      <c r="E13" s="1215"/>
      <c r="F13" s="418"/>
      <c r="G13" s="418"/>
      <c r="H13" s="419">
        <f>2.88+8.93</f>
        <v>11.809999999999999</v>
      </c>
      <c r="I13" s="390"/>
      <c r="J13" s="390"/>
      <c r="K13" s="390"/>
      <c r="L13" s="390"/>
      <c r="M13" s="390"/>
      <c r="N13" s="390"/>
      <c r="O13" s="430"/>
    </row>
    <row r="14" spans="1:15" ht="12" customHeight="1" thickBot="1" x14ac:dyDescent="0.25">
      <c r="A14" s="398" t="str">
        <f>A93</f>
        <v>Transport of soybean oil</v>
      </c>
      <c r="B14" s="414">
        <f>L100</f>
        <v>0</v>
      </c>
      <c r="C14" s="415">
        <f>J9</f>
        <v>0.95655393729943228</v>
      </c>
      <c r="D14" s="416">
        <f t="shared" si="0"/>
        <v>0</v>
      </c>
      <c r="E14" s="1215"/>
      <c r="F14" s="418"/>
      <c r="G14" s="418"/>
      <c r="H14" s="419">
        <v>0</v>
      </c>
      <c r="I14" s="390"/>
      <c r="J14" s="390"/>
      <c r="K14" s="390"/>
      <c r="L14" s="390"/>
      <c r="M14" s="390"/>
      <c r="N14" s="390"/>
      <c r="O14" s="430"/>
    </row>
    <row r="15" spans="1:15" ht="12" customHeight="1" x14ac:dyDescent="0.2">
      <c r="A15" s="398" t="str">
        <f>A124</f>
        <v>Transport of refined oil</v>
      </c>
      <c r="B15" s="414">
        <f>L131</f>
        <v>0</v>
      </c>
      <c r="C15" s="415">
        <f>J9</f>
        <v>0.95655393729943228</v>
      </c>
      <c r="D15" s="416">
        <f t="shared" si="0"/>
        <v>0</v>
      </c>
      <c r="E15" s="1215"/>
      <c r="F15" s="418"/>
      <c r="G15" s="418"/>
      <c r="H15" s="419">
        <v>0</v>
      </c>
      <c r="I15" s="390"/>
      <c r="J15" s="432" t="s">
        <v>140</v>
      </c>
      <c r="K15" s="433"/>
      <c r="L15" s="433"/>
      <c r="M15" s="433"/>
      <c r="N15" s="434"/>
      <c r="O15" s="441"/>
    </row>
    <row r="16" spans="1:15" ht="12" customHeight="1" x14ac:dyDescent="0.2">
      <c r="A16" s="398" t="str">
        <f>A169</f>
        <v>Transport of FAME to depot</v>
      </c>
      <c r="B16" s="414">
        <f>L178</f>
        <v>0.46573714634408581</v>
      </c>
      <c r="C16" s="415">
        <v>1</v>
      </c>
      <c r="D16" s="416">
        <f t="shared" si="0"/>
        <v>0.46573714634408581</v>
      </c>
      <c r="E16" s="436"/>
      <c r="F16" s="437"/>
      <c r="G16" s="437"/>
      <c r="H16" s="419">
        <v>0.83</v>
      </c>
      <c r="I16" s="390"/>
      <c r="J16" s="438"/>
      <c r="K16" s="439"/>
      <c r="L16" s="439"/>
      <c r="M16" s="439"/>
      <c r="N16" s="440"/>
      <c r="O16" s="441"/>
    </row>
    <row r="17" spans="1:15" ht="12" customHeight="1" x14ac:dyDescent="0.2">
      <c r="A17" s="398" t="str">
        <f>A181</f>
        <v>Transport to filling station</v>
      </c>
      <c r="B17" s="414">
        <f>L190</f>
        <v>0.79799904856630799</v>
      </c>
      <c r="C17" s="415">
        <v>1</v>
      </c>
      <c r="D17" s="416">
        <f t="shared" si="0"/>
        <v>0.79799904856630799</v>
      </c>
      <c r="E17" s="436"/>
      <c r="F17" s="437"/>
      <c r="G17" s="437"/>
      <c r="H17" s="419">
        <f>0.44</f>
        <v>0.44</v>
      </c>
      <c r="I17" s="379"/>
      <c r="J17" s="438"/>
      <c r="K17" s="439"/>
      <c r="L17" s="439"/>
      <c r="M17" s="442"/>
      <c r="N17" s="443"/>
      <c r="O17" s="441"/>
    </row>
    <row r="18" spans="1:15" ht="17.25" customHeight="1" x14ac:dyDescent="0.35">
      <c r="A18" s="444" t="s">
        <v>551</v>
      </c>
      <c r="B18" s="445">
        <f>L202</f>
        <v>0</v>
      </c>
      <c r="C18" s="446">
        <f>J6*J9</f>
        <v>0.32909281658849671</v>
      </c>
      <c r="D18" s="445">
        <f t="shared" si="0"/>
        <v>0</v>
      </c>
      <c r="E18" s="425">
        <f>D18</f>
        <v>0</v>
      </c>
      <c r="F18" s="451"/>
      <c r="G18" s="451"/>
      <c r="H18" s="447">
        <v>0</v>
      </c>
      <c r="I18" s="379"/>
      <c r="J18" s="438"/>
      <c r="K18" s="439"/>
      <c r="L18" s="439"/>
      <c r="M18" s="448"/>
      <c r="N18" s="449"/>
      <c r="O18" s="649"/>
    </row>
    <row r="19" spans="1:15" ht="16.5" customHeight="1" x14ac:dyDescent="0.35">
      <c r="A19" s="444" t="s">
        <v>724</v>
      </c>
      <c r="B19" s="445">
        <f>L221-L205</f>
        <v>0</v>
      </c>
      <c r="C19" s="446">
        <v>1</v>
      </c>
      <c r="D19" s="445">
        <f t="shared" si="0"/>
        <v>0</v>
      </c>
      <c r="E19" s="425">
        <f>D19</f>
        <v>0</v>
      </c>
      <c r="F19" s="451"/>
      <c r="G19" s="451"/>
      <c r="H19" s="447">
        <v>0</v>
      </c>
      <c r="I19" s="361"/>
      <c r="J19" s="438"/>
      <c r="K19" s="439"/>
      <c r="L19" s="439"/>
      <c r="M19" s="448"/>
      <c r="N19" s="449"/>
      <c r="O19" s="649"/>
    </row>
    <row r="20" spans="1:15" ht="16.5" customHeight="1" thickBot="1" x14ac:dyDescent="0.4">
      <c r="A20" s="444" t="s">
        <v>725</v>
      </c>
      <c r="B20" s="445">
        <f>L227+L233</f>
        <v>0</v>
      </c>
      <c r="C20" s="446">
        <v>1</v>
      </c>
      <c r="D20" s="445">
        <f t="shared" si="0"/>
        <v>0</v>
      </c>
      <c r="E20" s="425">
        <f>D20</f>
        <v>0</v>
      </c>
      <c r="F20" s="451"/>
      <c r="G20" s="451"/>
      <c r="H20" s="447">
        <v>0</v>
      </c>
      <c r="I20" s="361"/>
      <c r="J20" s="459" t="s">
        <v>1</v>
      </c>
      <c r="K20" s="460"/>
      <c r="L20" s="460"/>
      <c r="M20" s="461"/>
      <c r="N20" s="462"/>
      <c r="O20" s="649"/>
    </row>
    <row r="21" spans="1:15" ht="16.5" customHeight="1" thickBot="1" x14ac:dyDescent="0.3">
      <c r="A21" s="452" t="s">
        <v>1049</v>
      </c>
      <c r="B21" s="453">
        <f>SUM(B7:B18)-SUM(B19:B20)</f>
        <v>135.58845712584557</v>
      </c>
      <c r="C21" s="454"/>
      <c r="D21" s="454"/>
      <c r="E21" s="456">
        <f>SUM(E6:E18)-SUM(E19:E20)</f>
        <v>57.184627755245231</v>
      </c>
      <c r="F21" s="457"/>
      <c r="G21" s="457"/>
      <c r="H21" s="458">
        <v>58</v>
      </c>
      <c r="I21" s="379"/>
      <c r="J21" s="650"/>
      <c r="K21" s="651"/>
      <c r="L21" s="651"/>
      <c r="M21" s="652"/>
      <c r="N21" s="652"/>
      <c r="O21" s="463"/>
    </row>
    <row r="22" spans="1:15" ht="16.5" customHeight="1" x14ac:dyDescent="0.25">
      <c r="A22" s="464"/>
      <c r="B22" s="465"/>
      <c r="E22" s="466" t="s">
        <v>859</v>
      </c>
      <c r="F22" s="467"/>
      <c r="G22" s="467"/>
      <c r="H22" s="468"/>
      <c r="I22" s="469"/>
      <c r="J22" s="470"/>
      <c r="K22" s="433"/>
      <c r="L22" s="471"/>
      <c r="M22" s="433"/>
      <c r="N22" s="433"/>
      <c r="O22" s="472"/>
    </row>
    <row r="23" spans="1:15" ht="22.5" customHeight="1" thickBot="1" x14ac:dyDescent="0.25">
      <c r="A23" s="473" t="s">
        <v>1051</v>
      </c>
      <c r="B23" s="379"/>
      <c r="E23" s="474" t="s">
        <v>860</v>
      </c>
      <c r="F23" s="442"/>
      <c r="G23" s="442"/>
      <c r="H23" s="442"/>
      <c r="I23" s="439"/>
      <c r="J23" s="475"/>
      <c r="K23" s="475"/>
      <c r="L23" s="476"/>
      <c r="M23" s="477"/>
      <c r="N23" s="477"/>
      <c r="O23" s="478"/>
    </row>
    <row r="24" spans="1:15" ht="15.75" x14ac:dyDescent="0.25">
      <c r="A24" s="479" t="s">
        <v>923</v>
      </c>
      <c r="B24" s="480"/>
      <c r="C24" s="480"/>
      <c r="D24" s="480"/>
      <c r="E24" s="479" t="s">
        <v>513</v>
      </c>
      <c r="F24" s="481"/>
      <c r="G24" s="481"/>
      <c r="H24" s="480"/>
      <c r="I24" s="482" t="s">
        <v>532</v>
      </c>
      <c r="J24" s="481"/>
      <c r="K24" s="481"/>
      <c r="L24" s="483"/>
      <c r="M24" s="715"/>
      <c r="N24" s="610" t="s">
        <v>162</v>
      </c>
      <c r="O24" s="653"/>
    </row>
    <row r="25" spans="1:15" ht="15.75" x14ac:dyDescent="0.25">
      <c r="A25" s="486"/>
      <c r="B25" s="487" t="s">
        <v>524</v>
      </c>
      <c r="C25" s="488"/>
      <c r="D25" s="488"/>
      <c r="E25" s="489" t="s">
        <v>524</v>
      </c>
      <c r="F25" s="490"/>
      <c r="G25" s="490"/>
      <c r="H25" s="491"/>
      <c r="I25" s="492" t="s">
        <v>746</v>
      </c>
      <c r="J25" s="490"/>
      <c r="K25" s="490"/>
      <c r="L25" s="493"/>
      <c r="M25" s="484"/>
      <c r="N25" s="538" t="s">
        <v>413</v>
      </c>
      <c r="O25" s="654" t="s">
        <v>139</v>
      </c>
    </row>
    <row r="26" spans="1:15" ht="16.5" x14ac:dyDescent="0.3">
      <c r="A26" s="494"/>
      <c r="B26" s="495" t="s">
        <v>1041</v>
      </c>
      <c r="C26" s="655">
        <v>2798</v>
      </c>
      <c r="D26" s="497" t="s">
        <v>527</v>
      </c>
      <c r="E26" s="656">
        <f>C26*(1-C27)*VLOOKUP($B26,'Standard values'!$C$9:$S$162,14, FALSE)</f>
        <v>55960</v>
      </c>
      <c r="F26" s="499" t="s">
        <v>926</v>
      </c>
      <c r="G26" s="499"/>
      <c r="H26" s="499"/>
      <c r="I26" s="500" t="s">
        <v>1053</v>
      </c>
      <c r="J26" s="500" t="s">
        <v>1054</v>
      </c>
      <c r="K26" s="500" t="s">
        <v>1055</v>
      </c>
      <c r="L26" s="501" t="s">
        <v>1056</v>
      </c>
      <c r="M26" s="379"/>
      <c r="N26" s="540" t="s">
        <v>1056</v>
      </c>
      <c r="O26" s="657" t="s">
        <v>550</v>
      </c>
    </row>
    <row r="27" spans="1:15" ht="15.75" x14ac:dyDescent="0.3">
      <c r="A27" s="503"/>
      <c r="B27" s="495" t="s">
        <v>521</v>
      </c>
      <c r="C27" s="658">
        <v>0.15</v>
      </c>
      <c r="D27" s="497"/>
      <c r="E27" s="505">
        <v>1</v>
      </c>
      <c r="F27" s="506" t="s">
        <v>927</v>
      </c>
      <c r="G27" s="506"/>
      <c r="H27" s="495"/>
      <c r="I27" s="507"/>
      <c r="J27" s="508"/>
      <c r="K27" s="508"/>
      <c r="L27" s="509"/>
      <c r="M27" s="379"/>
      <c r="N27" s="541"/>
      <c r="O27" s="616"/>
    </row>
    <row r="28" spans="1:15" ht="15.75" x14ac:dyDescent="0.3">
      <c r="A28" s="503"/>
      <c r="B28" s="495" t="s">
        <v>124</v>
      </c>
      <c r="C28" s="659" t="s">
        <v>738</v>
      </c>
      <c r="D28" s="497" t="s">
        <v>527</v>
      </c>
      <c r="E28" s="510">
        <f>+C26/E238</f>
        <v>0.15388776998923603</v>
      </c>
      <c r="F28" s="506" t="s">
        <v>928</v>
      </c>
      <c r="G28" s="506"/>
      <c r="H28" s="495"/>
      <c r="I28" s="508"/>
      <c r="J28" s="508"/>
      <c r="K28" s="508"/>
      <c r="L28" s="509"/>
      <c r="M28" s="379"/>
      <c r="N28" s="541"/>
      <c r="O28" s="616"/>
    </row>
    <row r="29" spans="1:15" x14ac:dyDescent="0.2">
      <c r="A29" s="503"/>
      <c r="B29" s="495"/>
      <c r="C29" s="660"/>
      <c r="D29" s="497"/>
      <c r="E29" s="503"/>
      <c r="F29" s="495"/>
      <c r="G29" s="495"/>
      <c r="H29" s="495"/>
      <c r="I29" s="546"/>
      <c r="J29" s="546"/>
      <c r="K29" s="546"/>
      <c r="L29" s="661"/>
      <c r="M29" s="379"/>
      <c r="N29" s="541"/>
      <c r="O29" s="616"/>
    </row>
    <row r="30" spans="1:15" x14ac:dyDescent="0.2">
      <c r="A30" s="503"/>
      <c r="B30" s="511" t="s">
        <v>525</v>
      </c>
      <c r="C30" s="660"/>
      <c r="D30" s="497"/>
      <c r="E30" s="503"/>
      <c r="F30" s="495"/>
      <c r="G30" s="495"/>
      <c r="H30" s="495"/>
      <c r="I30" s="546"/>
      <c r="J30" s="546"/>
      <c r="K30" s="546"/>
      <c r="L30" s="661"/>
      <c r="M30" s="379"/>
      <c r="N30" s="541"/>
      <c r="O30" s="616"/>
    </row>
    <row r="31" spans="1:15" ht="14.25" x14ac:dyDescent="0.2">
      <c r="A31" s="503"/>
      <c r="B31" s="495" t="s">
        <v>509</v>
      </c>
      <c r="C31" s="662">
        <v>2100</v>
      </c>
      <c r="D31" s="497" t="s">
        <v>528</v>
      </c>
      <c r="E31" s="513"/>
      <c r="F31" s="495"/>
      <c r="G31" s="495"/>
      <c r="H31" s="495"/>
      <c r="I31" s="508">
        <f>$C31*VLOOKUP($B31,'Standard values'!$C$9:$S$162,7, FALSE)/$E$238</f>
        <v>10.122144985144978</v>
      </c>
      <c r="J31" s="508">
        <f>$C31*VLOOKUP($B31,'Standard values'!$C$9:$S$162,8, FALSE)/$E$238</f>
        <v>0</v>
      </c>
      <c r="K31" s="508">
        <f>$C31*VLOOKUP($B31,'Standard values'!$C$9:$S$162,9, FALSE)/$E$238</f>
        <v>0</v>
      </c>
      <c r="L31" s="509">
        <f>I31*'Standard values'!$D$10+J31*'Standard values'!$D$11+K31*'Standard values'!$D$12</f>
        <v>10.122144985144978</v>
      </c>
      <c r="M31" s="379"/>
      <c r="N31" s="562">
        <f>+L31/$E$28</f>
        <v>65.776149630688579</v>
      </c>
      <c r="O31" s="663">
        <f>L31*$E$238/1000</f>
        <v>184.04166666666666</v>
      </c>
    </row>
    <row r="32" spans="1:15" x14ac:dyDescent="0.2">
      <c r="A32" s="503"/>
      <c r="B32" s="495"/>
      <c r="C32" s="660"/>
      <c r="D32" s="497"/>
      <c r="E32" s="513"/>
      <c r="F32" s="495"/>
      <c r="G32" s="495"/>
      <c r="H32" s="495"/>
      <c r="I32" s="508"/>
      <c r="J32" s="508"/>
      <c r="K32" s="508"/>
      <c r="L32" s="509"/>
      <c r="M32" s="379"/>
      <c r="N32" s="562"/>
      <c r="O32" s="663"/>
    </row>
    <row r="33" spans="1:15" x14ac:dyDescent="0.2">
      <c r="A33" s="503"/>
      <c r="B33" s="511" t="s">
        <v>1045</v>
      </c>
      <c r="C33" s="660"/>
      <c r="D33" s="497"/>
      <c r="E33" s="513"/>
      <c r="F33" s="495"/>
      <c r="G33" s="495"/>
      <c r="H33" s="495"/>
      <c r="I33" s="508"/>
      <c r="J33" s="508"/>
      <c r="K33" s="508"/>
      <c r="L33" s="509"/>
      <c r="M33" s="379"/>
      <c r="N33" s="562"/>
      <c r="O33" s="663"/>
    </row>
    <row r="34" spans="1:15" ht="14.25" x14ac:dyDescent="0.2">
      <c r="A34" s="503"/>
      <c r="B34" s="495" t="s">
        <v>231</v>
      </c>
      <c r="C34" s="664">
        <v>8</v>
      </c>
      <c r="D34" s="497" t="s">
        <v>529</v>
      </c>
      <c r="E34" s="513"/>
      <c r="F34" s="495"/>
      <c r="G34" s="495"/>
      <c r="H34" s="495"/>
      <c r="I34" s="508">
        <f>$C34*VLOOKUP($B34,'Standard values'!$C$9:$S$162,3, FALSE)/$E$238</f>
        <v>1.2438641309782508</v>
      </c>
      <c r="J34" s="508">
        <f>$C34*VLOOKUP($B34,'Standard values'!$C$9:$S$162,4, FALSE)/$E$238</f>
        <v>3.818616663852986E-3</v>
      </c>
      <c r="K34" s="508">
        <f>$C34*VLOOKUP($B34,'Standard values'!$C$9:$S$162,5, FALSE)/$E$238</f>
        <v>4.242330523751869E-3</v>
      </c>
      <c r="L34" s="509">
        <f>I34*'Standard values'!$D$10+J34*'Standard values'!$D$11+K34*'Standard values'!$D$12</f>
        <v>2.6035440436526325</v>
      </c>
      <c r="M34" s="379"/>
      <c r="N34" s="562">
        <f t="shared" ref="N34:N39" si="1">+L34/$E$28</f>
        <v>16.918459756969266</v>
      </c>
      <c r="O34" s="663">
        <f t="shared" ref="O34:O39" si="2">L34*$E$238/1000</f>
        <v>47.337850400000001</v>
      </c>
    </row>
    <row r="35" spans="1:15" ht="14.25" x14ac:dyDescent="0.2">
      <c r="A35" s="503"/>
      <c r="B35" s="495" t="s">
        <v>504</v>
      </c>
      <c r="C35" s="556">
        <v>0</v>
      </c>
      <c r="D35" s="497" t="s">
        <v>529</v>
      </c>
      <c r="E35" s="513"/>
      <c r="F35" s="495"/>
      <c r="G35" s="495"/>
      <c r="H35" s="495"/>
      <c r="I35" s="508">
        <f>$C35*VLOOKUP($B35,'Standard values'!$C$9:$S$162,3, FALSE)/$E$238</f>
        <v>0</v>
      </c>
      <c r="J35" s="508">
        <f>$C35*VLOOKUP($B35,'Standard values'!$C$9:$S$162,4, FALSE)/$E$238</f>
        <v>0</v>
      </c>
      <c r="K35" s="508">
        <f>$C35*VLOOKUP($B35,'Standard values'!$C$9:$S$162,5, FALSE)/$E$238</f>
        <v>0</v>
      </c>
      <c r="L35" s="509">
        <f>I35*'Standard values'!$D$10+J35*'Standard values'!$D$11+K35*'Standard values'!$D$12</f>
        <v>0</v>
      </c>
      <c r="M35" s="379"/>
      <c r="N35" s="562">
        <f t="shared" si="1"/>
        <v>0</v>
      </c>
      <c r="O35" s="663">
        <f t="shared" si="2"/>
        <v>0</v>
      </c>
    </row>
    <row r="36" spans="1:15" ht="14.25" x14ac:dyDescent="0.2">
      <c r="A36" s="503"/>
      <c r="B36" s="495" t="s">
        <v>234</v>
      </c>
      <c r="C36" s="664">
        <v>0</v>
      </c>
      <c r="D36" s="497" t="s">
        <v>745</v>
      </c>
      <c r="E36" s="513"/>
      <c r="F36" s="495"/>
      <c r="G36" s="495"/>
      <c r="H36" s="495"/>
      <c r="I36" s="508">
        <f>$C36*VLOOKUP($B36,'Standard values'!$C$9:$S$162,3, FALSE)/$E$238</f>
        <v>0</v>
      </c>
      <c r="J36" s="508">
        <f>$C36*VLOOKUP($B36,'Standard values'!$C$9:$S$162,4, FALSE)/$E$238</f>
        <v>0</v>
      </c>
      <c r="K36" s="508">
        <f>$C36*VLOOKUP($B36,'Standard values'!$C$9:$S$162,5, FALSE)/$E$238</f>
        <v>0</v>
      </c>
      <c r="L36" s="509">
        <f>I36*'Standard values'!$D$10+J36*'Standard values'!$D$11+K36*'Standard values'!$D$12</f>
        <v>0</v>
      </c>
      <c r="M36" s="379"/>
      <c r="N36" s="562">
        <f t="shared" si="1"/>
        <v>0</v>
      </c>
      <c r="O36" s="663">
        <f t="shared" si="2"/>
        <v>0</v>
      </c>
    </row>
    <row r="37" spans="1:15" ht="15.75" x14ac:dyDescent="0.3">
      <c r="A37" s="503"/>
      <c r="B37" s="495" t="s">
        <v>233</v>
      </c>
      <c r="C37" s="664">
        <v>62</v>
      </c>
      <c r="D37" s="497" t="s">
        <v>530</v>
      </c>
      <c r="E37" s="513"/>
      <c r="F37" s="495"/>
      <c r="G37" s="495"/>
      <c r="H37" s="495"/>
      <c r="I37" s="508">
        <f>$C37*VLOOKUP($B37,'Standard values'!$C$9:$S$162,3, FALSE)/$E$238</f>
        <v>1.8287936676765726</v>
      </c>
      <c r="J37" s="508">
        <f>$C37*VLOOKUP($B37,'Standard values'!$C$9:$S$162,4, FALSE)/$E$238</f>
        <v>5.3566913753815707E-3</v>
      </c>
      <c r="K37" s="508">
        <f>$C37*VLOOKUP($B37,'Standard values'!$C$9:$S$162,5, FALSE)/$E$238</f>
        <v>4.1942392206501576E-5</v>
      </c>
      <c r="L37" s="509">
        <f>I37*'Standard values'!$D$10+J37*'Standard values'!$D$11+K37*'Standard values'!$D$12</f>
        <v>1.9752097849386494</v>
      </c>
      <c r="M37" s="379"/>
      <c r="N37" s="562">
        <f t="shared" si="1"/>
        <v>12.83539156540386</v>
      </c>
      <c r="O37" s="663">
        <f t="shared" si="2"/>
        <v>35.913425599999997</v>
      </c>
    </row>
    <row r="38" spans="1:15" ht="15.75" x14ac:dyDescent="0.3">
      <c r="A38" s="503"/>
      <c r="B38" s="495" t="s">
        <v>232</v>
      </c>
      <c r="C38" s="664">
        <v>66</v>
      </c>
      <c r="D38" s="497" t="s">
        <v>531</v>
      </c>
      <c r="E38" s="513"/>
      <c r="F38" s="495"/>
      <c r="G38" s="495"/>
      <c r="H38" s="495"/>
      <c r="I38" s="508">
        <f>$C38*VLOOKUP($B38,'Standard values'!$C$9:$S$162,3, FALSE)/$E$238</f>
        <v>3.5024872399318991</v>
      </c>
      <c r="J38" s="508">
        <f>$C38*VLOOKUP($B38,'Standard values'!$C$9:$S$162,4, FALSE)/$E$238</f>
        <v>4.8314599865884314E-3</v>
      </c>
      <c r="K38" s="508">
        <f>$C38*VLOOKUP($B38,'Standard values'!$C$9:$S$162,5, FALSE)/$E$238</f>
        <v>1.8694229099121276E-4</v>
      </c>
      <c r="L38" s="509">
        <f>I38*'Standard values'!$D$10+J38*'Standard values'!$D$11+K38*'Standard values'!$D$12</f>
        <v>3.6789825423119913</v>
      </c>
      <c r="M38" s="379"/>
      <c r="N38" s="562">
        <f t="shared" si="1"/>
        <v>23.906919585418155</v>
      </c>
      <c r="O38" s="663">
        <f t="shared" si="2"/>
        <v>66.891560999999996</v>
      </c>
    </row>
    <row r="39" spans="1:15" ht="14.25" x14ac:dyDescent="0.2">
      <c r="A39" s="503"/>
      <c r="B39" s="495" t="s">
        <v>502</v>
      </c>
      <c r="C39" s="664">
        <v>2.7</v>
      </c>
      <c r="D39" s="497" t="s">
        <v>527</v>
      </c>
      <c r="E39" s="513"/>
      <c r="F39" s="665"/>
      <c r="G39" s="665"/>
      <c r="H39" s="665"/>
      <c r="I39" s="508">
        <f>$C39*VLOOKUP($B39,'Standard values'!$C$9:$S$162,3, FALSE)/$E$238</f>
        <v>1.4681242721908969</v>
      </c>
      <c r="J39" s="508">
        <f>$C39*VLOOKUP($B39,'Standard values'!$C$9:$S$162,4, FALSE)/$E$238</f>
        <v>3.7907194181161599E-3</v>
      </c>
      <c r="K39" s="508">
        <f>$C39*VLOOKUP($B39,'Standard values'!$C$9:$S$162,5, FALSE)/$E$238</f>
        <v>2.4968428178761046E-4</v>
      </c>
      <c r="L39" s="509">
        <f>I39*'Standard values'!$D$10+J39*'Standard values'!$D$11+K39*'Standard values'!$D$12</f>
        <v>1.6372981736165089</v>
      </c>
      <c r="M39" s="379"/>
      <c r="N39" s="562">
        <f t="shared" si="1"/>
        <v>10.639560075053611</v>
      </c>
      <c r="O39" s="663">
        <f t="shared" si="2"/>
        <v>29.76948909</v>
      </c>
    </row>
    <row r="40" spans="1:15" x14ac:dyDescent="0.2">
      <c r="A40" s="503"/>
      <c r="B40" s="495"/>
      <c r="C40" s="666"/>
      <c r="D40" s="497"/>
      <c r="E40" s="513"/>
      <c r="F40" s="665"/>
      <c r="G40" s="665"/>
      <c r="H40" s="665"/>
      <c r="I40" s="508"/>
      <c r="J40" s="508"/>
      <c r="K40" s="508"/>
      <c r="L40" s="509"/>
      <c r="M40" s="379"/>
      <c r="N40" s="562"/>
      <c r="O40" s="663"/>
    </row>
    <row r="41" spans="1:15" x14ac:dyDescent="0.2">
      <c r="A41" s="503"/>
      <c r="B41" s="511" t="s">
        <v>511</v>
      </c>
      <c r="C41" s="666"/>
      <c r="D41" s="497"/>
      <c r="E41" s="513"/>
      <c r="F41" s="495"/>
      <c r="G41" s="495"/>
      <c r="H41" s="665"/>
      <c r="I41" s="508"/>
      <c r="J41" s="508"/>
      <c r="K41" s="508"/>
      <c r="L41" s="509"/>
      <c r="M41" s="379"/>
      <c r="N41" s="562"/>
      <c r="O41" s="663"/>
    </row>
    <row r="42" spans="1:15" ht="14.25" x14ac:dyDescent="0.2">
      <c r="A42" s="503"/>
      <c r="B42" s="499" t="s">
        <v>1076</v>
      </c>
      <c r="C42" s="667">
        <v>0</v>
      </c>
      <c r="D42" s="497" t="s">
        <v>527</v>
      </c>
      <c r="E42" s="513"/>
      <c r="F42" s="495"/>
      <c r="G42" s="495"/>
      <c r="H42" s="495"/>
      <c r="I42" s="508">
        <f>$C42*VLOOKUP($B42,'Standard values'!$C$9:$S$162,3, FALSE)/$E$238</f>
        <v>0</v>
      </c>
      <c r="J42" s="508">
        <f>$C42*VLOOKUP($B42,'Standard values'!$C$9:$S$162,4, FALSE)/$E$238</f>
        <v>0</v>
      </c>
      <c r="K42" s="508">
        <f>$C42*VLOOKUP($B42,'Standard values'!$C$9:$S$162,5, FALSE)/$E$238</f>
        <v>0</v>
      </c>
      <c r="L42" s="509">
        <f>I42*'Standard values'!$D$10+J42*'Standard values'!$D$11+K42*'Standard values'!$D$12</f>
        <v>0</v>
      </c>
      <c r="M42" s="379"/>
      <c r="N42" s="562">
        <f>+L42/$E$28</f>
        <v>0</v>
      </c>
      <c r="O42" s="663">
        <f>L42*$E$238/1000</f>
        <v>0</v>
      </c>
    </row>
    <row r="43" spans="1:15" x14ac:dyDescent="0.2">
      <c r="A43" s="503"/>
      <c r="B43" s="511"/>
      <c r="C43" s="668"/>
      <c r="D43" s="497"/>
      <c r="E43" s="513"/>
      <c r="F43" s="495"/>
      <c r="G43" s="495"/>
      <c r="H43" s="495"/>
      <c r="I43" s="508"/>
      <c r="J43" s="508"/>
      <c r="K43" s="508"/>
      <c r="L43" s="509"/>
      <c r="M43" s="379"/>
      <c r="N43" s="562"/>
      <c r="O43" s="663"/>
    </row>
    <row r="44" spans="1:15" ht="15" x14ac:dyDescent="0.25">
      <c r="A44" s="503"/>
      <c r="B44" s="511" t="s">
        <v>1046</v>
      </c>
      <c r="C44" s="669">
        <f>2.226</f>
        <v>2.226</v>
      </c>
      <c r="D44" s="497" t="s">
        <v>527</v>
      </c>
      <c r="E44" s="513"/>
      <c r="F44" s="495"/>
      <c r="G44" s="495"/>
      <c r="H44" s="495"/>
      <c r="I44" s="508">
        <v>0</v>
      </c>
      <c r="J44" s="508">
        <v>0</v>
      </c>
      <c r="K44" s="508">
        <f>1000*$C44/$E$238</f>
        <v>0.12242822587420994</v>
      </c>
      <c r="L44" s="509">
        <f>I44*'Standard values'!$D$10+J44*'Standard values'!$D$11+K44*'Standard values'!$D$12</f>
        <v>36.483611310514561</v>
      </c>
      <c r="M44" s="379"/>
      <c r="N44" s="562">
        <f>+L44/$E$28</f>
        <v>237.07934238741959</v>
      </c>
      <c r="O44" s="750">
        <f>L44*$E$238/1000</f>
        <v>663.34799999999996</v>
      </c>
    </row>
    <row r="45" spans="1:15" ht="15.75" x14ac:dyDescent="0.3">
      <c r="A45" s="503"/>
      <c r="B45" s="511"/>
      <c r="C45" s="670" t="s">
        <v>664</v>
      </c>
      <c r="D45" s="495"/>
      <c r="E45" s="513"/>
      <c r="F45" s="514"/>
      <c r="G45" s="514"/>
      <c r="H45" s="514" t="s">
        <v>1047</v>
      </c>
      <c r="I45" s="515">
        <f>SUM(I27:I44)</f>
        <v>18.165414295922595</v>
      </c>
      <c r="J45" s="515">
        <f>SUM(J27:J44)</f>
        <v>1.779748744393915E-2</v>
      </c>
      <c r="K45" s="515">
        <f>SUM(K27:K44)</f>
        <v>0.12714912536294715</v>
      </c>
      <c r="L45" s="516">
        <f>I45*'Standard values'!$D$10+J45*'Standard values'!$D$11+K45*'Standard values'!$D$12</f>
        <v>56.50079084017932</v>
      </c>
      <c r="M45" s="379"/>
      <c r="N45" s="1201">
        <f>+L45/E$28</f>
        <v>367.15582300095303</v>
      </c>
      <c r="O45" s="1202">
        <f>L45*$E$238/1000</f>
        <v>1027.3019927566666</v>
      </c>
    </row>
    <row r="46" spans="1:15" x14ac:dyDescent="0.2">
      <c r="A46" s="503"/>
      <c r="B46" s="511"/>
      <c r="C46" s="671" t="s">
        <v>665</v>
      </c>
      <c r="D46" s="495"/>
      <c r="E46" s="513"/>
      <c r="F46" s="514"/>
      <c r="G46" s="514"/>
      <c r="H46" s="514"/>
      <c r="I46" s="416"/>
      <c r="J46" s="416"/>
      <c r="K46" s="416"/>
      <c r="L46" s="436"/>
      <c r="M46" s="379"/>
      <c r="N46" s="1203"/>
      <c r="O46" s="1204"/>
    </row>
    <row r="47" spans="1:15" ht="14.25" x14ac:dyDescent="0.25">
      <c r="A47" s="519"/>
      <c r="B47" s="520"/>
      <c r="C47" s="520"/>
      <c r="D47" s="520"/>
      <c r="E47" s="519"/>
      <c r="F47" s="521"/>
      <c r="G47" s="521"/>
      <c r="H47" s="521" t="s">
        <v>534</v>
      </c>
      <c r="I47" s="522"/>
      <c r="J47" s="523" t="s">
        <v>747</v>
      </c>
      <c r="K47" s="524"/>
      <c r="L47" s="525">
        <f>N45*E$28</f>
        <v>56.50079084017932</v>
      </c>
      <c r="M47" s="379"/>
      <c r="N47" s="390"/>
      <c r="O47" s="390"/>
    </row>
    <row r="48" spans="1:15" x14ac:dyDescent="0.2">
      <c r="A48" s="379"/>
      <c r="B48" s="379"/>
      <c r="C48" s="379"/>
      <c r="D48" s="379"/>
      <c r="E48" s="379"/>
      <c r="F48" s="526"/>
      <c r="G48" s="526"/>
      <c r="H48" s="526"/>
      <c r="I48" s="527"/>
      <c r="J48" s="528"/>
      <c r="K48" s="484"/>
      <c r="L48" s="430"/>
      <c r="M48" s="379"/>
      <c r="N48" s="390"/>
      <c r="O48" s="390"/>
    </row>
    <row r="49" spans="1:15" x14ac:dyDescent="0.2">
      <c r="A49" s="390"/>
      <c r="B49" s="390"/>
      <c r="C49" s="390"/>
      <c r="D49" s="390"/>
      <c r="E49" s="390"/>
      <c r="F49" s="390"/>
      <c r="G49" s="390"/>
      <c r="H49" s="390"/>
      <c r="I49" s="529"/>
      <c r="J49" s="529"/>
      <c r="K49" s="529"/>
      <c r="L49" s="529"/>
      <c r="M49" s="379"/>
      <c r="N49" s="390"/>
      <c r="O49" s="390"/>
    </row>
    <row r="50" spans="1:15" ht="15.75" x14ac:dyDescent="0.25">
      <c r="A50" s="530" t="s">
        <v>924</v>
      </c>
      <c r="B50" s="531"/>
      <c r="C50" s="531"/>
      <c r="D50" s="531"/>
      <c r="E50" s="530" t="s">
        <v>513</v>
      </c>
      <c r="F50" s="532"/>
      <c r="G50" s="532"/>
      <c r="H50" s="531"/>
      <c r="I50" s="532" t="s">
        <v>532</v>
      </c>
      <c r="J50" s="533"/>
      <c r="K50" s="533"/>
      <c r="L50" s="534"/>
      <c r="M50" s="379"/>
      <c r="N50" s="535" t="s">
        <v>162</v>
      </c>
      <c r="O50" s="390"/>
    </row>
    <row r="51" spans="1:15" ht="15.75" x14ac:dyDescent="0.3">
      <c r="A51" s="503"/>
      <c r="B51" s="511" t="s">
        <v>1041</v>
      </c>
      <c r="C51" s="593">
        <v>0.99009900990099009</v>
      </c>
      <c r="D51" s="495" t="s">
        <v>929</v>
      </c>
      <c r="E51" s="553">
        <f>E26*C51</f>
        <v>55405.940594059408</v>
      </c>
      <c r="F51" s="499" t="s">
        <v>926</v>
      </c>
      <c r="G51" s="499"/>
      <c r="H51" s="495"/>
      <c r="I51" s="492" t="s">
        <v>746</v>
      </c>
      <c r="J51" s="514"/>
      <c r="K51" s="514"/>
      <c r="L51" s="537"/>
      <c r="M51" s="379"/>
      <c r="N51" s="538" t="s">
        <v>413</v>
      </c>
      <c r="O51" s="390"/>
    </row>
    <row r="52" spans="1:15" ht="15.75" x14ac:dyDescent="0.3">
      <c r="A52" s="503"/>
      <c r="B52" s="495"/>
      <c r="C52" s="495"/>
      <c r="D52" s="495"/>
      <c r="E52" s="505">
        <f>E27*C51</f>
        <v>0.99009900990099009</v>
      </c>
      <c r="F52" s="506" t="s">
        <v>927</v>
      </c>
      <c r="G52" s="506"/>
      <c r="H52" s="495"/>
      <c r="I52" s="539" t="s">
        <v>1053</v>
      </c>
      <c r="J52" s="539" t="s">
        <v>1054</v>
      </c>
      <c r="K52" s="539" t="s">
        <v>1055</v>
      </c>
      <c r="L52" s="540" t="s">
        <v>1056</v>
      </c>
      <c r="M52" s="379"/>
      <c r="N52" s="540" t="s">
        <v>1056</v>
      </c>
      <c r="O52" s="390"/>
    </row>
    <row r="53" spans="1:15" x14ac:dyDescent="0.2">
      <c r="A53" s="503"/>
      <c r="B53" s="511" t="s">
        <v>498</v>
      </c>
      <c r="C53" s="495"/>
      <c r="D53" s="495"/>
      <c r="E53" s="505"/>
      <c r="F53" s="506"/>
      <c r="G53" s="506"/>
      <c r="H53" s="495"/>
      <c r="I53" s="539"/>
      <c r="J53" s="539"/>
      <c r="K53" s="539"/>
      <c r="L53" s="540"/>
      <c r="M53" s="379"/>
      <c r="N53" s="541"/>
      <c r="O53" s="390"/>
    </row>
    <row r="54" spans="1:15" ht="15.75" x14ac:dyDescent="0.3">
      <c r="A54" s="503"/>
      <c r="B54" s="495" t="s">
        <v>1111</v>
      </c>
      <c r="C54" s="595">
        <v>700</v>
      </c>
      <c r="D54" s="495" t="s">
        <v>510</v>
      </c>
      <c r="E54" s="543">
        <f>(C54*E52)/(VLOOKUP($B51,'Standard values'!$C$9:$S$162,14, FALSE))/(1-$C$27)/1000</f>
        <v>3.465346534653465E-2</v>
      </c>
      <c r="F54" s="495" t="s">
        <v>406</v>
      </c>
      <c r="G54" s="495"/>
      <c r="H54" s="495"/>
      <c r="I54" s="544">
        <f>$E54*VLOOKUP($B54,'Standard values'!$C$9:$S$162,15, FALSE)*VLOOKUP(C55,'Standard values'!$C$9:$S$162,7, FALSE)/$E$239</f>
        <v>8.748900634209825</v>
      </c>
      <c r="J54" s="544">
        <f>$E54*((VLOOKUP($B54,'Standard values'!$C$9:$S$162,15, FALSE)*VLOOKUP(C55,'Standard values'!$C$9:$S$162,8, FALSE))+VLOOKUP($B54,'Standard values'!$C$9:$S$162,16, FALSE))/$E$239</f>
        <v>5.3327445045774861E-4</v>
      </c>
      <c r="K54" s="544">
        <f>$E54*((VLOOKUP($B54,'Standard values'!$C$9:$S$162,15, FALSE)*VLOOKUP(C55,'Standard values'!$C$9:$S$162,9, FALSE))+VLOOKUP($B54,'Standard values'!$C$9:$S$162,17, FALSE))/$E$239</f>
        <v>0</v>
      </c>
      <c r="L54" s="419">
        <f>I54*'Standard values'!$D$10+J54*'Standard values'!$D$11+K54*'Standard values'!$D$12</f>
        <v>8.7622324954712685</v>
      </c>
      <c r="M54" s="379"/>
      <c r="N54" s="562">
        <f>+L54/E$28</f>
        <v>56.939108910891093</v>
      </c>
      <c r="O54" s="390"/>
    </row>
    <row r="55" spans="1:15" x14ac:dyDescent="0.2">
      <c r="A55" s="503"/>
      <c r="B55" s="546" t="s">
        <v>54</v>
      </c>
      <c r="C55" s="673" t="s">
        <v>509</v>
      </c>
      <c r="D55" s="495"/>
      <c r="E55" s="543"/>
      <c r="F55" s="495"/>
      <c r="G55" s="495"/>
      <c r="H55" s="495"/>
      <c r="I55" s="544"/>
      <c r="J55" s="544"/>
      <c r="K55" s="544"/>
      <c r="L55" s="419"/>
      <c r="M55" s="379"/>
      <c r="N55" s="541"/>
      <c r="O55" s="390"/>
    </row>
    <row r="56" spans="1:15" ht="15.75" x14ac:dyDescent="0.3">
      <c r="A56" s="503"/>
      <c r="B56" s="495" t="s">
        <v>41</v>
      </c>
      <c r="C56" s="595">
        <v>10186</v>
      </c>
      <c r="D56" s="495" t="s">
        <v>510</v>
      </c>
      <c r="E56" s="543">
        <f>(C56*E52)/(VLOOKUP($B51,'Standard values'!$C$9:$S$162,14, FALSE))/(1-$C$27)/1000</f>
        <v>0.50425742574257426</v>
      </c>
      <c r="F56" s="495" t="s">
        <v>406</v>
      </c>
      <c r="G56" s="495"/>
      <c r="H56" s="495"/>
      <c r="I56" s="544">
        <f>$E56*VLOOKUP($B56,'Standard values'!$C$9:$S$162,15, FALSE)*VLOOKUP(C57,'Standard values'!$C$9:$S$162,7, FALSE)/$E$239</f>
        <v>26.848923915073637</v>
      </c>
      <c r="J56" s="544">
        <f>$E56*((VLOOKUP($B56,'Standard values'!$C$9:$S$162,15, FALSE)*VLOOKUP(C57,'Standard values'!$C$9:$S$162,8, FALSE))+VLOOKUP($B56,'Standard values'!$C$9:$S$162,16, FALSE))/$E$239</f>
        <v>4.6559430448822516E-4</v>
      </c>
      <c r="K56" s="544">
        <f>$E56*((VLOOKUP($B56,'Standard values'!$C$9:$S$162,15, FALSE)*VLOOKUP(C57,'Standard values'!$C$9:$S$162,9, FALSE))+VLOOKUP($B56,'Standard values'!$C$9:$S$162,17, FALSE))/$E$239</f>
        <v>1.1174263307717406E-3</v>
      </c>
      <c r="L56" s="419">
        <f>I56*'Standard values'!$D$10+J56*'Standard values'!$D$11+K56*'Standard values'!$D$12</f>
        <v>27.193556819255821</v>
      </c>
      <c r="M56" s="379"/>
      <c r="N56" s="562">
        <f>+L56/E$28</f>
        <v>176.71031831287129</v>
      </c>
      <c r="O56" s="390"/>
    </row>
    <row r="57" spans="1:15" x14ac:dyDescent="0.2">
      <c r="A57" s="503"/>
      <c r="B57" s="546" t="s">
        <v>54</v>
      </c>
      <c r="C57" s="673" t="s">
        <v>516</v>
      </c>
      <c r="D57" s="495"/>
      <c r="E57" s="543"/>
      <c r="F57" s="495"/>
      <c r="G57" s="495"/>
      <c r="H57" s="495"/>
      <c r="I57" s="544"/>
      <c r="J57" s="544"/>
      <c r="K57" s="544"/>
      <c r="L57" s="516">
        <f>SUM(L54:L56)</f>
        <v>35.955789314727092</v>
      </c>
      <c r="M57" s="379"/>
      <c r="N57" s="1201">
        <f>+L57/E$28</f>
        <v>233.64942722376239</v>
      </c>
      <c r="O57" s="390"/>
    </row>
    <row r="58" spans="1:15" x14ac:dyDescent="0.2">
      <c r="A58" s="503"/>
      <c r="B58" s="495"/>
      <c r="C58" s="495"/>
      <c r="D58" s="495"/>
      <c r="E58" s="503"/>
      <c r="F58" s="495"/>
      <c r="G58" s="495"/>
      <c r="H58" s="548"/>
      <c r="I58" s="544"/>
      <c r="J58" s="544"/>
      <c r="K58" s="544"/>
      <c r="L58" s="516"/>
      <c r="M58" s="379"/>
      <c r="N58" s="1203"/>
      <c r="O58" s="390"/>
    </row>
    <row r="59" spans="1:15" ht="14.25" x14ac:dyDescent="0.25">
      <c r="A59" s="519"/>
      <c r="B59" s="520"/>
      <c r="C59" s="520"/>
      <c r="D59" s="520"/>
      <c r="E59" s="519"/>
      <c r="F59" s="521"/>
      <c r="G59" s="521"/>
      <c r="H59" s="521" t="s">
        <v>534</v>
      </c>
      <c r="I59" s="520"/>
      <c r="J59" s="523" t="s">
        <v>747</v>
      </c>
      <c r="K59" s="549"/>
      <c r="L59" s="525">
        <f>N57*E$28</f>
        <v>35.955789314727092</v>
      </c>
      <c r="M59" s="379"/>
      <c r="N59" s="390"/>
      <c r="O59" s="390"/>
    </row>
    <row r="60" spans="1:15" x14ac:dyDescent="0.2">
      <c r="A60" s="390"/>
      <c r="B60" s="390"/>
      <c r="C60" s="390"/>
      <c r="D60" s="390"/>
      <c r="E60" s="390"/>
      <c r="F60" s="376"/>
      <c r="G60" s="376"/>
      <c r="H60" s="376"/>
      <c r="I60" s="390"/>
      <c r="J60" s="550"/>
      <c r="K60" s="551"/>
      <c r="L60" s="552"/>
      <c r="M60" s="379"/>
      <c r="N60" s="379"/>
      <c r="O60" s="379"/>
    </row>
    <row r="61" spans="1:15" x14ac:dyDescent="0.2">
      <c r="A61" s="390"/>
      <c r="B61" s="390"/>
      <c r="C61" s="390"/>
      <c r="D61" s="390"/>
      <c r="E61" s="390"/>
      <c r="F61" s="390"/>
      <c r="G61" s="390"/>
      <c r="H61" s="390"/>
      <c r="I61" s="390"/>
      <c r="J61" s="390"/>
      <c r="K61" s="390"/>
      <c r="L61" s="375"/>
      <c r="M61" s="379"/>
      <c r="N61" s="379"/>
      <c r="O61" s="379"/>
    </row>
    <row r="62" spans="1:15" ht="15.75" x14ac:dyDescent="0.25">
      <c r="A62" s="530" t="s">
        <v>639</v>
      </c>
      <c r="B62" s="531"/>
      <c r="C62" s="531"/>
      <c r="D62" s="531"/>
      <c r="E62" s="530" t="s">
        <v>513</v>
      </c>
      <c r="F62" s="532"/>
      <c r="G62" s="532"/>
      <c r="H62" s="531"/>
      <c r="I62" s="532" t="s">
        <v>532</v>
      </c>
      <c r="J62" s="533"/>
      <c r="K62" s="533"/>
      <c r="L62" s="534"/>
      <c r="M62" s="379"/>
      <c r="N62" s="535" t="s">
        <v>162</v>
      </c>
      <c r="O62" s="379"/>
    </row>
    <row r="63" spans="1:15" x14ac:dyDescent="0.2">
      <c r="A63" s="503"/>
      <c r="B63" s="511" t="s">
        <v>524</v>
      </c>
      <c r="C63" s="495"/>
      <c r="D63" s="495"/>
      <c r="E63" s="553"/>
      <c r="F63" s="674"/>
      <c r="G63" s="674"/>
      <c r="H63" s="495"/>
      <c r="I63" s="492" t="s">
        <v>746</v>
      </c>
      <c r="J63" s="514"/>
      <c r="K63" s="514"/>
      <c r="L63" s="537"/>
      <c r="M63" s="379"/>
      <c r="N63" s="554" t="s">
        <v>588</v>
      </c>
      <c r="O63" s="379"/>
    </row>
    <row r="64" spans="1:15" ht="15.75" x14ac:dyDescent="0.3">
      <c r="A64" s="503"/>
      <c r="B64" s="495" t="s">
        <v>1040</v>
      </c>
      <c r="C64" s="675">
        <v>0.34404000000000001</v>
      </c>
      <c r="D64" s="495" t="s">
        <v>408</v>
      </c>
      <c r="E64" s="553">
        <f>E51*C64</f>
        <v>19061.859801980201</v>
      </c>
      <c r="F64" s="499" t="s">
        <v>654</v>
      </c>
      <c r="G64" s="499"/>
      <c r="H64" s="495"/>
      <c r="I64" s="539" t="s">
        <v>1053</v>
      </c>
      <c r="J64" s="539" t="s">
        <v>1054</v>
      </c>
      <c r="K64" s="539" t="s">
        <v>1055</v>
      </c>
      <c r="L64" s="540" t="s">
        <v>1056</v>
      </c>
      <c r="M64" s="379"/>
      <c r="N64" s="540" t="s">
        <v>1056</v>
      </c>
      <c r="O64" s="379"/>
    </row>
    <row r="65" spans="1:15" ht="15.75" x14ac:dyDescent="0.3">
      <c r="A65" s="563"/>
      <c r="B65" s="506" t="s">
        <v>130</v>
      </c>
      <c r="C65" s="675">
        <v>0.65595999999999999</v>
      </c>
      <c r="D65" s="495" t="s">
        <v>409</v>
      </c>
      <c r="E65" s="505">
        <f>E52*C64</f>
        <v>0.34063366336633666</v>
      </c>
      <c r="F65" s="506" t="s">
        <v>410</v>
      </c>
      <c r="G65" s="506"/>
      <c r="H65" s="495"/>
      <c r="I65" s="495"/>
      <c r="J65" s="495"/>
      <c r="K65" s="495"/>
      <c r="L65" s="541"/>
      <c r="M65" s="379"/>
      <c r="N65" s="541"/>
      <c r="O65" s="379"/>
    </row>
    <row r="66" spans="1:15" ht="15.75" x14ac:dyDescent="0.3">
      <c r="A66" s="563"/>
      <c r="B66" s="506"/>
      <c r="C66" s="564"/>
      <c r="D66" s="506"/>
      <c r="E66" s="557">
        <f>E64/E238/VLOOKUP($B64,'Standard values'!$C$9:$S$162,14, FALSE)</f>
        <v>2.8334786399302526E-2</v>
      </c>
      <c r="F66" s="499" t="s">
        <v>542</v>
      </c>
      <c r="G66" s="499"/>
      <c r="H66" s="495"/>
      <c r="I66" s="495"/>
      <c r="J66" s="495"/>
      <c r="K66" s="495"/>
      <c r="L66" s="541"/>
      <c r="M66" s="379"/>
      <c r="N66" s="541"/>
      <c r="O66" s="379"/>
    </row>
    <row r="67" spans="1:15" x14ac:dyDescent="0.2">
      <c r="A67" s="503"/>
      <c r="B67" s="511" t="s">
        <v>525</v>
      </c>
      <c r="C67" s="564"/>
      <c r="D67" s="495"/>
      <c r="E67" s="513"/>
      <c r="F67" s="495"/>
      <c r="G67" s="495"/>
      <c r="H67" s="495"/>
      <c r="I67" s="495"/>
      <c r="J67" s="495"/>
      <c r="K67" s="495"/>
      <c r="L67" s="541"/>
      <c r="M67" s="379"/>
      <c r="N67" s="541"/>
      <c r="O67" s="379"/>
    </row>
    <row r="68" spans="1:15" ht="15.75" x14ac:dyDescent="0.3">
      <c r="A68" s="503"/>
      <c r="B68" s="1301" t="s">
        <v>50</v>
      </c>
      <c r="C68" s="676">
        <f>1.4*0.0313916986396931</f>
        <v>4.394837809557034E-2</v>
      </c>
      <c r="D68" s="495" t="s">
        <v>644</v>
      </c>
      <c r="E68" s="503"/>
      <c r="F68" s="495"/>
      <c r="G68" s="495"/>
      <c r="H68" s="495"/>
      <c r="I68" s="544">
        <f>$C68*$E$65*VLOOKUP($B68,'Standard values'!$C$9:$S$162,7, FALSE)/$E$239</f>
        <v>5.4996013873105589</v>
      </c>
      <c r="J68" s="544">
        <f>$C68*$E$65*VLOOKUP($B68,'Standard values'!$C$9:$S$162,8, FALSE)/$E$239</f>
        <v>1.3411639119232212E-2</v>
      </c>
      <c r="K68" s="544">
        <f>$C68*$E$65*VLOOKUP($B68,'Standard values'!$C$9:$S$162,9, FALSE)/$E$239</f>
        <v>2.482925841331281E-4</v>
      </c>
      <c r="L68" s="419">
        <f>I68*'Standard values'!$D$10+J68*'Standard values'!$D$11+K68*'Standard values'!$D$12</f>
        <v>5.9088835553630368</v>
      </c>
      <c r="M68" s="379"/>
      <c r="N68" s="561">
        <f>L68/$E$66</f>
        <v>208.53813655388936</v>
      </c>
      <c r="O68" s="379"/>
    </row>
    <row r="69" spans="1:15" ht="15.75" x14ac:dyDescent="0.3">
      <c r="A69" s="503"/>
      <c r="B69" s="495" t="s">
        <v>827</v>
      </c>
      <c r="C69" s="675">
        <f>1.4*0.145331938146727</f>
        <v>0.2034647134054178</v>
      </c>
      <c r="D69" s="495" t="s">
        <v>644</v>
      </c>
      <c r="E69" s="503"/>
      <c r="F69" s="495"/>
      <c r="G69" s="495"/>
      <c r="H69" s="495"/>
      <c r="I69" s="544"/>
      <c r="J69" s="544"/>
      <c r="K69" s="544"/>
      <c r="L69" s="419"/>
      <c r="M69" s="379"/>
      <c r="N69" s="562"/>
      <c r="O69" s="379"/>
    </row>
    <row r="70" spans="1:15" x14ac:dyDescent="0.2">
      <c r="A70" s="503"/>
      <c r="B70" s="571" t="s">
        <v>729</v>
      </c>
      <c r="C70" s="566"/>
      <c r="D70" s="566"/>
      <c r="E70" s="567"/>
      <c r="F70" s="568"/>
      <c r="G70" s="568"/>
      <c r="H70" s="568"/>
      <c r="I70" s="569" t="s">
        <v>830</v>
      </c>
      <c r="J70" s="568"/>
      <c r="K70" s="568"/>
      <c r="L70" s="688"/>
      <c r="M70" s="379"/>
      <c r="N70" s="562"/>
      <c r="O70" s="379"/>
    </row>
    <row r="71" spans="1:15" ht="15.75" x14ac:dyDescent="0.3">
      <c r="A71" s="503"/>
      <c r="B71" s="679" t="s">
        <v>826</v>
      </c>
      <c r="C71" s="573"/>
      <c r="D71" s="566"/>
      <c r="E71" s="567"/>
      <c r="F71" s="568"/>
      <c r="G71" s="568"/>
      <c r="H71" s="568"/>
      <c r="I71" s="574">
        <f>$C69*$E$65*VLOOKUP($B71,'Standard values'!$C$9:$S$159,7, FALSE)/$E$239</f>
        <v>0</v>
      </c>
      <c r="J71" s="574">
        <f>$C69*$E$65*VLOOKUP($B71,'Standard values'!$C$9:$S$159,8, FALSE)/$E$239</f>
        <v>5.9252716717527582E-4</v>
      </c>
      <c r="K71" s="574">
        <f>$C69*$E$65*VLOOKUP($B71,'Standard values'!$C$9:$S$159,9, FALSE)/$E$239</f>
        <v>2.3701086687011032E-4</v>
      </c>
      <c r="L71" s="575">
        <f>I71*'Standard values'!$D$10+J71*'Standard values'!$D$11+K71*'Standard values'!$D$12</f>
        <v>8.5442417506674764E-2</v>
      </c>
      <c r="M71" s="379"/>
      <c r="N71" s="561">
        <f>L71/$E$66</f>
        <v>3.0154600886201837</v>
      </c>
      <c r="O71" s="379"/>
    </row>
    <row r="72" spans="1:15" ht="14.25" x14ac:dyDescent="0.25">
      <c r="A72" s="503"/>
      <c r="B72" s="582" t="s">
        <v>828</v>
      </c>
      <c r="C72" s="536">
        <f>1/0.9</f>
        <v>1.1111111111111112</v>
      </c>
      <c r="D72" s="568" t="s">
        <v>419</v>
      </c>
      <c r="E72" s="567"/>
      <c r="F72" s="568"/>
      <c r="G72" s="568"/>
      <c r="H72" s="568"/>
      <c r="I72" s="574"/>
      <c r="J72" s="581"/>
      <c r="K72" s="581"/>
      <c r="L72" s="575"/>
      <c r="M72" s="379"/>
      <c r="N72" s="562"/>
      <c r="O72" s="379"/>
    </row>
    <row r="73" spans="1:15" ht="29.25" customHeight="1" x14ac:dyDescent="0.3">
      <c r="A73" s="503"/>
      <c r="B73" s="680" t="s">
        <v>158</v>
      </c>
      <c r="C73" s="573">
        <f>C72*C69</f>
        <v>0.22607190378379757</v>
      </c>
      <c r="D73" s="568" t="s">
        <v>644</v>
      </c>
      <c r="E73" s="567"/>
      <c r="F73" s="568"/>
      <c r="G73" s="568"/>
      <c r="H73" s="568"/>
      <c r="I73" s="574">
        <f>$C73*$E$65*VLOOKUP($B73,'Standard values'!$C$9:$S$162,7, FALSE)/$E$239</f>
        <v>14.923152221609628</v>
      </c>
      <c r="J73" s="574">
        <f>$C73*$E$65*VLOOKUP($B73,'Standard values'!$C$9:$S$162,8, FALSE)/$E$239</f>
        <v>4.6961069816236031E-2</v>
      </c>
      <c r="K73" s="574">
        <f>$C73*$E$65*VLOOKUP($B73,'Standard values'!$C$9:$S$162,9, FALSE)/$E$239</f>
        <v>5.2669081526691187E-5</v>
      </c>
      <c r="L73" s="575">
        <f>I73*'Standard values'!$D$10+J73*'Standard values'!$D$11+K73*'Standard values'!$D$12</f>
        <v>16.112874353310485</v>
      </c>
      <c r="M73" s="379"/>
      <c r="N73" s="561">
        <f>L73/$E$66</f>
        <v>568.66051948452696</v>
      </c>
      <c r="O73" s="379"/>
    </row>
    <row r="74" spans="1:15" ht="14.25" x14ac:dyDescent="0.25">
      <c r="A74" s="503"/>
      <c r="B74" s="582" t="s">
        <v>829</v>
      </c>
      <c r="C74" s="536">
        <v>0.02</v>
      </c>
      <c r="D74" s="568" t="s">
        <v>419</v>
      </c>
      <c r="E74" s="567"/>
      <c r="F74" s="568"/>
      <c r="G74" s="568"/>
      <c r="H74" s="568"/>
      <c r="I74" s="574"/>
      <c r="J74" s="581"/>
      <c r="K74" s="581"/>
      <c r="L74" s="575"/>
      <c r="M74" s="379"/>
      <c r="N74" s="561"/>
      <c r="O74" s="379"/>
    </row>
    <row r="75" spans="1:15" ht="15.75" x14ac:dyDescent="0.3">
      <c r="A75" s="503"/>
      <c r="B75" s="1301" t="s">
        <v>50</v>
      </c>
      <c r="C75" s="573">
        <f>C74*C69</f>
        <v>4.069294268108356E-3</v>
      </c>
      <c r="D75" s="568" t="s">
        <v>644</v>
      </c>
      <c r="E75" s="567"/>
      <c r="F75" s="568"/>
      <c r="G75" s="568"/>
      <c r="H75" s="568"/>
      <c r="I75" s="574">
        <f>$C75*$E$65*VLOOKUP($B75,'Standard values'!$C$9:$S$162,7, FALSE)/$E$239</f>
        <v>0.50922235067690247</v>
      </c>
      <c r="J75" s="574">
        <f>$C75*$E$65*VLOOKUP($B75,'Standard values'!$C$9:$S$162,8, FALSE)/$E$239</f>
        <v>1.241818436965943E-3</v>
      </c>
      <c r="K75" s="574">
        <f>$C75*$E$65*VLOOKUP($B75,'Standard values'!$C$9:$S$162,9, FALSE)/$E$239</f>
        <v>2.2990054086400701E-5</v>
      </c>
      <c r="L75" s="575">
        <f>I75*'Standard values'!$D$10+J75*'Standard values'!$D$11+K75*'Standard values'!$D$12</f>
        <v>0.54711884771879848</v>
      </c>
      <c r="M75" s="379"/>
      <c r="N75" s="561">
        <f>L75/$E$66</f>
        <v>19.309086717952674</v>
      </c>
      <c r="O75" s="379"/>
    </row>
    <row r="76" spans="1:15" x14ac:dyDescent="0.2">
      <c r="A76" s="503"/>
      <c r="B76" s="495"/>
      <c r="C76" s="499"/>
      <c r="D76" s="495"/>
      <c r="E76" s="503"/>
      <c r="F76" s="495"/>
      <c r="G76" s="495"/>
      <c r="H76" s="495"/>
      <c r="I76" s="544"/>
      <c r="J76" s="544"/>
      <c r="K76" s="544"/>
      <c r="L76" s="419"/>
      <c r="M76" s="379"/>
      <c r="N76" s="561"/>
      <c r="O76" s="379"/>
    </row>
    <row r="77" spans="1:15" x14ac:dyDescent="0.2">
      <c r="A77" s="503"/>
      <c r="B77" s="511" t="s">
        <v>641</v>
      </c>
      <c r="C77" s="499"/>
      <c r="D77" s="495"/>
      <c r="E77" s="503"/>
      <c r="F77" s="495"/>
      <c r="G77" s="495"/>
      <c r="H77" s="495"/>
      <c r="I77" s="544"/>
      <c r="J77" s="544"/>
      <c r="K77" s="544"/>
      <c r="L77" s="419"/>
      <c r="M77" s="379"/>
      <c r="N77" s="561"/>
      <c r="O77" s="379"/>
    </row>
    <row r="78" spans="1:15" ht="15.75" x14ac:dyDescent="0.3">
      <c r="A78" s="503"/>
      <c r="B78" s="674" t="s">
        <v>1106</v>
      </c>
      <c r="C78" s="675">
        <f>1.4*0.0045889431461458</f>
        <v>6.4245204046041197E-3</v>
      </c>
      <c r="D78" s="495" t="s">
        <v>644</v>
      </c>
      <c r="E78" s="503"/>
      <c r="F78" s="495"/>
      <c r="G78" s="495"/>
      <c r="H78" s="495"/>
      <c r="I78" s="544">
        <f>$C78*$E$65*VLOOKUP($B78,'Standard values'!$C$9:$S$162,7, FALSE)/$E$239</f>
        <v>0.5393920256365542</v>
      </c>
      <c r="J78" s="544">
        <f>$C78*$E$65*VLOOKUP($B78,'Standard values'!$C$9:$S$162,8, FALSE)/$E$239</f>
        <v>9.8037260296064661E-5</v>
      </c>
      <c r="K78" s="544">
        <f>$C78*$E$65*VLOOKUP($B78,'Standard values'!$C$9:$S$162,9, FALSE)/$E$239</f>
        <v>1.8709400819859669E-6</v>
      </c>
      <c r="L78" s="419">
        <f>I78*'Standard values'!$D$10+J78*'Standard values'!$D$11+K78*'Standard values'!$D$12</f>
        <v>0.54240049728838757</v>
      </c>
      <c r="M78" s="379"/>
      <c r="N78" s="561">
        <f>L78/$E$66</f>
        <v>19.14256524276248</v>
      </c>
      <c r="O78" s="379"/>
    </row>
    <row r="79" spans="1:15" x14ac:dyDescent="0.2">
      <c r="A79" s="503"/>
      <c r="B79" s="495"/>
      <c r="C79" s="499"/>
      <c r="D79" s="499"/>
      <c r="E79" s="681"/>
      <c r="F79" s="495"/>
      <c r="G79" s="495"/>
      <c r="H79" s="514" t="s">
        <v>1047</v>
      </c>
      <c r="I79" s="583">
        <f>SUM(I65:I78)</f>
        <v>21.471367985233648</v>
      </c>
      <c r="J79" s="583">
        <f>SUM(J65:J78)</f>
        <v>6.2305091799905524E-2</v>
      </c>
      <c r="K79" s="583">
        <f>SUM(K65:K78)</f>
        <v>5.6283352669831625E-4</v>
      </c>
      <c r="L79" s="516">
        <f>I79*'Standard values'!$D$10+J79*'Standard values'!$D$11+K79*'Standard values'!$D$12</f>
        <v>23.196719671187385</v>
      </c>
      <c r="M79" s="379"/>
      <c r="N79" s="1201">
        <f>+L79/E$66</f>
        <v>818.66576808775176</v>
      </c>
      <c r="O79" s="379"/>
    </row>
    <row r="80" spans="1:15" x14ac:dyDescent="0.2">
      <c r="A80" s="503"/>
      <c r="B80" s="682"/>
      <c r="C80" s="499"/>
      <c r="D80" s="499"/>
      <c r="E80" s="503"/>
      <c r="F80" s="495"/>
      <c r="G80" s="495"/>
      <c r="H80" s="495"/>
      <c r="I80" s="495"/>
      <c r="J80" s="495"/>
      <c r="K80" s="495"/>
      <c r="L80" s="541"/>
      <c r="M80" s="379"/>
      <c r="N80" s="1203"/>
      <c r="O80" s="379"/>
    </row>
    <row r="81" spans="1:15" ht="14.25" x14ac:dyDescent="0.25">
      <c r="A81" s="519"/>
      <c r="B81" s="520"/>
      <c r="C81" s="520"/>
      <c r="D81" s="520"/>
      <c r="E81" s="519"/>
      <c r="F81" s="521"/>
      <c r="G81" s="521"/>
      <c r="H81" s="521" t="s">
        <v>534</v>
      </c>
      <c r="I81" s="520"/>
      <c r="J81" s="523" t="s">
        <v>747</v>
      </c>
      <c r="K81" s="549"/>
      <c r="L81" s="525">
        <f>N79*E$66</f>
        <v>23.196719671187385</v>
      </c>
      <c r="M81" s="379"/>
      <c r="N81" s="390"/>
      <c r="O81" s="379"/>
    </row>
    <row r="82" spans="1:15" x14ac:dyDescent="0.2">
      <c r="A82" s="390"/>
      <c r="B82" s="390"/>
      <c r="C82" s="390"/>
      <c r="D82" s="390"/>
      <c r="E82" s="390"/>
      <c r="F82" s="376"/>
      <c r="G82" s="376"/>
      <c r="H82" s="376"/>
      <c r="I82" s="390"/>
      <c r="J82" s="550"/>
      <c r="K82" s="551"/>
      <c r="L82" s="585"/>
      <c r="M82" s="379"/>
      <c r="N82" s="390"/>
      <c r="O82" s="390"/>
    </row>
    <row r="83" spans="1:15" x14ac:dyDescent="0.2">
      <c r="A83" s="390"/>
      <c r="B83" s="390"/>
      <c r="C83" s="390"/>
      <c r="D83" s="390"/>
      <c r="E83" s="390"/>
      <c r="F83" s="376"/>
      <c r="G83" s="376"/>
      <c r="H83" s="376"/>
      <c r="I83" s="390"/>
      <c r="J83" s="550"/>
      <c r="K83" s="551"/>
      <c r="L83" s="585"/>
      <c r="M83" s="379"/>
      <c r="N83" s="390"/>
      <c r="O83" s="390"/>
    </row>
    <row r="84" spans="1:15" ht="15.75" x14ac:dyDescent="0.25">
      <c r="A84" s="530" t="s">
        <v>1057</v>
      </c>
      <c r="B84" s="531"/>
      <c r="C84" s="531"/>
      <c r="D84" s="531"/>
      <c r="E84" s="608" t="s">
        <v>526</v>
      </c>
      <c r="F84" s="606"/>
      <c r="G84" s="606"/>
      <c r="H84" s="606"/>
      <c r="I84" s="607"/>
      <c r="J84" s="608" t="s">
        <v>747</v>
      </c>
      <c r="K84" s="607"/>
      <c r="L84" s="609">
        <f>L47+L59+L81</f>
        <v>115.6532998260938</v>
      </c>
      <c r="M84" s="379"/>
      <c r="N84" s="390"/>
      <c r="O84" s="390"/>
    </row>
    <row r="85" spans="1:15" ht="15.75" x14ac:dyDescent="0.25">
      <c r="A85" s="610" t="s">
        <v>937</v>
      </c>
      <c r="B85" s="611"/>
      <c r="C85" s="611"/>
      <c r="D85" s="611"/>
      <c r="E85" s="613"/>
      <c r="F85" s="613"/>
      <c r="G85" s="613"/>
      <c r="H85" s="613"/>
      <c r="I85" s="613"/>
      <c r="J85" s="613"/>
      <c r="K85" s="613"/>
      <c r="L85" s="614"/>
      <c r="M85" s="379"/>
      <c r="N85" s="535" t="s">
        <v>162</v>
      </c>
      <c r="O85" s="390"/>
    </row>
    <row r="86" spans="1:15" ht="15.75" x14ac:dyDescent="0.3">
      <c r="A86" s="567"/>
      <c r="B86" s="568"/>
      <c r="C86" s="568"/>
      <c r="D86" s="683"/>
      <c r="E86" s="683"/>
      <c r="F86" s="683"/>
      <c r="G86" s="683"/>
      <c r="H86" s="683" t="s">
        <v>667</v>
      </c>
      <c r="I86" s="684">
        <f>L84</f>
        <v>115.6532998260938</v>
      </c>
      <c r="J86" s="568" t="s">
        <v>321</v>
      </c>
      <c r="K86" s="568"/>
      <c r="L86" s="685"/>
      <c r="M86" s="379"/>
      <c r="N86" s="554" t="s">
        <v>588</v>
      </c>
      <c r="O86" s="390"/>
    </row>
    <row r="87" spans="1:15" ht="15.75" x14ac:dyDescent="0.3">
      <c r="A87" s="567"/>
      <c r="B87" s="568" t="s">
        <v>51</v>
      </c>
      <c r="C87" s="568" t="s">
        <v>1040</v>
      </c>
      <c r="D87" s="568"/>
      <c r="E87" s="683" t="s">
        <v>659</v>
      </c>
      <c r="F87" s="686">
        <v>1</v>
      </c>
      <c r="G87" s="686"/>
      <c r="H87" s="568" t="s">
        <v>501</v>
      </c>
      <c r="I87" s="574">
        <f>$I$86*F87/F$89</f>
        <v>39.789361272169316</v>
      </c>
      <c r="J87" s="568" t="s">
        <v>321</v>
      </c>
      <c r="K87" s="568"/>
      <c r="L87" s="685"/>
      <c r="M87" s="379"/>
      <c r="N87" s="540" t="s">
        <v>1056</v>
      </c>
      <c r="O87" s="390"/>
    </row>
    <row r="88" spans="1:15" ht="15.75" x14ac:dyDescent="0.3">
      <c r="A88" s="567"/>
      <c r="B88" s="568" t="s">
        <v>123</v>
      </c>
      <c r="C88" s="568" t="s">
        <v>925</v>
      </c>
      <c r="D88" s="568"/>
      <c r="E88" s="683" t="s">
        <v>134</v>
      </c>
      <c r="F88" s="686">
        <f>C65/C64</f>
        <v>1.9066387629345425</v>
      </c>
      <c r="G88" s="686"/>
      <c r="H88" s="568" t="s">
        <v>501</v>
      </c>
      <c r="I88" s="574">
        <f>$I$86*F88/F$89</f>
        <v>75.863938553924498</v>
      </c>
      <c r="J88" s="568" t="s">
        <v>321</v>
      </c>
      <c r="K88" s="568"/>
      <c r="L88" s="685"/>
      <c r="M88" s="379"/>
      <c r="N88" s="541"/>
      <c r="O88" s="390"/>
    </row>
    <row r="89" spans="1:15" x14ac:dyDescent="0.2">
      <c r="A89" s="567"/>
      <c r="B89" s="568"/>
      <c r="C89" s="568"/>
      <c r="D89" s="568"/>
      <c r="E89" s="568" t="s">
        <v>533</v>
      </c>
      <c r="F89" s="686">
        <f>SUM(F87:F88)</f>
        <v>2.9066387629345423</v>
      </c>
      <c r="G89" s="686"/>
      <c r="H89" s="568" t="s">
        <v>501</v>
      </c>
      <c r="I89" s="568"/>
      <c r="J89" s="568"/>
      <c r="K89" s="568"/>
      <c r="L89" s="685"/>
      <c r="M89" s="379"/>
      <c r="N89" s="541"/>
      <c r="O89" s="390"/>
    </row>
    <row r="90" spans="1:15" ht="14.25" x14ac:dyDescent="0.25">
      <c r="A90" s="519"/>
      <c r="B90" s="520"/>
      <c r="C90" s="520"/>
      <c r="D90" s="520"/>
      <c r="E90" s="523" t="s">
        <v>1058</v>
      </c>
      <c r="F90" s="521"/>
      <c r="G90" s="521"/>
      <c r="H90" s="687"/>
      <c r="I90" s="520"/>
      <c r="J90" s="523" t="s">
        <v>747</v>
      </c>
      <c r="K90" s="687"/>
      <c r="L90" s="525">
        <f>I87</f>
        <v>39.789361272169316</v>
      </c>
      <c r="M90" s="379"/>
      <c r="N90" s="545">
        <f>L90/$E$66</f>
        <v>1404.2583808977911</v>
      </c>
      <c r="O90" s="379"/>
    </row>
    <row r="91" spans="1:15" x14ac:dyDescent="0.2">
      <c r="A91" s="390"/>
      <c r="B91" s="390"/>
      <c r="C91" s="390"/>
      <c r="D91" s="379"/>
      <c r="E91" s="379"/>
      <c r="F91" s="551"/>
      <c r="G91" s="551"/>
      <c r="H91" s="437"/>
      <c r="I91" s="378"/>
      <c r="J91" s="379"/>
      <c r="K91" s="379"/>
      <c r="L91" s="586"/>
      <c r="M91" s="379"/>
      <c r="O91" s="379"/>
    </row>
    <row r="92" spans="1:15" x14ac:dyDescent="0.2">
      <c r="A92" s="390"/>
      <c r="B92" s="390"/>
      <c r="C92" s="390"/>
      <c r="D92" s="390"/>
      <c r="E92" s="390"/>
      <c r="F92" s="390"/>
      <c r="G92" s="390"/>
      <c r="H92" s="390"/>
      <c r="I92" s="529"/>
      <c r="J92" s="529"/>
      <c r="K92" s="529"/>
      <c r="L92" s="529"/>
      <c r="M92" s="379"/>
      <c r="N92" s="390"/>
      <c r="O92" s="390"/>
    </row>
    <row r="93" spans="1:15" ht="15.75" x14ac:dyDescent="0.25">
      <c r="A93" s="530" t="s">
        <v>1211</v>
      </c>
      <c r="B93" s="531"/>
      <c r="C93" s="531"/>
      <c r="D93" s="531"/>
      <c r="E93" s="530" t="s">
        <v>513</v>
      </c>
      <c r="F93" s="532"/>
      <c r="G93" s="532"/>
      <c r="H93" s="531"/>
      <c r="I93" s="532" t="s">
        <v>532</v>
      </c>
      <c r="J93" s="533"/>
      <c r="K93" s="533"/>
      <c r="L93" s="534"/>
      <c r="M93" s="379"/>
      <c r="N93" s="535" t="s">
        <v>162</v>
      </c>
      <c r="O93" s="390"/>
    </row>
    <row r="94" spans="1:15" ht="15.75" x14ac:dyDescent="0.3">
      <c r="A94" s="503"/>
      <c r="B94" s="511" t="s">
        <v>1040</v>
      </c>
      <c r="C94" s="593">
        <v>1</v>
      </c>
      <c r="D94" s="495" t="s">
        <v>645</v>
      </c>
      <c r="E94" s="553">
        <f>E64*C94</f>
        <v>19061.859801980201</v>
      </c>
      <c r="F94" s="499" t="s">
        <v>654</v>
      </c>
      <c r="G94" s="499"/>
      <c r="H94" s="495"/>
      <c r="I94" s="492" t="s">
        <v>746</v>
      </c>
      <c r="J94" s="514"/>
      <c r="K94" s="514"/>
      <c r="L94" s="537"/>
      <c r="M94" s="379"/>
      <c r="N94" s="554" t="s">
        <v>588</v>
      </c>
      <c r="O94" s="390"/>
    </row>
    <row r="95" spans="1:15" ht="15.75" x14ac:dyDescent="0.3">
      <c r="A95" s="503"/>
      <c r="B95" s="495"/>
      <c r="C95" s="495"/>
      <c r="D95" s="495"/>
      <c r="E95" s="505">
        <f>E65*C94</f>
        <v>0.34063366336633666</v>
      </c>
      <c r="F95" s="506" t="s">
        <v>927</v>
      </c>
      <c r="G95" s="506"/>
      <c r="H95" s="495"/>
      <c r="I95" s="539" t="s">
        <v>1053</v>
      </c>
      <c r="J95" s="539" t="s">
        <v>1054</v>
      </c>
      <c r="K95" s="539" t="s">
        <v>1055</v>
      </c>
      <c r="L95" s="540" t="s">
        <v>1056</v>
      </c>
      <c r="M95" s="379"/>
      <c r="N95" s="540" t="s">
        <v>1056</v>
      </c>
      <c r="O95" s="390"/>
    </row>
    <row r="96" spans="1:15" x14ac:dyDescent="0.2">
      <c r="A96" s="503"/>
      <c r="B96" s="511" t="s">
        <v>498</v>
      </c>
      <c r="C96" s="495"/>
      <c r="D96" s="495"/>
      <c r="E96" s="505"/>
      <c r="F96" s="506"/>
      <c r="G96" s="506"/>
      <c r="H96" s="495"/>
      <c r="I96" s="539"/>
      <c r="J96" s="539"/>
      <c r="K96" s="539"/>
      <c r="L96" s="540"/>
      <c r="M96" s="379"/>
      <c r="N96" s="541"/>
      <c r="O96" s="390"/>
    </row>
    <row r="97" spans="1:15" ht="15.75" x14ac:dyDescent="0.3">
      <c r="A97" s="503"/>
      <c r="B97" s="495" t="s">
        <v>159</v>
      </c>
      <c r="C97" s="595">
        <v>0</v>
      </c>
      <c r="D97" s="495" t="s">
        <v>510</v>
      </c>
      <c r="E97" s="543">
        <f>(C97*E95)/(VLOOKUP($B94,'Standard values'!$C$9:$S$162,14, FALSE))/1000</f>
        <v>0</v>
      </c>
      <c r="F97" s="495" t="s">
        <v>406</v>
      </c>
      <c r="G97" s="495"/>
      <c r="H97" s="495"/>
      <c r="I97" s="544">
        <f>$E97*VLOOKUP($B97,'Standard values'!$C$9:$S$162,15, FALSE)*VLOOKUP(C98,'Standard values'!$C$9:$S$162,7, FALSE)/$E$239</f>
        <v>0</v>
      </c>
      <c r="J97" s="544">
        <f>$E97*((VLOOKUP($B97,'Standard values'!$C$9:$S$162,15, FALSE)*VLOOKUP(C98,'Standard values'!$C$9:$S$162,8, FALSE))+VLOOKUP($B97,'Standard values'!$C$9:$S$162,16, FALSE))/$E$239</f>
        <v>0</v>
      </c>
      <c r="K97" s="544">
        <f>$E97*((VLOOKUP($B97,'Standard values'!$C$9:$S$162,15, FALSE)*VLOOKUP(C98,'Standard values'!$C$9:$S$162,9, FALSE))+VLOOKUP($B97,'Standard values'!$C$9:$S$162,17, FALSE))/$E$239</f>
        <v>0</v>
      </c>
      <c r="L97" s="419">
        <f>I97*'Standard values'!$D$10+J97*'Standard values'!$D$11+K97*'Standard values'!$D$12</f>
        <v>0</v>
      </c>
      <c r="M97" s="379"/>
      <c r="N97" s="562">
        <f>+L97/E$66</f>
        <v>0</v>
      </c>
      <c r="O97" s="390"/>
    </row>
    <row r="98" spans="1:15" x14ac:dyDescent="0.2">
      <c r="A98" s="503"/>
      <c r="B98" s="546" t="s">
        <v>54</v>
      </c>
      <c r="C98" s="673" t="s">
        <v>509</v>
      </c>
      <c r="D98" s="495"/>
      <c r="E98" s="543"/>
      <c r="F98" s="495"/>
      <c r="G98" s="495"/>
      <c r="H98" s="495"/>
      <c r="I98" s="544"/>
      <c r="J98" s="544"/>
      <c r="K98" s="544"/>
      <c r="L98" s="516">
        <f>SUM(L97:L97)</f>
        <v>0</v>
      </c>
      <c r="M98" s="379"/>
      <c r="N98" s="545">
        <f>L98/$E$66</f>
        <v>0</v>
      </c>
      <c r="O98" s="390"/>
    </row>
    <row r="99" spans="1:15" x14ac:dyDescent="0.2">
      <c r="A99" s="503"/>
      <c r="B99" s="495"/>
      <c r="C99" s="495"/>
      <c r="D99" s="495"/>
      <c r="E99" s="543"/>
      <c r="F99" s="495"/>
      <c r="G99" s="495"/>
      <c r="H99" s="495"/>
      <c r="I99" s="544"/>
      <c r="J99" s="544"/>
      <c r="K99" s="544"/>
      <c r="L99" s="516"/>
      <c r="M99" s="379"/>
      <c r="N99" s="390"/>
      <c r="O99" s="390"/>
    </row>
    <row r="100" spans="1:15" ht="14.25" x14ac:dyDescent="0.25">
      <c r="A100" s="519"/>
      <c r="B100" s="520"/>
      <c r="C100" s="520"/>
      <c r="D100" s="520"/>
      <c r="E100" s="519"/>
      <c r="F100" s="521"/>
      <c r="G100" s="521"/>
      <c r="H100" s="521" t="s">
        <v>534</v>
      </c>
      <c r="I100" s="520"/>
      <c r="J100" s="523" t="s">
        <v>747</v>
      </c>
      <c r="K100" s="549"/>
      <c r="L100" s="525">
        <f>L98</f>
        <v>0</v>
      </c>
      <c r="M100" s="379"/>
      <c r="N100" s="390"/>
      <c r="O100" s="390"/>
    </row>
    <row r="101" spans="1:15" x14ac:dyDescent="0.2">
      <c r="A101" s="390"/>
      <c r="B101" s="390"/>
      <c r="C101" s="390"/>
      <c r="D101" s="390"/>
      <c r="E101" s="390"/>
      <c r="F101" s="376"/>
      <c r="G101" s="376"/>
      <c r="H101" s="376"/>
      <c r="I101" s="390"/>
      <c r="J101" s="550"/>
      <c r="K101" s="551"/>
      <c r="L101" s="552"/>
      <c r="M101" s="379"/>
      <c r="N101" s="379"/>
      <c r="O101" s="379"/>
    </row>
    <row r="102" spans="1:15" x14ac:dyDescent="0.2">
      <c r="A102" s="390"/>
      <c r="B102" s="390"/>
      <c r="C102" s="390"/>
      <c r="D102" s="379"/>
      <c r="E102" s="379"/>
      <c r="F102" s="551"/>
      <c r="G102" s="551"/>
      <c r="H102" s="437"/>
      <c r="I102" s="378"/>
      <c r="J102" s="379"/>
      <c r="K102" s="379"/>
      <c r="L102" s="586"/>
      <c r="M102" s="379"/>
      <c r="N102" s="379"/>
      <c r="O102" s="379"/>
    </row>
    <row r="103" spans="1:15" ht="15.75" x14ac:dyDescent="0.25">
      <c r="A103" s="530" t="s">
        <v>642</v>
      </c>
      <c r="B103" s="531"/>
      <c r="C103" s="531"/>
      <c r="D103" s="531"/>
      <c r="E103" s="530" t="s">
        <v>513</v>
      </c>
      <c r="F103" s="532"/>
      <c r="G103" s="532"/>
      <c r="H103" s="531"/>
      <c r="I103" s="532" t="s">
        <v>532</v>
      </c>
      <c r="J103" s="533"/>
      <c r="K103" s="533"/>
      <c r="L103" s="534"/>
      <c r="M103" s="379"/>
      <c r="N103" s="535" t="s">
        <v>162</v>
      </c>
      <c r="O103" s="379"/>
    </row>
    <row r="104" spans="1:15" x14ac:dyDescent="0.2">
      <c r="A104" s="503"/>
      <c r="B104" s="511" t="s">
        <v>524</v>
      </c>
      <c r="C104" s="495"/>
      <c r="D104" s="495"/>
      <c r="E104" s="553"/>
      <c r="F104" s="499"/>
      <c r="G104" s="499"/>
      <c r="H104" s="495"/>
      <c r="I104" s="492" t="s">
        <v>746</v>
      </c>
      <c r="J104" s="514"/>
      <c r="K104" s="514"/>
      <c r="L104" s="537"/>
      <c r="M104" s="379"/>
      <c r="N104" s="554" t="s">
        <v>541</v>
      </c>
      <c r="O104" s="379"/>
    </row>
    <row r="105" spans="1:15" ht="15.75" x14ac:dyDescent="0.3">
      <c r="A105" s="503"/>
      <c r="B105" s="495" t="s">
        <v>1040</v>
      </c>
      <c r="C105" s="593">
        <v>0.96</v>
      </c>
      <c r="D105" s="495" t="s">
        <v>645</v>
      </c>
      <c r="E105" s="553">
        <f>E94*C105</f>
        <v>18299.385409900991</v>
      </c>
      <c r="F105" s="499" t="s">
        <v>654</v>
      </c>
      <c r="G105" s="499"/>
      <c r="H105" s="495"/>
      <c r="I105" s="539" t="s">
        <v>1053</v>
      </c>
      <c r="J105" s="539" t="s">
        <v>1054</v>
      </c>
      <c r="K105" s="539" t="s">
        <v>1055</v>
      </c>
      <c r="L105" s="540" t="s">
        <v>1056</v>
      </c>
      <c r="M105" s="379"/>
      <c r="N105" s="540" t="s">
        <v>1056</v>
      </c>
      <c r="O105" s="379"/>
    </row>
    <row r="106" spans="1:15" ht="15.75" x14ac:dyDescent="0.3">
      <c r="A106" s="563"/>
      <c r="B106" s="506"/>
      <c r="C106" s="564"/>
      <c r="D106" s="506"/>
      <c r="E106" s="505">
        <f>E95*C105</f>
        <v>0.32700831683168319</v>
      </c>
      <c r="F106" s="506" t="s">
        <v>927</v>
      </c>
      <c r="G106" s="506"/>
      <c r="H106" s="495"/>
      <c r="I106" s="495"/>
      <c r="J106" s="495"/>
      <c r="K106" s="495"/>
      <c r="L106" s="541"/>
      <c r="M106" s="379"/>
      <c r="N106" s="541"/>
      <c r="O106" s="379"/>
    </row>
    <row r="107" spans="1:15" ht="15.75" x14ac:dyDescent="0.3">
      <c r="A107" s="563"/>
      <c r="B107" s="511" t="s">
        <v>525</v>
      </c>
      <c r="C107" s="495"/>
      <c r="D107" s="506"/>
      <c r="E107" s="505">
        <f>E105/$E$238/VLOOKUP($B105,'Standard values'!$C$9:$S$162,14, FALSE)</f>
        <v>2.7201394943330424E-2</v>
      </c>
      <c r="F107" s="499" t="s">
        <v>542</v>
      </c>
      <c r="G107" s="499"/>
      <c r="H107" s="495"/>
      <c r="I107" s="495"/>
      <c r="J107" s="495"/>
      <c r="K107" s="495"/>
      <c r="L107" s="541"/>
      <c r="M107" s="379"/>
      <c r="N107" s="541"/>
      <c r="O107" s="379"/>
    </row>
    <row r="108" spans="1:15" ht="15.75" x14ac:dyDescent="0.3">
      <c r="A108" s="503"/>
      <c r="B108" s="1301" t="s">
        <v>50</v>
      </c>
      <c r="C108" s="676">
        <f>1.4*0.0006</f>
        <v>8.3999999999999993E-4</v>
      </c>
      <c r="D108" s="495" t="s">
        <v>644</v>
      </c>
      <c r="E108" s="513"/>
      <c r="F108" s="495"/>
      <c r="G108" s="495"/>
      <c r="H108" s="495"/>
      <c r="I108" s="544">
        <f>$C108*$E$106*VLOOKUP($B108,'Standard values'!$C$9:$S$162,7, FALSE)/$E$239</f>
        <v>0.10091108593548384</v>
      </c>
      <c r="J108" s="544">
        <f>$C108*$E$106*VLOOKUP($B108,'Standard values'!$C$9:$S$162,8, FALSE)/$E$239</f>
        <v>2.4608748387096768E-4</v>
      </c>
      <c r="K108" s="544">
        <f>$C108*$E$106*VLOOKUP($B108,'Standard values'!$C$9:$S$162,9, FALSE)/$E$239</f>
        <v>4.5558709677419349E-6</v>
      </c>
      <c r="L108" s="419">
        <f>I108*'Standard values'!$D$10+J108*'Standard values'!$D$11+K108*'Standard values'!$D$12</f>
        <v>0.10842092258064513</v>
      </c>
      <c r="M108" s="379"/>
      <c r="N108" s="562">
        <f>L108/$E$107</f>
        <v>3.985858916666666</v>
      </c>
      <c r="O108" s="379"/>
    </row>
    <row r="109" spans="1:15" ht="15.75" x14ac:dyDescent="0.3">
      <c r="A109" s="503"/>
      <c r="B109" s="495" t="s">
        <v>827</v>
      </c>
      <c r="C109" s="675">
        <f>1.4*0.00822222222222222</f>
        <v>1.1511111111111106E-2</v>
      </c>
      <c r="D109" s="495" t="s">
        <v>644</v>
      </c>
      <c r="E109" s="503"/>
      <c r="F109" s="495"/>
      <c r="G109" s="495"/>
      <c r="H109" s="495"/>
      <c r="I109" s="544"/>
      <c r="J109" s="544"/>
      <c r="K109" s="544"/>
      <c r="L109" s="419"/>
      <c r="M109" s="379"/>
      <c r="N109" s="562"/>
      <c r="O109" s="379"/>
    </row>
    <row r="110" spans="1:15" x14ac:dyDescent="0.2">
      <c r="A110" s="503"/>
      <c r="B110" s="571" t="s">
        <v>729</v>
      </c>
      <c r="C110" s="566"/>
      <c r="D110" s="566"/>
      <c r="E110" s="567"/>
      <c r="F110" s="568"/>
      <c r="G110" s="568"/>
      <c r="H110" s="568"/>
      <c r="I110" s="569" t="s">
        <v>830</v>
      </c>
      <c r="J110" s="568"/>
      <c r="K110" s="568"/>
      <c r="L110" s="688"/>
      <c r="M110" s="379"/>
      <c r="N110" s="562"/>
      <c r="O110" s="379"/>
    </row>
    <row r="111" spans="1:15" ht="15.75" x14ac:dyDescent="0.3">
      <c r="A111" s="503"/>
      <c r="B111" s="679" t="s">
        <v>826</v>
      </c>
      <c r="C111" s="573"/>
      <c r="D111" s="566"/>
      <c r="E111" s="567"/>
      <c r="F111" s="568"/>
      <c r="G111" s="568"/>
      <c r="H111" s="568"/>
      <c r="I111" s="574">
        <f>$C109*$E$106*VLOOKUP($B111,'Standard values'!$C$9:$S$159,7, FALSE)/$E$239</f>
        <v>0</v>
      </c>
      <c r="J111" s="574">
        <f>$C109*$E$106*VLOOKUP($B111,'Standard values'!$C$9:$S$159,8, FALSE)/$E$239</f>
        <v>3.2181600955794489E-5</v>
      </c>
      <c r="K111" s="574">
        <f>$C109*$E$106*VLOOKUP($B111,'Standard values'!$C$9:$S$159,9, FALSE)/$E$239</f>
        <v>1.2872640382317793E-5</v>
      </c>
      <c r="L111" s="575">
        <f>I111*'Standard values'!$D$10+J111*'Standard values'!$D$11+K111*'Standard values'!$D$12</f>
        <v>4.6405868578255644E-3</v>
      </c>
      <c r="M111" s="379"/>
      <c r="N111" s="562">
        <f>L111/$E$107</f>
        <v>0.17060106172839495</v>
      </c>
      <c r="O111" s="379"/>
    </row>
    <row r="112" spans="1:15" ht="14.25" x14ac:dyDescent="0.25">
      <c r="A112" s="503"/>
      <c r="B112" s="582" t="s">
        <v>828</v>
      </c>
      <c r="C112" s="536">
        <f>1/0.9</f>
        <v>1.1111111111111112</v>
      </c>
      <c r="D112" s="568" t="s">
        <v>419</v>
      </c>
      <c r="E112" s="567"/>
      <c r="F112" s="568"/>
      <c r="G112" s="568"/>
      <c r="H112" s="568"/>
      <c r="I112" s="574"/>
      <c r="J112" s="581"/>
      <c r="K112" s="581"/>
      <c r="L112" s="575"/>
      <c r="M112" s="379"/>
      <c r="N112" s="562"/>
      <c r="O112" s="379"/>
    </row>
    <row r="113" spans="1:15" ht="29.25" customHeight="1" x14ac:dyDescent="0.3">
      <c r="A113" s="503"/>
      <c r="B113" s="680" t="s">
        <v>158</v>
      </c>
      <c r="C113" s="573">
        <f>C112*C109</f>
        <v>1.2790123456790118E-2</v>
      </c>
      <c r="D113" s="568" t="s">
        <v>644</v>
      </c>
      <c r="E113" s="567"/>
      <c r="F113" s="568"/>
      <c r="G113" s="568"/>
      <c r="H113" s="568"/>
      <c r="I113" s="574">
        <f>$C113*$E$106*VLOOKUP($B113,'Standard values'!$C$9:$S$162,7, FALSE)/$E$239</f>
        <v>0.81051292903225758</v>
      </c>
      <c r="J113" s="574">
        <f>$C113*$E$106*VLOOKUP($B113,'Standard values'!$C$9:$S$162,8, FALSE)/$E$239</f>
        <v>2.55057066241869E-3</v>
      </c>
      <c r="K113" s="574">
        <f>$C113*$E$106*VLOOKUP($B113,'Standard values'!$C$9:$S$162,9, FALSE)/$E$239</f>
        <v>2.8605867516261768E-6</v>
      </c>
      <c r="L113" s="575">
        <f>I113*'Standard values'!$D$10+J113*'Standard values'!$D$11+K113*'Standard values'!$D$12</f>
        <v>0.87512965044470947</v>
      </c>
      <c r="M113" s="379"/>
      <c r="N113" s="562">
        <f>L113/$E$107</f>
        <v>32.172234264746216</v>
      </c>
      <c r="O113" s="379"/>
    </row>
    <row r="114" spans="1:15" ht="14.25" x14ac:dyDescent="0.25">
      <c r="A114" s="503"/>
      <c r="B114" s="582" t="s">
        <v>829</v>
      </c>
      <c r="C114" s="536">
        <v>0.02</v>
      </c>
      <c r="D114" s="568" t="s">
        <v>419</v>
      </c>
      <c r="E114" s="567"/>
      <c r="F114" s="568"/>
      <c r="G114" s="568"/>
      <c r="H114" s="568"/>
      <c r="I114" s="574"/>
      <c r="J114" s="581"/>
      <c r="K114" s="581"/>
      <c r="L114" s="575"/>
      <c r="M114" s="379"/>
      <c r="N114" s="562"/>
      <c r="O114" s="379"/>
    </row>
    <row r="115" spans="1:15" ht="15.75" x14ac:dyDescent="0.3">
      <c r="A115" s="503"/>
      <c r="B115" s="1301" t="s">
        <v>50</v>
      </c>
      <c r="C115" s="573">
        <f>C114*C109</f>
        <v>2.3022222222222213E-4</v>
      </c>
      <c r="D115" s="568" t="s">
        <v>644</v>
      </c>
      <c r="E115" s="567"/>
      <c r="F115" s="568"/>
      <c r="G115" s="568"/>
      <c r="H115" s="568"/>
      <c r="I115" s="574">
        <f>$C115*$E$106*VLOOKUP($B115,'Standard values'!$C$9:$S$162,7, FALSE)/$E$239</f>
        <v>2.765711244157705E-2</v>
      </c>
      <c r="J115" s="574">
        <f>$C115*$E$106*VLOOKUP($B115,'Standard values'!$C$9:$S$162,8, FALSE)/$E$239</f>
        <v>6.7446199283154097E-5</v>
      </c>
      <c r="K115" s="574">
        <f>$C115*$E$106*VLOOKUP($B115,'Standard values'!$C$9:$S$162,9, FALSE)/$E$239</f>
        <v>1.2486461170848262E-6</v>
      </c>
      <c r="L115" s="575">
        <f>I115*'Standard values'!$D$10+J115*'Standard values'!$D$11+K115*'Standard values'!$D$12</f>
        <v>2.9715363966547181E-2</v>
      </c>
      <c r="M115" s="379"/>
      <c r="N115" s="562">
        <f>L115/$E$107</f>
        <v>1.0924205919753083</v>
      </c>
      <c r="O115" s="379"/>
    </row>
    <row r="116" spans="1:15" x14ac:dyDescent="0.2">
      <c r="A116" s="503"/>
      <c r="B116" s="495"/>
      <c r="C116" s="499"/>
      <c r="D116" s="495"/>
      <c r="E116" s="503"/>
      <c r="F116" s="495"/>
      <c r="G116" s="495"/>
      <c r="H116" s="495"/>
      <c r="I116" s="544"/>
      <c r="J116" s="544"/>
      <c r="K116" s="544"/>
      <c r="L116" s="419"/>
      <c r="M116" s="379"/>
      <c r="N116" s="562"/>
      <c r="O116" s="379"/>
    </row>
    <row r="117" spans="1:15" x14ac:dyDescent="0.2">
      <c r="A117" s="503"/>
      <c r="B117" s="511" t="s">
        <v>641</v>
      </c>
      <c r="C117" s="499"/>
      <c r="D117" s="495"/>
      <c r="E117" s="503"/>
      <c r="F117" s="495"/>
      <c r="G117" s="495"/>
      <c r="H117" s="495"/>
      <c r="I117" s="544"/>
      <c r="J117" s="544"/>
      <c r="K117" s="544"/>
      <c r="L117" s="419"/>
      <c r="M117" s="379"/>
      <c r="N117" s="562"/>
      <c r="O117" s="379"/>
    </row>
    <row r="118" spans="1:15" ht="15.75" x14ac:dyDescent="0.3">
      <c r="A118" s="503"/>
      <c r="B118" s="674" t="s">
        <v>142</v>
      </c>
      <c r="C118" s="675">
        <f>1.4*0.000166666666666667</f>
        <v>2.3333333333333379E-4</v>
      </c>
      <c r="D118" s="495" t="s">
        <v>646</v>
      </c>
      <c r="E118" s="503"/>
      <c r="F118" s="495"/>
      <c r="G118" s="495"/>
      <c r="H118" s="495"/>
      <c r="I118" s="544">
        <f>$C118*$E$106*VLOOKUP($B118,'Standard values'!$C$9:$S$162,3, FALSE)/$E$239</f>
        <v>4.6263225806451702E-2</v>
      </c>
      <c r="J118" s="544">
        <f>$C118*$E$106*VLOOKUP($B118,'Standard values'!$C$9:$S$162,4, FALSE)/$E$239</f>
        <v>8.759483870967757E-6</v>
      </c>
      <c r="K118" s="544">
        <f>$C118*$E$106*VLOOKUP($B118,'Standard values'!$C$9:$S$162,5, FALSE)/$E$239</f>
        <v>1.4794838709677448E-6</v>
      </c>
      <c r="L118" s="419">
        <f>I118*'Standard values'!$D$10+J118*'Standard values'!$D$11+K118*'Standard values'!$D$12</f>
        <v>4.6923099096774286E-2</v>
      </c>
      <c r="M118" s="379"/>
      <c r="N118" s="562">
        <f>L118/$E$107</f>
        <v>1.7250254700000036</v>
      </c>
      <c r="O118" s="379"/>
    </row>
    <row r="119" spans="1:15" x14ac:dyDescent="0.2">
      <c r="A119" s="503"/>
      <c r="B119" s="682"/>
      <c r="C119" s="499"/>
      <c r="D119" s="499"/>
      <c r="E119" s="681"/>
      <c r="F119" s="495"/>
      <c r="G119" s="495"/>
      <c r="H119" s="514" t="s">
        <v>1047</v>
      </c>
      <c r="I119" s="583">
        <f>SUM(I106:I118)</f>
        <v>0.98534435321577019</v>
      </c>
      <c r="J119" s="583">
        <f>SUM(J106:J118)</f>
        <v>2.9050454303995743E-3</v>
      </c>
      <c r="K119" s="583">
        <f>SUM(K106:K118)</f>
        <v>2.3017228089738476E-5</v>
      </c>
      <c r="L119" s="516">
        <f>I119*'Standard values'!$D$10+J119*'Standard values'!$D$11+K119*'Standard values'!$D$12</f>
        <v>1.0648296229465015</v>
      </c>
      <c r="M119" s="379"/>
      <c r="N119" s="545">
        <f>L119/$E$107</f>
        <v>39.146140305116582</v>
      </c>
      <c r="O119" s="379"/>
    </row>
    <row r="120" spans="1:15" x14ac:dyDescent="0.2">
      <c r="A120" s="503"/>
      <c r="B120" s="682"/>
      <c r="C120" s="499"/>
      <c r="D120" s="499"/>
      <c r="E120" s="503"/>
      <c r="F120" s="495"/>
      <c r="G120" s="495"/>
      <c r="H120" s="495"/>
      <c r="I120" s="495"/>
      <c r="J120" s="495"/>
      <c r="K120" s="495"/>
      <c r="L120" s="541"/>
      <c r="M120" s="379"/>
      <c r="N120" s="390"/>
      <c r="O120" s="379"/>
    </row>
    <row r="121" spans="1:15" ht="14.25" x14ac:dyDescent="0.25">
      <c r="A121" s="519"/>
      <c r="B121" s="520"/>
      <c r="C121" s="520"/>
      <c r="D121" s="520"/>
      <c r="E121" s="519"/>
      <c r="F121" s="521"/>
      <c r="G121" s="521"/>
      <c r="H121" s="521" t="s">
        <v>534</v>
      </c>
      <c r="I121" s="520"/>
      <c r="J121" s="523" t="s">
        <v>747</v>
      </c>
      <c r="K121" s="549"/>
      <c r="L121" s="525">
        <f>L119</f>
        <v>1.0648296229465015</v>
      </c>
      <c r="M121" s="379"/>
      <c r="N121" s="390"/>
      <c r="O121" s="379"/>
    </row>
    <row r="122" spans="1:15" x14ac:dyDescent="0.2">
      <c r="A122" s="390"/>
      <c r="B122" s="390"/>
      <c r="C122" s="390"/>
      <c r="D122" s="379"/>
      <c r="E122" s="379"/>
      <c r="F122" s="551"/>
      <c r="G122" s="551"/>
      <c r="H122" s="437"/>
      <c r="I122" s="378"/>
      <c r="J122" s="379"/>
      <c r="K122" s="379"/>
      <c r="L122" s="586"/>
      <c r="M122" s="379"/>
      <c r="N122" s="379"/>
      <c r="O122" s="379"/>
    </row>
    <row r="123" spans="1:15" x14ac:dyDescent="0.2">
      <c r="A123" s="390"/>
      <c r="B123" s="390"/>
      <c r="C123" s="390"/>
      <c r="D123" s="390"/>
      <c r="E123" s="390"/>
      <c r="F123" s="390"/>
      <c r="G123" s="390"/>
      <c r="H123" s="390"/>
      <c r="I123" s="529"/>
      <c r="J123" s="529"/>
      <c r="K123" s="529"/>
      <c r="L123" s="529"/>
      <c r="M123" s="379"/>
      <c r="N123" s="390"/>
      <c r="O123" s="390"/>
    </row>
    <row r="124" spans="1:15" ht="15.75" x14ac:dyDescent="0.25">
      <c r="A124" s="530" t="s">
        <v>1214</v>
      </c>
      <c r="B124" s="531"/>
      <c r="C124" s="531"/>
      <c r="D124" s="531"/>
      <c r="E124" s="530" t="s">
        <v>513</v>
      </c>
      <c r="F124" s="532"/>
      <c r="G124" s="532"/>
      <c r="H124" s="531"/>
      <c r="I124" s="532" t="s">
        <v>532</v>
      </c>
      <c r="J124" s="533"/>
      <c r="K124" s="533"/>
      <c r="L124" s="534"/>
      <c r="M124" s="379"/>
      <c r="N124" s="535" t="s">
        <v>162</v>
      </c>
      <c r="O124" s="390"/>
    </row>
    <row r="125" spans="1:15" ht="15.75" x14ac:dyDescent="0.3">
      <c r="A125" s="503"/>
      <c r="B125" s="511" t="s">
        <v>1210</v>
      </c>
      <c r="C125" s="593">
        <v>1</v>
      </c>
      <c r="D125" s="495" t="s">
        <v>645</v>
      </c>
      <c r="E125" s="553">
        <f>E105*C125</f>
        <v>18299.385409900991</v>
      </c>
      <c r="F125" s="499" t="s">
        <v>654</v>
      </c>
      <c r="G125" s="499"/>
      <c r="H125" s="495"/>
      <c r="I125" s="492" t="s">
        <v>746</v>
      </c>
      <c r="J125" s="514"/>
      <c r="K125" s="514"/>
      <c r="L125" s="537"/>
      <c r="M125" s="379"/>
      <c r="N125" s="554" t="s">
        <v>541</v>
      </c>
      <c r="O125" s="390"/>
    </row>
    <row r="126" spans="1:15" ht="15.75" x14ac:dyDescent="0.3">
      <c r="A126" s="503"/>
      <c r="B126" s="495"/>
      <c r="C126" s="495"/>
      <c r="D126" s="495"/>
      <c r="E126" s="505">
        <f>E106*C125</f>
        <v>0.32700831683168319</v>
      </c>
      <c r="F126" s="506" t="s">
        <v>927</v>
      </c>
      <c r="G126" s="506"/>
      <c r="H126" s="495"/>
      <c r="I126" s="539" t="s">
        <v>1053</v>
      </c>
      <c r="J126" s="539" t="s">
        <v>1054</v>
      </c>
      <c r="K126" s="539" t="s">
        <v>1055</v>
      </c>
      <c r="L126" s="540" t="s">
        <v>1056</v>
      </c>
      <c r="M126" s="379"/>
      <c r="N126" s="540" t="s">
        <v>1056</v>
      </c>
      <c r="O126" s="390"/>
    </row>
    <row r="127" spans="1:15" x14ac:dyDescent="0.2">
      <c r="A127" s="503"/>
      <c r="B127" s="511" t="s">
        <v>498</v>
      </c>
      <c r="C127" s="495"/>
      <c r="D127" s="495"/>
      <c r="E127" s="505"/>
      <c r="F127" s="506"/>
      <c r="G127" s="506"/>
      <c r="H127" s="495"/>
      <c r="I127" s="539"/>
      <c r="J127" s="539"/>
      <c r="K127" s="539"/>
      <c r="L127" s="540"/>
      <c r="M127" s="379"/>
      <c r="N127" s="541"/>
      <c r="O127" s="390"/>
    </row>
    <row r="128" spans="1:15" ht="15.75" x14ac:dyDescent="0.3">
      <c r="A128" s="503"/>
      <c r="B128" s="495" t="s">
        <v>159</v>
      </c>
      <c r="C128" s="595">
        <v>0</v>
      </c>
      <c r="D128" s="495" t="s">
        <v>510</v>
      </c>
      <c r="E128" s="543">
        <f>(C128*E126)/(VLOOKUP($B125,'Standard values'!$C$9:$S$162,14, FALSE))/1000</f>
        <v>0</v>
      </c>
      <c r="F128" s="495" t="s">
        <v>406</v>
      </c>
      <c r="G128" s="495"/>
      <c r="H128" s="495"/>
      <c r="I128" s="544">
        <f>$E128*VLOOKUP($B128,'Standard values'!$C$9:$S$162,15, FALSE)*VLOOKUP(C129,'Standard values'!$C$9:$S$162,7, FALSE)/$E$239</f>
        <v>0</v>
      </c>
      <c r="J128" s="544">
        <f>$E128*((VLOOKUP($B128,'Standard values'!$C$9:$S$162,15, FALSE)*VLOOKUP(C129,'Standard values'!$C$9:$S$162,8, FALSE))+VLOOKUP($B128,'Standard values'!$C$9:$S$162,16, FALSE))/$E$239</f>
        <v>0</v>
      </c>
      <c r="K128" s="544">
        <f>$E128*((VLOOKUP($B128,'Standard values'!$C$9:$S$162,15, FALSE)*VLOOKUP(C129,'Standard values'!$C$9:$S$162,9, FALSE))+VLOOKUP($B128,'Standard values'!$C$9:$S$162,17, FALSE))/$E$239</f>
        <v>0</v>
      </c>
      <c r="L128" s="419">
        <f>I128*'Standard values'!$D$10+J128*'Standard values'!$D$11+K128*'Standard values'!$D$12</f>
        <v>0</v>
      </c>
      <c r="M128" s="379"/>
      <c r="N128" s="562">
        <f>+L128/E$107</f>
        <v>0</v>
      </c>
      <c r="O128" s="390"/>
    </row>
    <row r="129" spans="1:15" x14ac:dyDescent="0.2">
      <c r="A129" s="503"/>
      <c r="B129" s="546" t="s">
        <v>54</v>
      </c>
      <c r="C129" s="673" t="s">
        <v>509</v>
      </c>
      <c r="D129" s="495"/>
      <c r="E129" s="543"/>
      <c r="F129" s="495"/>
      <c r="G129" s="495"/>
      <c r="H129" s="495"/>
      <c r="I129" s="544"/>
      <c r="J129" s="544"/>
      <c r="K129" s="544"/>
      <c r="L129" s="516">
        <f>SUM(L128:L128)</f>
        <v>0</v>
      </c>
      <c r="M129" s="379"/>
      <c r="N129" s="545">
        <f>L129/$E$107</f>
        <v>0</v>
      </c>
      <c r="O129" s="390"/>
    </row>
    <row r="130" spans="1:15" x14ac:dyDescent="0.2">
      <c r="A130" s="503"/>
      <c r="B130" s="495"/>
      <c r="C130" s="495"/>
      <c r="D130" s="495"/>
      <c r="E130" s="543"/>
      <c r="F130" s="495"/>
      <c r="G130" s="495"/>
      <c r="H130" s="495"/>
      <c r="I130" s="544"/>
      <c r="J130" s="544"/>
      <c r="K130" s="544"/>
      <c r="L130" s="516"/>
      <c r="M130" s="379"/>
      <c r="N130" s="390"/>
      <c r="O130" s="390"/>
    </row>
    <row r="131" spans="1:15" ht="14.25" x14ac:dyDescent="0.25">
      <c r="A131" s="519"/>
      <c r="B131" s="520"/>
      <c r="C131" s="520"/>
      <c r="D131" s="520"/>
      <c r="E131" s="519"/>
      <c r="F131" s="521"/>
      <c r="G131" s="521"/>
      <c r="H131" s="521" t="s">
        <v>534</v>
      </c>
      <c r="I131" s="520"/>
      <c r="J131" s="523" t="s">
        <v>747</v>
      </c>
      <c r="K131" s="549"/>
      <c r="L131" s="525">
        <f>L129</f>
        <v>0</v>
      </c>
      <c r="M131" s="379"/>
      <c r="N131" s="390"/>
      <c r="O131" s="390"/>
    </row>
    <row r="132" spans="1:15" x14ac:dyDescent="0.2">
      <c r="A132" s="390"/>
      <c r="B132" s="390"/>
      <c r="C132" s="390"/>
      <c r="D132" s="379"/>
      <c r="E132" s="379"/>
      <c r="F132" s="551"/>
      <c r="G132" s="551"/>
      <c r="H132" s="437"/>
      <c r="I132" s="378"/>
      <c r="J132" s="379"/>
      <c r="K132" s="379"/>
      <c r="L132" s="586"/>
      <c r="M132" s="379"/>
      <c r="N132" s="379"/>
      <c r="O132" s="379"/>
    </row>
    <row r="133" spans="1:15" x14ac:dyDescent="0.2">
      <c r="A133" s="390"/>
      <c r="B133" s="390"/>
      <c r="C133" s="390"/>
      <c r="D133" s="379"/>
      <c r="E133" s="379"/>
      <c r="F133" s="551"/>
      <c r="G133" s="551"/>
      <c r="H133" s="437"/>
      <c r="I133" s="378"/>
      <c r="J133" s="379"/>
      <c r="K133" s="379"/>
      <c r="L133" s="586"/>
      <c r="M133" s="379"/>
      <c r="N133" s="379"/>
      <c r="O133" s="379"/>
    </row>
    <row r="134" spans="1:15" ht="15.75" x14ac:dyDescent="0.25">
      <c r="A134" s="530" t="s">
        <v>647</v>
      </c>
      <c r="B134" s="531"/>
      <c r="C134" s="531"/>
      <c r="D134" s="531"/>
      <c r="E134" s="530" t="s">
        <v>513</v>
      </c>
      <c r="F134" s="532"/>
      <c r="G134" s="532"/>
      <c r="H134" s="531"/>
      <c r="I134" s="532" t="s">
        <v>532</v>
      </c>
      <c r="J134" s="533"/>
      <c r="K134" s="533"/>
      <c r="L134" s="534"/>
      <c r="M134" s="379"/>
      <c r="N134" s="535" t="s">
        <v>162</v>
      </c>
      <c r="O134" s="379"/>
    </row>
    <row r="135" spans="1:15" x14ac:dyDescent="0.2">
      <c r="A135" s="503"/>
      <c r="B135" s="511" t="s">
        <v>524</v>
      </c>
      <c r="C135" s="495"/>
      <c r="D135" s="495"/>
      <c r="E135" s="553"/>
      <c r="F135" s="499"/>
      <c r="G135" s="499"/>
      <c r="H135" s="495"/>
      <c r="I135" s="492" t="s">
        <v>746</v>
      </c>
      <c r="J135" s="514"/>
      <c r="K135" s="514"/>
      <c r="L135" s="537"/>
      <c r="M135" s="379"/>
      <c r="N135" s="554" t="s">
        <v>977</v>
      </c>
      <c r="O135" s="379"/>
    </row>
    <row r="136" spans="1:15" ht="15.75" x14ac:dyDescent="0.3">
      <c r="A136" s="503"/>
      <c r="B136" s="495" t="s">
        <v>1094</v>
      </c>
      <c r="C136" s="675">
        <v>0.99358974358974361</v>
      </c>
      <c r="D136" s="495" t="s">
        <v>649</v>
      </c>
      <c r="E136" s="553">
        <f>E125*C136</f>
        <v>18182.081657273422</v>
      </c>
      <c r="F136" s="499" t="s">
        <v>655</v>
      </c>
      <c r="G136" s="499"/>
      <c r="H136" s="495"/>
      <c r="I136" s="539" t="s">
        <v>1053</v>
      </c>
      <c r="J136" s="539" t="s">
        <v>1054</v>
      </c>
      <c r="K136" s="539" t="s">
        <v>1055</v>
      </c>
      <c r="L136" s="540" t="s">
        <v>1056</v>
      </c>
      <c r="M136" s="379"/>
      <c r="N136" s="540" t="s">
        <v>1056</v>
      </c>
      <c r="O136" s="379"/>
    </row>
    <row r="137" spans="1:15" ht="15.75" x14ac:dyDescent="0.3">
      <c r="A137" s="563"/>
      <c r="B137" s="495" t="s">
        <v>128</v>
      </c>
      <c r="C137" s="664">
        <v>105.6</v>
      </c>
      <c r="D137" s="674" t="s">
        <v>650</v>
      </c>
      <c r="E137" s="505">
        <f>E126*C136</f>
        <v>0.32491210967250572</v>
      </c>
      <c r="F137" s="506" t="s">
        <v>927</v>
      </c>
      <c r="G137" s="506"/>
      <c r="H137" s="495"/>
      <c r="I137" s="495"/>
      <c r="J137" s="495"/>
      <c r="K137" s="495"/>
      <c r="L137" s="541"/>
      <c r="M137" s="379"/>
      <c r="N137" s="541"/>
      <c r="O137" s="379"/>
    </row>
    <row r="138" spans="1:15" ht="15.75" x14ac:dyDescent="0.3">
      <c r="A138" s="563"/>
      <c r="B138" s="506"/>
      <c r="C138" s="564"/>
      <c r="D138" s="506"/>
      <c r="E138" s="505">
        <f>E136/$E$238/VLOOKUP($B136,'Standard values'!$C$9:$S$162,14, FALSE)</f>
        <v>2.6881720430107524E-2</v>
      </c>
      <c r="F138" s="499" t="s">
        <v>543</v>
      </c>
      <c r="G138" s="499"/>
      <c r="H138" s="495"/>
      <c r="I138" s="495"/>
      <c r="J138" s="495"/>
      <c r="K138" s="495"/>
      <c r="L138" s="541"/>
      <c r="M138" s="379"/>
      <c r="N138" s="562"/>
      <c r="O138" s="379"/>
    </row>
    <row r="139" spans="1:15" x14ac:dyDescent="0.2">
      <c r="A139" s="503"/>
      <c r="B139" s="511" t="s">
        <v>525</v>
      </c>
      <c r="C139" s="495"/>
      <c r="D139" s="495"/>
      <c r="E139" s="513"/>
      <c r="F139" s="495"/>
      <c r="G139" s="495"/>
      <c r="H139" s="495"/>
      <c r="I139" s="495"/>
      <c r="J139" s="495"/>
      <c r="K139" s="495"/>
      <c r="L139" s="541"/>
      <c r="M139" s="379"/>
      <c r="N139" s="562"/>
      <c r="O139" s="379"/>
    </row>
    <row r="140" spans="1:15" ht="15.75" x14ac:dyDescent="0.3">
      <c r="A140" s="503"/>
      <c r="B140" s="1301" t="s">
        <v>50</v>
      </c>
      <c r="C140" s="676">
        <f>1.4*0.00290322580645161</f>
        <v>4.0645161290322543E-3</v>
      </c>
      <c r="D140" s="495" t="s">
        <v>651</v>
      </c>
      <c r="E140" s="503"/>
      <c r="F140" s="495"/>
      <c r="G140" s="495"/>
      <c r="H140" s="495"/>
      <c r="I140" s="544">
        <f>$C140*$E$137*VLOOKUP($B140,'Standard values'!$C$9:$S$162,7, FALSE)/$E$239</f>
        <v>0.48514945161290274</v>
      </c>
      <c r="J140" s="544">
        <f>$C140*$E$137*VLOOKUP($B140,'Standard values'!$C$9:$S$162,8, FALSE)/$E$239</f>
        <v>1.1831129032258052E-3</v>
      </c>
      <c r="K140" s="544">
        <f>$C140*$E$137*VLOOKUP($B140,'Standard values'!$C$9:$S$162,9, FALSE)/$E$239</f>
        <v>2.1903225806451591E-5</v>
      </c>
      <c r="L140" s="419">
        <f>I140*'Standard values'!$D$10+J140*'Standard values'!$D$11+K140*'Standard values'!$D$12</f>
        <v>0.52125443548387052</v>
      </c>
      <c r="M140" s="379"/>
      <c r="N140" s="562">
        <f>L140/$E$138</f>
        <v>19.390664999999984</v>
      </c>
      <c r="O140" s="379"/>
    </row>
    <row r="141" spans="1:15" ht="15.75" x14ac:dyDescent="0.3">
      <c r="A141" s="503"/>
      <c r="B141" s="495" t="s">
        <v>827</v>
      </c>
      <c r="C141" s="675">
        <f>1.4*0.0718477788639079</f>
        <v>0.10058689040947107</v>
      </c>
      <c r="D141" s="495" t="s">
        <v>651</v>
      </c>
      <c r="E141" s="503"/>
      <c r="F141" s="495"/>
      <c r="G141" s="495"/>
      <c r="H141" s="495"/>
      <c r="I141" s="544"/>
      <c r="J141" s="544"/>
      <c r="K141" s="544"/>
      <c r="L141" s="419"/>
      <c r="M141" s="379"/>
      <c r="N141" s="562"/>
      <c r="O141" s="379"/>
    </row>
    <row r="142" spans="1:15" x14ac:dyDescent="0.2">
      <c r="A142" s="503"/>
      <c r="B142" s="571" t="s">
        <v>729</v>
      </c>
      <c r="C142" s="566"/>
      <c r="D142" s="566"/>
      <c r="E142" s="567"/>
      <c r="F142" s="568"/>
      <c r="G142" s="568"/>
      <c r="H142" s="568"/>
      <c r="I142" s="569" t="s">
        <v>830</v>
      </c>
      <c r="J142" s="568"/>
      <c r="K142" s="568"/>
      <c r="L142" s="688"/>
      <c r="M142" s="379"/>
      <c r="N142" s="562"/>
      <c r="O142" s="379"/>
    </row>
    <row r="143" spans="1:15" ht="15.75" x14ac:dyDescent="0.3">
      <c r="A143" s="503"/>
      <c r="B143" s="679" t="s">
        <v>826</v>
      </c>
      <c r="C143" s="573"/>
      <c r="D143" s="566"/>
      <c r="E143" s="567"/>
      <c r="F143" s="568"/>
      <c r="G143" s="568"/>
      <c r="H143" s="568"/>
      <c r="I143" s="574">
        <f>$C141*$E$137*VLOOKUP($B143,'Standard values'!$C$9:$S$159,7, FALSE)/$E$239</f>
        <v>0</v>
      </c>
      <c r="J143" s="574">
        <f>$C141*$E$137*VLOOKUP($B143,'Standard values'!$C$9:$S$159,8, FALSE)/$E$239</f>
        <v>2.7940802891519742E-4</v>
      </c>
      <c r="K143" s="574">
        <f>$C141*$E$137*VLOOKUP($B143,'Standard values'!$C$9:$S$159,9, FALSE)/$E$239</f>
        <v>1.1176321156607895E-4</v>
      </c>
      <c r="L143" s="575">
        <f>I143*'Standard values'!$D$10+J143*'Standard values'!$D$11+K143*'Standard values'!$D$12</f>
        <v>4.0290637769571459E-2</v>
      </c>
      <c r="M143" s="379"/>
      <c r="N143" s="562">
        <f>L143/$E$138</f>
        <v>1.4988117250280584</v>
      </c>
      <c r="O143" s="379"/>
    </row>
    <row r="144" spans="1:15" ht="14.25" x14ac:dyDescent="0.25">
      <c r="A144" s="503"/>
      <c r="B144" s="582" t="s">
        <v>828</v>
      </c>
      <c r="C144" s="536">
        <f>1/0.9</f>
        <v>1.1111111111111112</v>
      </c>
      <c r="D144" s="568" t="s">
        <v>419</v>
      </c>
      <c r="E144" s="567"/>
      <c r="F144" s="568"/>
      <c r="G144" s="568"/>
      <c r="H144" s="568"/>
      <c r="I144" s="574"/>
      <c r="J144" s="581"/>
      <c r="K144" s="581"/>
      <c r="L144" s="575"/>
      <c r="M144" s="379"/>
      <c r="N144" s="562"/>
      <c r="O144" s="379"/>
    </row>
    <row r="145" spans="1:15" ht="29.25" customHeight="1" x14ac:dyDescent="0.3">
      <c r="A145" s="503"/>
      <c r="B145" s="680" t="s">
        <v>158</v>
      </c>
      <c r="C145" s="573">
        <f>C144*C141</f>
        <v>0.11176321156607896</v>
      </c>
      <c r="D145" s="568" t="s">
        <v>651</v>
      </c>
      <c r="E145" s="567"/>
      <c r="F145" s="568"/>
      <c r="G145" s="568"/>
      <c r="H145" s="568"/>
      <c r="I145" s="574">
        <f>$C145*$E$137*VLOOKUP($B145,'Standard values'!$C$9:$S$162,7, FALSE)/$E$239</f>
        <v>7.0370588530465934</v>
      </c>
      <c r="J145" s="574">
        <f>$C145*$E$137*VLOOKUP($B145,'Standard values'!$C$9:$S$162,8, FALSE)/$E$239</f>
        <v>2.2144638558356695E-2</v>
      </c>
      <c r="K145" s="574">
        <f>$C145*$E$137*VLOOKUP($B145,'Standard values'!$C$9:$S$162,9, FALSE)/$E$239</f>
        <v>2.4836269236906431E-5</v>
      </c>
      <c r="L145" s="575">
        <f>I145*'Standard values'!$D$10+J145*'Standard values'!$D$11+K145*'Standard values'!$D$12</f>
        <v>7.5980760252381092</v>
      </c>
      <c r="M145" s="379"/>
      <c r="N145" s="562">
        <f>L145/$E$138</f>
        <v>282.6484281388577</v>
      </c>
      <c r="O145" s="379"/>
    </row>
    <row r="146" spans="1:15" ht="14.25" x14ac:dyDescent="0.25">
      <c r="A146" s="503"/>
      <c r="B146" s="582" t="s">
        <v>829</v>
      </c>
      <c r="C146" s="536">
        <v>0.02</v>
      </c>
      <c r="D146" s="568" t="s">
        <v>419</v>
      </c>
      <c r="E146" s="567"/>
      <c r="F146" s="568"/>
      <c r="G146" s="568"/>
      <c r="H146" s="568"/>
      <c r="I146" s="574"/>
      <c r="J146" s="581"/>
      <c r="K146" s="581"/>
      <c r="L146" s="575"/>
      <c r="M146" s="379"/>
      <c r="N146" s="562"/>
      <c r="O146" s="379"/>
    </row>
    <row r="147" spans="1:15" ht="15.75" x14ac:dyDescent="0.3">
      <c r="A147" s="503"/>
      <c r="B147" s="1301" t="s">
        <v>50</v>
      </c>
      <c r="C147" s="573">
        <f>C146*C141</f>
        <v>2.0117378081894212E-3</v>
      </c>
      <c r="D147" s="568" t="s">
        <v>651</v>
      </c>
      <c r="E147" s="567"/>
      <c r="F147" s="568"/>
      <c r="G147" s="568"/>
      <c r="H147" s="568"/>
      <c r="I147" s="574">
        <f>$C147*$E$137*VLOOKUP($B147,'Standard values'!$C$9:$S$162,7, FALSE)/$E$239</f>
        <v>0.24012538355074037</v>
      </c>
      <c r="J147" s="574">
        <f>$C147*$E$137*VLOOKUP($B147,'Standard values'!$C$9:$S$162,8, FALSE)/$E$239</f>
        <v>5.8558334700047066E-4</v>
      </c>
      <c r="K147" s="574">
        <f>$C147*$E$137*VLOOKUP($B147,'Standard values'!$C$9:$S$162,9, FALSE)/$E$239</f>
        <v>1.0841031521909657E-5</v>
      </c>
      <c r="L147" s="575">
        <f>I147*'Standard values'!$D$10+J147*'Standard values'!$D$11+K147*'Standard values'!$D$12</f>
        <v>0.25799559461928123</v>
      </c>
      <c r="M147" s="379"/>
      <c r="N147" s="562">
        <f>L147/$E$138</f>
        <v>9.5974361198372637</v>
      </c>
      <c r="O147" s="379"/>
    </row>
    <row r="148" spans="1:15" x14ac:dyDescent="0.2">
      <c r="A148" s="503"/>
      <c r="B148" s="495"/>
      <c r="C148" s="499"/>
      <c r="D148" s="495"/>
      <c r="E148" s="503"/>
      <c r="F148" s="495"/>
      <c r="G148" s="495"/>
      <c r="H148" s="495"/>
      <c r="I148" s="544"/>
      <c r="J148" s="544"/>
      <c r="K148" s="544"/>
      <c r="L148" s="419"/>
      <c r="M148" s="379"/>
      <c r="N148" s="562"/>
      <c r="O148" s="379"/>
    </row>
    <row r="149" spans="1:15" x14ac:dyDescent="0.2">
      <c r="A149" s="503"/>
      <c r="B149" s="511" t="s">
        <v>641</v>
      </c>
      <c r="C149" s="499"/>
      <c r="D149" s="495"/>
      <c r="E149" s="503"/>
      <c r="F149" s="495"/>
      <c r="G149" s="495"/>
      <c r="H149" s="495"/>
      <c r="I149" s="544"/>
      <c r="J149" s="544"/>
      <c r="K149" s="544"/>
      <c r="L149" s="419"/>
      <c r="M149" s="379"/>
      <c r="N149" s="562"/>
      <c r="O149" s="379"/>
    </row>
    <row r="150" spans="1:15" ht="15.75" x14ac:dyDescent="0.3">
      <c r="A150" s="503"/>
      <c r="B150" s="674" t="s">
        <v>241</v>
      </c>
      <c r="C150" s="738">
        <f>1.4*0.0000456989247311828</f>
        <v>6.3978494623655906E-5</v>
      </c>
      <c r="D150" s="495" t="s">
        <v>652</v>
      </c>
      <c r="E150" s="503"/>
      <c r="F150" s="495"/>
      <c r="G150" s="495"/>
      <c r="H150" s="495"/>
      <c r="I150" s="544">
        <f>$C150*$E$137*VLOOKUP($B150,'Standard values'!$C$9:$S$162,3, FALSE)/$E$239</f>
        <v>0.17760430107526876</v>
      </c>
      <c r="J150" s="544">
        <f>$C150*$E$137*VLOOKUP($B150,'Standard values'!$C$9:$S$162,4, FALSE)/$E$239</f>
        <v>5.7112322580645143E-4</v>
      </c>
      <c r="K150" s="544">
        <f>$C150*$E$137*VLOOKUP($B150,'Standard values'!$C$9:$S$162,5, FALSE)/$E$239</f>
        <v>6.5769892473118271E-6</v>
      </c>
      <c r="L150" s="419">
        <f>I150*'Standard values'!$D$10+J150*'Standard values'!$D$11+K150*'Standard values'!$D$12</f>
        <v>0.19384232451612896</v>
      </c>
      <c r="M150" s="379"/>
      <c r="N150" s="562">
        <f t="shared" ref="N150:N155" si="3">L150/$E$138</f>
        <v>7.2109344719999982</v>
      </c>
      <c r="O150" s="379"/>
    </row>
    <row r="151" spans="1:15" ht="15.75" x14ac:dyDescent="0.3">
      <c r="A151" s="503"/>
      <c r="B151" s="674" t="s">
        <v>237</v>
      </c>
      <c r="C151" s="738">
        <f>1.4*0.000537634408602151</f>
        <v>7.5268817204301129E-4</v>
      </c>
      <c r="D151" s="495" t="s">
        <v>652</v>
      </c>
      <c r="E151" s="503"/>
      <c r="F151" s="495"/>
      <c r="G151" s="495"/>
      <c r="H151" s="495"/>
      <c r="I151" s="544">
        <f>$C151*$E$137*VLOOKUP($B151,'Standard values'!$C$9:$S$162,3, FALSE)/$E$239</f>
        <v>0.53996193548387128</v>
      </c>
      <c r="J151" s="544">
        <f>$C151*$E$137*VLOOKUP($B151,'Standard values'!$C$9:$S$162,4, FALSE)/$E$239</f>
        <v>8.4978494623655961E-4</v>
      </c>
      <c r="K151" s="544">
        <f>$C151*$E$137*VLOOKUP($B151,'Standard values'!$C$9:$S$162,5, FALSE)/$E$239</f>
        <v>1.9118279569892483E-5</v>
      </c>
      <c r="L151" s="419">
        <f>I151*'Standard values'!$D$10+J151*'Standard values'!$D$11+K151*'Standard values'!$D$12</f>
        <v>0.5669038064516132</v>
      </c>
      <c r="M151" s="379"/>
      <c r="N151" s="562">
        <f t="shared" si="3"/>
        <v>21.088821600000013</v>
      </c>
      <c r="O151" s="379"/>
    </row>
    <row r="152" spans="1:15" ht="15.75" x14ac:dyDescent="0.3">
      <c r="A152" s="503"/>
      <c r="B152" s="674" t="s">
        <v>648</v>
      </c>
      <c r="C152" s="738">
        <f>1.4*0.0000672043010752688</f>
        <v>9.4086021505376317E-5</v>
      </c>
      <c r="D152" s="495" t="s">
        <v>652</v>
      </c>
      <c r="E152" s="503"/>
      <c r="F152" s="495"/>
      <c r="G152" s="495"/>
      <c r="H152" s="495"/>
      <c r="I152" s="544">
        <f>$C152*$E$137*VLOOKUP($B152,'Standard values'!$C$9:$S$162,3, FALSE)/$E$239</f>
        <v>9.8413978494623633E-2</v>
      </c>
      <c r="J152" s="544">
        <f>$C152*$E$137*VLOOKUP($B152,'Standard values'!$C$9:$S$162,4, FALSE)/$E$239</f>
        <v>5.8333333333333316E-4</v>
      </c>
      <c r="K152" s="544">
        <f>$C152*$E$137*VLOOKUP($B152,'Standard values'!$C$9:$S$162,5, FALSE)/$E$239</f>
        <v>5.174731182795697E-7</v>
      </c>
      <c r="L152" s="419">
        <f>I152*'Standard values'!$D$10+J152*'Standard values'!$D$11+K152*'Standard values'!$D$12</f>
        <v>0.11315151881720427</v>
      </c>
      <c r="M152" s="379"/>
      <c r="N152" s="562">
        <f t="shared" si="3"/>
        <v>4.2092364999999994</v>
      </c>
      <c r="O152" s="379"/>
    </row>
    <row r="153" spans="1:15" ht="15.75" x14ac:dyDescent="0.3">
      <c r="A153" s="503"/>
      <c r="B153" s="674" t="s">
        <v>1107</v>
      </c>
      <c r="C153" s="738">
        <f>1.4*0.000180645161290323</f>
        <v>2.5290322580645222E-4</v>
      </c>
      <c r="D153" s="495" t="s">
        <v>652</v>
      </c>
      <c r="E153" s="503"/>
      <c r="F153" s="495"/>
      <c r="G153" s="495"/>
      <c r="H153" s="495"/>
      <c r="I153" s="544">
        <f>$C153*$E$137*VLOOKUP($B153,'Standard values'!$C$9:$S$162,3, FALSE)/$E$239</f>
        <v>0.11089634477419379</v>
      </c>
      <c r="J153" s="544">
        <f>$C153*$E$137*VLOOKUP($B153,'Standard values'!$C$9:$S$162,4, FALSE)/$E$239</f>
        <v>2.6051561290322639E-4</v>
      </c>
      <c r="K153" s="544">
        <f>$C153*$E$137*VLOOKUP($B153,'Standard values'!$C$9:$S$162,5, FALSE)/$E$239</f>
        <v>6.0696774193548526E-6</v>
      </c>
      <c r="L153" s="419">
        <f>I153*'Standard values'!$D$10+J153*'Standard values'!$D$11+K153*'Standard values'!$D$12</f>
        <v>0.1192179989677422</v>
      </c>
      <c r="M153" s="379"/>
      <c r="N153" s="562">
        <f t="shared" si="3"/>
        <v>4.4349095616000103</v>
      </c>
      <c r="O153" s="379"/>
    </row>
    <row r="154" spans="1:15" ht="15.75" x14ac:dyDescent="0.3">
      <c r="A154" s="503"/>
      <c r="B154" s="674" t="s">
        <v>500</v>
      </c>
      <c r="C154" s="675">
        <f>1.4*0.0584556451612903</f>
        <v>8.1837903225806419E-2</v>
      </c>
      <c r="D154" s="495" t="s">
        <v>651</v>
      </c>
      <c r="E154" s="503"/>
      <c r="F154" s="495"/>
      <c r="G154" s="495"/>
      <c r="H154" s="495"/>
      <c r="I154" s="544">
        <f>$C154*$E$137*VLOOKUP($B154,'Standard values'!$C$9:$S$162,7, FALSE)/$E$239</f>
        <v>7.5943482780465921</v>
      </c>
      <c r="J154" s="544">
        <f>$C154*$E$137*VLOOKUP($B154,'Standard values'!$C$9:$S$162,8, FALSE)/$E$239</f>
        <v>2.3735265210573463E-2</v>
      </c>
      <c r="K154" s="544">
        <f>$C154*$E$137*VLOOKUP($B154,'Standard values'!$C$9:$S$162,9, FALSE)/$E$239</f>
        <v>2.7279301075268799E-5</v>
      </c>
      <c r="L154" s="419">
        <f>I154*'Standard values'!$D$10+J154*'Standard values'!$D$11+K154*'Standard values'!$D$12</f>
        <v>8.1958591400313576</v>
      </c>
      <c r="M154" s="379"/>
      <c r="N154" s="562">
        <f t="shared" si="3"/>
        <v>304.88596000916652</v>
      </c>
      <c r="O154" s="379"/>
    </row>
    <row r="155" spans="1:15" x14ac:dyDescent="0.2">
      <c r="A155" s="503"/>
      <c r="B155" s="682"/>
      <c r="C155" s="499"/>
      <c r="D155" s="499"/>
      <c r="E155" s="681"/>
      <c r="F155" s="495"/>
      <c r="G155" s="495"/>
      <c r="H155" s="514" t="s">
        <v>1047</v>
      </c>
      <c r="I155" s="583">
        <f>SUM(I137:I154)</f>
        <v>16.283558526084782</v>
      </c>
      <c r="J155" s="583">
        <f>SUM(J137:J154)</f>
        <v>5.0192765166351204E-2</v>
      </c>
      <c r="K155" s="583">
        <f>SUM(K137:K154)</f>
        <v>2.2890545856145419E-4</v>
      </c>
      <c r="L155" s="516">
        <f>I155*'Standard values'!$D$10+J155*'Standard values'!$D$11+K155*'Standard values'!$D$12</f>
        <v>17.606591481894874</v>
      </c>
      <c r="M155" s="379"/>
      <c r="N155" s="545">
        <f t="shared" si="3"/>
        <v>654.96520312648943</v>
      </c>
      <c r="O155" s="379"/>
    </row>
    <row r="156" spans="1:15" x14ac:dyDescent="0.2">
      <c r="A156" s="503"/>
      <c r="B156" s="682"/>
      <c r="C156" s="499"/>
      <c r="D156" s="499"/>
      <c r="E156" s="503"/>
      <c r="F156" s="495"/>
      <c r="G156" s="495"/>
      <c r="H156" s="495"/>
      <c r="I156" s="495"/>
      <c r="J156" s="495"/>
      <c r="K156" s="495"/>
      <c r="L156" s="541"/>
      <c r="M156" s="379"/>
      <c r="N156" s="390"/>
      <c r="O156" s="379"/>
    </row>
    <row r="157" spans="1:15" ht="14.25" x14ac:dyDescent="0.25">
      <c r="A157" s="519"/>
      <c r="B157" s="520"/>
      <c r="C157" s="520"/>
      <c r="D157" s="520"/>
      <c r="E157" s="519"/>
      <c r="F157" s="521"/>
      <c r="G157" s="521"/>
      <c r="H157" s="521" t="s">
        <v>534</v>
      </c>
      <c r="I157" s="520"/>
      <c r="J157" s="523" t="s">
        <v>747</v>
      </c>
      <c r="K157" s="549"/>
      <c r="L157" s="525">
        <f>L155</f>
        <v>17.606591481894874</v>
      </c>
      <c r="M157" s="379"/>
      <c r="N157" s="390"/>
      <c r="O157" s="379"/>
    </row>
    <row r="158" spans="1:15" x14ac:dyDescent="0.2">
      <c r="A158" s="390"/>
      <c r="B158" s="390"/>
      <c r="C158" s="390"/>
      <c r="D158" s="379"/>
      <c r="E158" s="379"/>
      <c r="F158" s="551"/>
      <c r="G158" s="551"/>
      <c r="H158" s="437"/>
      <c r="I158" s="378"/>
      <c r="J158" s="379"/>
      <c r="K158" s="379"/>
      <c r="L158" s="586"/>
      <c r="M158" s="379"/>
      <c r="N158" s="379"/>
      <c r="O158" s="379"/>
    </row>
    <row r="159" spans="1:15" x14ac:dyDescent="0.2">
      <c r="A159" s="390"/>
      <c r="B159" s="390"/>
      <c r="C159" s="390"/>
      <c r="D159" s="379"/>
      <c r="E159" s="379"/>
      <c r="F159" s="551"/>
      <c r="G159" s="551"/>
      <c r="H159" s="437"/>
      <c r="I159" s="378"/>
      <c r="J159" s="379"/>
      <c r="K159" s="379"/>
      <c r="L159" s="586"/>
      <c r="M159" s="379"/>
      <c r="N159" s="379"/>
      <c r="O159" s="379"/>
    </row>
    <row r="160" spans="1:15" ht="15.75" x14ac:dyDescent="0.25">
      <c r="A160" s="530" t="s">
        <v>1057</v>
      </c>
      <c r="B160" s="531"/>
      <c r="C160" s="531"/>
      <c r="D160" s="531"/>
      <c r="E160" s="608" t="s">
        <v>526</v>
      </c>
      <c r="F160" s="606"/>
      <c r="G160" s="606"/>
      <c r="H160" s="606"/>
      <c r="I160" s="607"/>
      <c r="J160" s="608" t="s">
        <v>747</v>
      </c>
      <c r="K160" s="607"/>
      <c r="L160" s="609">
        <f>L90+L100+L121+L131+L157</f>
        <v>58.460782377010695</v>
      </c>
      <c r="M160" s="379"/>
      <c r="N160" s="535" t="s">
        <v>162</v>
      </c>
      <c r="O160" s="390"/>
    </row>
    <row r="161" spans="1:15" ht="15.75" x14ac:dyDescent="0.25">
      <c r="A161" s="610" t="s">
        <v>937</v>
      </c>
      <c r="B161" s="611"/>
      <c r="C161" s="611"/>
      <c r="D161" s="611"/>
      <c r="E161" s="613"/>
      <c r="F161" s="613"/>
      <c r="G161" s="613"/>
      <c r="H161" s="613"/>
      <c r="I161" s="613"/>
      <c r="J161" s="613"/>
      <c r="K161" s="613"/>
      <c r="L161" s="614"/>
      <c r="M161" s="379"/>
      <c r="N161" s="554" t="s">
        <v>977</v>
      </c>
      <c r="O161" s="390"/>
    </row>
    <row r="162" spans="1:15" ht="15.75" x14ac:dyDescent="0.3">
      <c r="A162" s="567"/>
      <c r="B162" s="568"/>
      <c r="C162" s="568"/>
      <c r="D162" s="683"/>
      <c r="E162" s="683"/>
      <c r="F162" s="683"/>
      <c r="G162" s="683"/>
      <c r="H162" s="683" t="s">
        <v>667</v>
      </c>
      <c r="I162" s="684">
        <f>L160</f>
        <v>58.460782377010695</v>
      </c>
      <c r="J162" s="568" t="s">
        <v>321</v>
      </c>
      <c r="K162" s="568"/>
      <c r="L162" s="685"/>
      <c r="M162" s="379"/>
      <c r="N162" s="540" t="s">
        <v>1056</v>
      </c>
      <c r="O162" s="390"/>
    </row>
    <row r="163" spans="1:15" ht="15.75" x14ac:dyDescent="0.3">
      <c r="A163" s="567"/>
      <c r="B163" s="568" t="s">
        <v>51</v>
      </c>
      <c r="C163" s="568" t="s">
        <v>1094</v>
      </c>
      <c r="D163" s="568"/>
      <c r="E163" s="683" t="s">
        <v>135</v>
      </c>
      <c r="F163" s="747">
        <f>1*1000*VLOOKUP($C163,'Standard values'!$C$9:$S$162,14, FALSE)</f>
        <v>37200</v>
      </c>
      <c r="G163" s="747"/>
      <c r="H163" s="568" t="s">
        <v>501</v>
      </c>
      <c r="I163" s="574">
        <f>$I$162*F163/F$165</f>
        <v>55.920891560334844</v>
      </c>
      <c r="J163" s="568" t="s">
        <v>321</v>
      </c>
      <c r="K163" s="568"/>
      <c r="L163" s="685"/>
      <c r="M163" s="379"/>
      <c r="N163" s="541"/>
      <c r="O163" s="390"/>
    </row>
    <row r="164" spans="1:15" ht="15.75" x14ac:dyDescent="0.3">
      <c r="A164" s="567"/>
      <c r="B164" s="568" t="s">
        <v>123</v>
      </c>
      <c r="C164" s="568" t="s">
        <v>1037</v>
      </c>
      <c r="D164" s="568"/>
      <c r="E164" s="683" t="s">
        <v>663</v>
      </c>
      <c r="F164" s="747">
        <f>C137*VLOOKUP($C164,'Standard values'!$C$9:$S$162,14, FALSE)</f>
        <v>1689.6</v>
      </c>
      <c r="G164" s="747"/>
      <c r="H164" s="568" t="s">
        <v>501</v>
      </c>
      <c r="I164" s="574">
        <f>$I$162*F164/F$165</f>
        <v>2.5398908166758534</v>
      </c>
      <c r="J164" s="568" t="s">
        <v>321</v>
      </c>
      <c r="K164" s="568"/>
      <c r="L164" s="685"/>
      <c r="M164" s="379"/>
      <c r="N164" s="541"/>
      <c r="O164" s="390"/>
    </row>
    <row r="165" spans="1:15" x14ac:dyDescent="0.2">
      <c r="A165" s="567"/>
      <c r="B165" s="568"/>
      <c r="C165" s="568" t="s">
        <v>316</v>
      </c>
      <c r="D165" s="568"/>
      <c r="E165" s="568" t="s">
        <v>533</v>
      </c>
      <c r="F165" s="747">
        <f>SUM(F163:F164)</f>
        <v>38889.599999999999</v>
      </c>
      <c r="G165" s="747"/>
      <c r="H165" s="568" t="s">
        <v>501</v>
      </c>
      <c r="I165" s="568"/>
      <c r="J165" s="568"/>
      <c r="K165" s="568"/>
      <c r="L165" s="685"/>
      <c r="M165" s="379"/>
      <c r="N165" s="562"/>
      <c r="O165" s="390"/>
    </row>
    <row r="166" spans="1:15" ht="14.25" x14ac:dyDescent="0.25">
      <c r="A166" s="519"/>
      <c r="B166" s="520"/>
      <c r="C166" s="520"/>
      <c r="D166" s="520"/>
      <c r="E166" s="523" t="s">
        <v>1058</v>
      </c>
      <c r="F166" s="521"/>
      <c r="G166" s="521"/>
      <c r="H166" s="687"/>
      <c r="I166" s="520"/>
      <c r="J166" s="523" t="s">
        <v>747</v>
      </c>
      <c r="K166" s="687"/>
      <c r="L166" s="525">
        <f>I163</f>
        <v>55.920891560334844</v>
      </c>
      <c r="M166" s="379"/>
      <c r="N166" s="545">
        <f>L166/$E$138</f>
        <v>2080.2571660444564</v>
      </c>
      <c r="O166" s="379"/>
    </row>
    <row r="167" spans="1:15" x14ac:dyDescent="0.2">
      <c r="A167" s="390"/>
      <c r="B167" s="390"/>
      <c r="C167" s="390"/>
      <c r="D167" s="379"/>
      <c r="E167" s="379"/>
      <c r="F167" s="551"/>
      <c r="G167" s="551"/>
      <c r="H167" s="437"/>
      <c r="I167" s="378"/>
      <c r="J167" s="379"/>
      <c r="K167" s="379"/>
      <c r="L167" s="586"/>
      <c r="M167" s="379"/>
      <c r="N167" s="379"/>
      <c r="O167" s="379"/>
    </row>
    <row r="168" spans="1:15" x14ac:dyDescent="0.2">
      <c r="A168" s="375"/>
      <c r="B168" s="585"/>
      <c r="C168" s="386"/>
      <c r="D168" s="390"/>
      <c r="E168" s="379"/>
      <c r="F168" s="379"/>
      <c r="G168" s="379"/>
      <c r="H168" s="379"/>
      <c r="I168" s="379"/>
      <c r="J168" s="591"/>
      <c r="K168" s="379"/>
      <c r="L168" s="379"/>
      <c r="M168" s="379"/>
      <c r="N168" s="379"/>
      <c r="O168" s="379"/>
    </row>
    <row r="169" spans="1:15" ht="15.75" x14ac:dyDescent="0.25">
      <c r="A169" s="530" t="s">
        <v>812</v>
      </c>
      <c r="B169" s="532"/>
      <c r="C169" s="531"/>
      <c r="D169" s="531"/>
      <c r="E169" s="530" t="s">
        <v>513</v>
      </c>
      <c r="F169" s="532"/>
      <c r="G169" s="532"/>
      <c r="H169" s="531"/>
      <c r="I169" s="532" t="s">
        <v>532</v>
      </c>
      <c r="J169" s="533"/>
      <c r="K169" s="533"/>
      <c r="L169" s="534"/>
      <c r="M169" s="379"/>
      <c r="N169" s="535" t="s">
        <v>162</v>
      </c>
      <c r="O169" s="379"/>
    </row>
    <row r="170" spans="1:15" ht="15.75" x14ac:dyDescent="0.3">
      <c r="A170" s="503"/>
      <c r="B170" s="511" t="s">
        <v>1094</v>
      </c>
      <c r="C170" s="593">
        <v>1</v>
      </c>
      <c r="D170" s="495" t="s">
        <v>653</v>
      </c>
      <c r="E170" s="513">
        <f>E136*C170</f>
        <v>18182.081657273422</v>
      </c>
      <c r="F170" s="499" t="s">
        <v>655</v>
      </c>
      <c r="G170" s="499"/>
      <c r="H170" s="594"/>
      <c r="I170" s="492" t="s">
        <v>746</v>
      </c>
      <c r="J170" s="514"/>
      <c r="K170" s="514"/>
      <c r="L170" s="537"/>
      <c r="M170" s="379"/>
      <c r="N170" s="554" t="s">
        <v>977</v>
      </c>
      <c r="O170" s="379"/>
    </row>
    <row r="171" spans="1:15" ht="15.75" x14ac:dyDescent="0.3">
      <c r="A171" s="503"/>
      <c r="B171" s="495"/>
      <c r="C171" s="689"/>
      <c r="D171" s="495"/>
      <c r="E171" s="505">
        <f>E137*C170</f>
        <v>0.32491210967250572</v>
      </c>
      <c r="F171" s="506" t="s">
        <v>927</v>
      </c>
      <c r="G171" s="506"/>
      <c r="H171" s="594"/>
      <c r="I171" s="539" t="s">
        <v>1053</v>
      </c>
      <c r="J171" s="539" t="s">
        <v>1054</v>
      </c>
      <c r="K171" s="539" t="s">
        <v>1055</v>
      </c>
      <c r="L171" s="540" t="s">
        <v>1056</v>
      </c>
      <c r="M171" s="379"/>
      <c r="N171" s="540" t="s">
        <v>1056</v>
      </c>
      <c r="O171" s="379"/>
    </row>
    <row r="172" spans="1:15" x14ac:dyDescent="0.2">
      <c r="A172" s="503"/>
      <c r="B172" s="511" t="s">
        <v>498</v>
      </c>
      <c r="C172" s="689"/>
      <c r="D172" s="495"/>
      <c r="E172" s="513"/>
      <c r="F172" s="495"/>
      <c r="G172" s="495"/>
      <c r="H172" s="495"/>
      <c r="I172" s="495"/>
      <c r="J172" s="495"/>
      <c r="K172" s="495"/>
      <c r="L172" s="541"/>
      <c r="M172" s="379"/>
      <c r="N172" s="748"/>
      <c r="O172" s="379"/>
    </row>
    <row r="173" spans="1:15" ht="15.75" x14ac:dyDescent="0.3">
      <c r="A173" s="503"/>
      <c r="B173" s="495" t="s">
        <v>159</v>
      </c>
      <c r="C173" s="595">
        <v>150</v>
      </c>
      <c r="D173" s="495" t="s">
        <v>510</v>
      </c>
      <c r="E173" s="543">
        <f>(C173*E171/VLOOKUP($B170,'Standard values'!$C$9:$S$162,14, FALSE))/1000</f>
        <v>1.3101294744859099E-3</v>
      </c>
      <c r="F173" s="495" t="s">
        <v>406</v>
      </c>
      <c r="G173" s="495"/>
      <c r="H173" s="495"/>
      <c r="I173" s="544">
        <f>$E173*VLOOKUP($B173,'Standard values'!$C$9:$S$162,15, FALSE)*VLOOKUP(C174,'Standard values'!$C$9:$S$162,7, FALSE)/$E$239</f>
        <v>0.35620967741935466</v>
      </c>
      <c r="J173" s="544">
        <f>$E173*((VLOOKUP($B173,'Standard values'!$C$9:$S$162,15, FALSE)*VLOOKUP(C174,'Standard values'!$C$9:$S$162,8, FALSE))+VLOOKUP($B173,'Standard values'!$C$9:$S$162,16, FALSE))/$E$239</f>
        <v>2.0161290322580638E-5</v>
      </c>
      <c r="K173" s="544">
        <f>$E173*((VLOOKUP($B173,'Standard values'!$C$9:$S$162,15, FALSE)*VLOOKUP(C174,'Standard values'!$C$9:$S$162,9, FALSE))+VLOOKUP($B173,'Standard values'!$C$9:$S$162,17, FALSE))/$E$239</f>
        <v>0</v>
      </c>
      <c r="L173" s="516">
        <f>I173*'Standard values'!$D$10+J173*'Standard values'!$D$11+K173*'Standard values'!$D$12</f>
        <v>0.35671370967741917</v>
      </c>
      <c r="M173" s="379"/>
      <c r="N173" s="562">
        <f>L173/$E$138</f>
        <v>13.269749999999995</v>
      </c>
      <c r="O173" s="379"/>
    </row>
    <row r="174" spans="1:15" x14ac:dyDescent="0.2">
      <c r="A174" s="503"/>
      <c r="B174" s="546" t="s">
        <v>54</v>
      </c>
      <c r="C174" s="673" t="s">
        <v>509</v>
      </c>
      <c r="D174" s="495"/>
      <c r="E174" s="503"/>
      <c r="F174" s="495"/>
      <c r="G174" s="495"/>
      <c r="H174" s="495"/>
      <c r="I174" s="544"/>
      <c r="J174" s="544"/>
      <c r="K174" s="544"/>
      <c r="L174" s="516"/>
      <c r="M174" s="379"/>
      <c r="N174" s="562"/>
      <c r="O174" s="379"/>
    </row>
    <row r="175" spans="1:15" x14ac:dyDescent="0.2">
      <c r="A175" s="503"/>
      <c r="B175" s="495"/>
      <c r="C175" s="689"/>
      <c r="D175" s="495"/>
      <c r="E175" s="543"/>
      <c r="F175" s="495"/>
      <c r="G175" s="495"/>
      <c r="H175" s="495"/>
      <c r="I175" s="544"/>
      <c r="J175" s="544"/>
      <c r="K175" s="544"/>
      <c r="L175" s="516"/>
      <c r="M175" s="379"/>
      <c r="N175" s="562"/>
      <c r="O175" s="379"/>
    </row>
    <row r="176" spans="1:15" x14ac:dyDescent="0.2">
      <c r="A176" s="503"/>
      <c r="B176" s="511" t="s">
        <v>444</v>
      </c>
      <c r="C176" s="689"/>
      <c r="D176" s="495"/>
      <c r="E176" s="503"/>
      <c r="F176" s="495"/>
      <c r="G176" s="495"/>
      <c r="H176" s="495"/>
      <c r="I176" s="544"/>
      <c r="J176" s="544"/>
      <c r="K176" s="544"/>
      <c r="L176" s="584"/>
      <c r="M176" s="379"/>
      <c r="N176" s="562"/>
      <c r="O176" s="379"/>
    </row>
    <row r="177" spans="1:15" ht="15.75" x14ac:dyDescent="0.3">
      <c r="A177" s="590"/>
      <c r="B177" s="1301" t="s">
        <v>49</v>
      </c>
      <c r="C177" s="542">
        <v>8.4000000000000003E-4</v>
      </c>
      <c r="D177" s="495" t="s">
        <v>651</v>
      </c>
      <c r="E177" s="503"/>
      <c r="F177" s="495"/>
      <c r="G177" s="495"/>
      <c r="H177" s="495"/>
      <c r="I177" s="544">
        <f>$C177*$E$171*VLOOKUP($B177,'Standard values'!$C$9:$S$162,7, FALSE)/$E$239</f>
        <v>0.10146737999999998</v>
      </c>
      <c r="J177" s="544">
        <f>$C177*$E$171*VLOOKUP($B177,'Standard values'!$C$9:$S$162,8, FALSE)/$E$239</f>
        <v>2.4744999999999992E-4</v>
      </c>
      <c r="K177" s="544">
        <f>$C177*$E$171*VLOOKUP($B177,'Standard values'!$C$9:$S$162,9, FALSE)/$E$239</f>
        <v>4.5966666666666661E-6</v>
      </c>
      <c r="L177" s="516">
        <f>I177*'Standard values'!$D$10+J177*'Standard values'!$D$11+K177*'Standard values'!$D$12</f>
        <v>0.10902343666666665</v>
      </c>
      <c r="M177" s="379"/>
      <c r="N177" s="562">
        <f>L177/$E$138</f>
        <v>4.0556718439999999</v>
      </c>
      <c r="O177" s="379"/>
    </row>
    <row r="178" spans="1:15" ht="14.25" x14ac:dyDescent="0.25">
      <c r="A178" s="519"/>
      <c r="B178" s="520"/>
      <c r="C178" s="520"/>
      <c r="D178" s="520"/>
      <c r="E178" s="519"/>
      <c r="F178" s="521"/>
      <c r="G178" s="521"/>
      <c r="H178" s="521" t="s">
        <v>534</v>
      </c>
      <c r="I178" s="520"/>
      <c r="J178" s="523" t="s">
        <v>747</v>
      </c>
      <c r="K178" s="549"/>
      <c r="L178" s="525">
        <f>L177+L173</f>
        <v>0.46573714634408581</v>
      </c>
      <c r="M178" s="379"/>
      <c r="N178" s="545">
        <f>L178/$E$138</f>
        <v>17.325421843999994</v>
      </c>
      <c r="O178" s="379"/>
    </row>
    <row r="179" spans="1:15" x14ac:dyDescent="0.2">
      <c r="A179" s="390"/>
      <c r="B179" s="390"/>
      <c r="C179" s="390"/>
      <c r="D179" s="390"/>
      <c r="E179" s="390"/>
      <c r="F179" s="376"/>
      <c r="G179" s="376"/>
      <c r="H179" s="376"/>
      <c r="I179" s="390"/>
      <c r="J179" s="550"/>
      <c r="K179" s="551"/>
      <c r="L179" s="552"/>
      <c r="M179" s="379"/>
      <c r="N179" s="390"/>
      <c r="O179" s="379"/>
    </row>
    <row r="180" spans="1:15" x14ac:dyDescent="0.2">
      <c r="A180" s="390"/>
      <c r="B180" s="390"/>
      <c r="C180" s="390"/>
      <c r="D180" s="390"/>
      <c r="E180" s="390"/>
      <c r="F180" s="376"/>
      <c r="G180" s="376"/>
      <c r="H180" s="376"/>
      <c r="I180" s="390"/>
      <c r="J180" s="550"/>
      <c r="K180" s="551"/>
      <c r="L180" s="552"/>
      <c r="M180" s="379"/>
      <c r="N180" s="379"/>
      <c r="O180" s="379"/>
    </row>
    <row r="181" spans="1:15" ht="15.75" x14ac:dyDescent="0.25">
      <c r="A181" s="530" t="s">
        <v>810</v>
      </c>
      <c r="B181" s="531"/>
      <c r="C181" s="531"/>
      <c r="D181" s="531"/>
      <c r="E181" s="530" t="s">
        <v>513</v>
      </c>
      <c r="F181" s="531"/>
      <c r="G181" s="531"/>
      <c r="H181" s="531"/>
      <c r="I181" s="531"/>
      <c r="J181" s="531"/>
      <c r="K181" s="531"/>
      <c r="L181" s="596"/>
      <c r="M181" s="379"/>
      <c r="N181" s="535" t="s">
        <v>162</v>
      </c>
      <c r="O181" s="379"/>
    </row>
    <row r="182" spans="1:15" ht="15.75" x14ac:dyDescent="0.3">
      <c r="A182" s="503"/>
      <c r="B182" s="511" t="s">
        <v>1094</v>
      </c>
      <c r="C182" s="593">
        <v>1</v>
      </c>
      <c r="D182" s="495" t="s">
        <v>653</v>
      </c>
      <c r="E182" s="513">
        <f>E170*C182</f>
        <v>18182.081657273422</v>
      </c>
      <c r="F182" s="499" t="s">
        <v>655</v>
      </c>
      <c r="G182" s="499"/>
      <c r="H182" s="495"/>
      <c r="I182" s="492" t="s">
        <v>746</v>
      </c>
      <c r="J182" s="514"/>
      <c r="K182" s="514"/>
      <c r="L182" s="537"/>
      <c r="M182" s="379"/>
      <c r="N182" s="554" t="s">
        <v>977</v>
      </c>
      <c r="O182" s="379"/>
    </row>
    <row r="183" spans="1:15" ht="15.75" x14ac:dyDescent="0.3">
      <c r="A183" s="503"/>
      <c r="B183" s="495"/>
      <c r="C183" s="689"/>
      <c r="D183" s="495"/>
      <c r="E183" s="505">
        <f>E171*C182</f>
        <v>0.32491210967250572</v>
      </c>
      <c r="F183" s="506" t="s">
        <v>927</v>
      </c>
      <c r="G183" s="506"/>
      <c r="H183" s="495"/>
      <c r="I183" s="539" t="s">
        <v>1053</v>
      </c>
      <c r="J183" s="539" t="s">
        <v>1054</v>
      </c>
      <c r="K183" s="539" t="s">
        <v>1055</v>
      </c>
      <c r="L183" s="540" t="s">
        <v>1056</v>
      </c>
      <c r="M183" s="379"/>
      <c r="N183" s="540" t="s">
        <v>1056</v>
      </c>
      <c r="O183" s="379"/>
    </row>
    <row r="184" spans="1:15" x14ac:dyDescent="0.2">
      <c r="A184" s="503"/>
      <c r="B184" s="511" t="s">
        <v>498</v>
      </c>
      <c r="C184" s="689"/>
      <c r="D184" s="495"/>
      <c r="E184" s="513"/>
      <c r="F184" s="495"/>
      <c r="G184" s="495"/>
      <c r="H184" s="495"/>
      <c r="I184" s="495"/>
      <c r="J184" s="495"/>
      <c r="K184" s="495"/>
      <c r="L184" s="541"/>
      <c r="M184" s="379"/>
      <c r="N184" s="748"/>
      <c r="O184" s="379"/>
    </row>
    <row r="185" spans="1:15" ht="15.75" x14ac:dyDescent="0.3">
      <c r="A185" s="503"/>
      <c r="B185" s="495" t="s">
        <v>159</v>
      </c>
      <c r="C185" s="595">
        <v>150</v>
      </c>
      <c r="D185" s="495" t="s">
        <v>510</v>
      </c>
      <c r="E185" s="543">
        <f>(C185*E183/VLOOKUP($B182,'Standard values'!$C$9:$S$162,14, FALSE))/1000</f>
        <v>1.3101294744859099E-3</v>
      </c>
      <c r="F185" s="495" t="s">
        <v>406</v>
      </c>
      <c r="G185" s="495"/>
      <c r="H185" s="495"/>
      <c r="I185" s="544">
        <f>$E185*VLOOKUP($B185,'Standard values'!$C$9:$S$162,15, FALSE)*VLOOKUP(C186,'Standard values'!$C$9:$S$162,7, FALSE)/$E$239</f>
        <v>0.35620967741935466</v>
      </c>
      <c r="J185" s="544">
        <f>$E185*((VLOOKUP($B185,'Standard values'!$C$9:$S$162,15, FALSE)*VLOOKUP(C186,'Standard values'!$C$9:$S$162,8, FALSE))+VLOOKUP($B185,'Standard values'!$C$9:$S$162,16, FALSE))/$E$239</f>
        <v>2.0161290322580638E-5</v>
      </c>
      <c r="K185" s="544">
        <f>$E185*((VLOOKUP($B185,'Standard values'!$C$9:$S$162,15, FALSE)*VLOOKUP(C186,'Standard values'!$C$9:$S$162,9, FALSE))+VLOOKUP($B185,'Standard values'!$C$9:$S$162,17, FALSE))/$E$239</f>
        <v>0</v>
      </c>
      <c r="L185" s="516">
        <f>I185*'Standard values'!$D$10+J185*'Standard values'!$D$11+K185*'Standard values'!$D$12</f>
        <v>0.35671370967741917</v>
      </c>
      <c r="M185" s="379"/>
      <c r="N185" s="562">
        <f>L185/$E$138</f>
        <v>13.269749999999995</v>
      </c>
      <c r="O185" s="379"/>
    </row>
    <row r="186" spans="1:15" x14ac:dyDescent="0.2">
      <c r="A186" s="503"/>
      <c r="B186" s="546" t="s">
        <v>54</v>
      </c>
      <c r="C186" s="673" t="s">
        <v>509</v>
      </c>
      <c r="D186" s="495"/>
      <c r="E186" s="503"/>
      <c r="F186" s="495"/>
      <c r="G186" s="495"/>
      <c r="H186" s="495"/>
      <c r="I186" s="544"/>
      <c r="J186" s="544"/>
      <c r="K186" s="544"/>
      <c r="L186" s="516"/>
      <c r="M186" s="379"/>
      <c r="N186" s="562"/>
      <c r="O186" s="379"/>
    </row>
    <row r="187" spans="1:15" x14ac:dyDescent="0.2">
      <c r="A187" s="503"/>
      <c r="B187" s="495"/>
      <c r="C187" s="689"/>
      <c r="D187" s="495"/>
      <c r="E187" s="505"/>
      <c r="F187" s="506"/>
      <c r="G187" s="506"/>
      <c r="H187" s="495"/>
      <c r="I187" s="539"/>
      <c r="J187" s="539"/>
      <c r="K187" s="539"/>
      <c r="L187" s="690"/>
      <c r="M187" s="379"/>
      <c r="N187" s="540"/>
      <c r="O187" s="379"/>
    </row>
    <row r="188" spans="1:15" x14ac:dyDescent="0.2">
      <c r="A188" s="503"/>
      <c r="B188" s="511" t="s">
        <v>441</v>
      </c>
      <c r="C188" s="689"/>
      <c r="D188" s="495"/>
      <c r="E188" s="503"/>
      <c r="F188" s="495"/>
      <c r="G188" s="495"/>
      <c r="H188" s="495"/>
      <c r="I188" s="544"/>
      <c r="J188" s="544"/>
      <c r="K188" s="544"/>
      <c r="L188" s="584"/>
      <c r="M188" s="379"/>
      <c r="N188" s="541"/>
      <c r="O188" s="379"/>
    </row>
    <row r="189" spans="1:15" ht="15.75" x14ac:dyDescent="0.3">
      <c r="A189" s="503"/>
      <c r="B189" s="1301" t="s">
        <v>49</v>
      </c>
      <c r="C189" s="542">
        <v>3.3999999999999998E-3</v>
      </c>
      <c r="D189" s="495" t="s">
        <v>651</v>
      </c>
      <c r="E189" s="503"/>
      <c r="F189" s="495"/>
      <c r="G189" s="495"/>
      <c r="H189" s="495"/>
      <c r="I189" s="544">
        <f>$C189*$E$183*VLOOKUP($B189,'Standard values'!$C$9:$S$162,7, FALSE)/$E$239</f>
        <v>0.41070129999999988</v>
      </c>
      <c r="J189" s="544">
        <f>$C189*$E$183*VLOOKUP($B189,'Standard values'!$C$9:$S$162,8, FALSE)/$E$239</f>
        <v>1.0015833333333331E-3</v>
      </c>
      <c r="K189" s="544">
        <f>$C189*$E$183*VLOOKUP($B189,'Standard values'!$C$9:$S$162,9, FALSE)/$E$239</f>
        <v>1.8605555555555551E-5</v>
      </c>
      <c r="L189" s="516">
        <f>I189*'Standard values'!$D$10+J189*'Standard values'!$D$11+K189*'Standard values'!$D$12</f>
        <v>0.44128533888888877</v>
      </c>
      <c r="M189" s="379"/>
      <c r="N189" s="562">
        <f>L189/$E$138</f>
        <v>16.415814606666665</v>
      </c>
      <c r="O189" s="379"/>
    </row>
    <row r="190" spans="1:15" ht="14.25" x14ac:dyDescent="0.25">
      <c r="A190" s="519"/>
      <c r="B190" s="520"/>
      <c r="C190" s="520"/>
      <c r="D190" s="520"/>
      <c r="E190" s="519"/>
      <c r="F190" s="521"/>
      <c r="G190" s="521"/>
      <c r="H190" s="521" t="s">
        <v>534</v>
      </c>
      <c r="I190" s="520"/>
      <c r="J190" s="523" t="s">
        <v>747</v>
      </c>
      <c r="K190" s="549"/>
      <c r="L190" s="525">
        <f>L185+L189</f>
        <v>0.79799904856630799</v>
      </c>
      <c r="M190" s="379"/>
      <c r="N190" s="545">
        <f>L190/$E$138</f>
        <v>29.685564606666659</v>
      </c>
      <c r="O190" s="379"/>
    </row>
    <row r="191" spans="1:15" x14ac:dyDescent="0.2">
      <c r="A191" s="390"/>
      <c r="B191" s="390"/>
      <c r="C191" s="390"/>
      <c r="D191" s="390"/>
      <c r="E191" s="390"/>
      <c r="F191" s="376"/>
      <c r="G191" s="376"/>
      <c r="H191" s="376"/>
      <c r="I191" s="390"/>
      <c r="J191" s="550"/>
      <c r="K191" s="551"/>
      <c r="L191" s="597"/>
      <c r="M191" s="379"/>
      <c r="N191" s="390"/>
      <c r="O191" s="379"/>
    </row>
    <row r="192" spans="1:15" x14ac:dyDescent="0.2">
      <c r="A192" s="390"/>
      <c r="B192" s="390"/>
      <c r="C192" s="390"/>
      <c r="D192" s="390"/>
      <c r="E192" s="390"/>
      <c r="F192" s="376"/>
      <c r="G192" s="376"/>
      <c r="H192" s="376"/>
      <c r="I192" s="390"/>
      <c r="J192" s="550"/>
      <c r="K192" s="551"/>
      <c r="L192" s="597"/>
      <c r="M192" s="379"/>
      <c r="N192" s="379"/>
      <c r="O192" s="379"/>
    </row>
    <row r="193" spans="1:15" ht="15.75" x14ac:dyDescent="0.25">
      <c r="A193" s="530" t="s">
        <v>546</v>
      </c>
      <c r="B193" s="598"/>
      <c r="C193" s="599"/>
      <c r="D193" s="531"/>
      <c r="E193" s="600"/>
      <c r="F193" s="531"/>
      <c r="G193" s="531"/>
      <c r="H193" s="531"/>
      <c r="I193" s="531"/>
      <c r="J193" s="531"/>
      <c r="K193" s="531"/>
      <c r="L193" s="601"/>
      <c r="M193" s="379"/>
      <c r="N193" s="379"/>
      <c r="O193" s="379"/>
    </row>
    <row r="194" spans="1:15" ht="15.75" x14ac:dyDescent="0.25">
      <c r="A194" s="602"/>
      <c r="B194" s="603" t="s">
        <v>549</v>
      </c>
      <c r="C194" s="511" t="s">
        <v>908</v>
      </c>
      <c r="D194" s="495"/>
      <c r="E194" s="503"/>
      <c r="F194" s="495"/>
      <c r="G194" s="495"/>
      <c r="H194" s="495"/>
      <c r="I194" s="495"/>
      <c r="J194" s="495"/>
      <c r="K194" s="495"/>
      <c r="L194" s="537"/>
      <c r="M194" s="379"/>
      <c r="N194" s="390"/>
      <c r="O194" s="390"/>
    </row>
    <row r="195" spans="1:15" ht="15.75" customHeight="1" x14ac:dyDescent="0.25">
      <c r="A195" s="602"/>
      <c r="B195" s="511"/>
      <c r="C195" s="668"/>
      <c r="D195" s="691" t="s">
        <v>431</v>
      </c>
      <c r="E195" s="692" t="str">
        <f>IF(D197="Yes","From :  ", " ")</f>
        <v xml:space="preserve"> </v>
      </c>
      <c r="F195" s="1422" t="str">
        <f>IF(D197="Yes",LUC!H$35 &amp; " ; " &amp; LUC!H$36 &amp; " ; " &amp; LUC!H$39 &amp; " ; " &amp; LUC!H$40 &amp; " ; " &amp; LUC!H$45 &amp; " ; " &amp; LUC!H$46 &amp; " ; " &amp; LUC!H$47, " ")</f>
        <v xml:space="preserve"> </v>
      </c>
      <c r="G195" s="1422"/>
      <c r="H195" s="1422"/>
      <c r="I195" s="1422"/>
      <c r="J195" s="1422"/>
      <c r="K195" s="1422"/>
      <c r="L195" s="1423"/>
      <c r="M195" s="379"/>
      <c r="N195" s="390"/>
      <c r="O195" s="390"/>
    </row>
    <row r="196" spans="1:15" ht="15.75" x14ac:dyDescent="0.25">
      <c r="A196" s="602"/>
      <c r="B196" s="539" t="s">
        <v>450</v>
      </c>
      <c r="C196" s="693" t="s">
        <v>431</v>
      </c>
      <c r="D196" s="691" t="s">
        <v>432</v>
      </c>
      <c r="E196" s="513"/>
      <c r="F196" s="1422"/>
      <c r="G196" s="1422"/>
      <c r="H196" s="1422"/>
      <c r="I196" s="1422"/>
      <c r="J196" s="1422"/>
      <c r="K196" s="1422"/>
      <c r="L196" s="1423"/>
      <c r="M196" s="379"/>
      <c r="N196" s="390"/>
      <c r="O196" s="390"/>
    </row>
    <row r="197" spans="1:15" ht="15.75" customHeight="1" x14ac:dyDescent="0.25">
      <c r="A197" s="602"/>
      <c r="B197" s="511"/>
      <c r="C197" s="670" t="str">
        <f>IF(D197="Yes","Go to", " ")</f>
        <v xml:space="preserve"> </v>
      </c>
      <c r="D197" s="691" t="s">
        <v>432</v>
      </c>
      <c r="E197" s="692" t="str">
        <f>IF(D197="Yes","To    :   ", " ")</f>
        <v xml:space="preserve"> </v>
      </c>
      <c r="F197" s="1424" t="str">
        <f>IF(D197="Yes", LUC!D$35 &amp; " ; " &amp; LUC!D$36 &amp; " ; " &amp; LUC!D$39 &amp; " ; " &amp; LUC!D$40 &amp; " ; " &amp; LUC!D$45 &amp; " ; " &amp; LUC!D$46 &amp; " ; " &amp; LUC!D$47, " ")</f>
        <v xml:space="preserve"> </v>
      </c>
      <c r="G197" s="1424"/>
      <c r="H197" s="1424"/>
      <c r="I197" s="1424"/>
      <c r="J197" s="1424"/>
      <c r="K197" s="1424"/>
      <c r="L197" s="1425"/>
      <c r="M197" s="379"/>
      <c r="N197" s="390"/>
      <c r="O197" s="390"/>
    </row>
    <row r="198" spans="1:15" ht="15.75" x14ac:dyDescent="0.25">
      <c r="A198" s="602"/>
      <c r="B198" s="416"/>
      <c r="C198" s="671" t="str">
        <f>IF(D197="Yes","sheet 'LUC' ", " ")</f>
        <v xml:space="preserve"> </v>
      </c>
      <c r="D198" s="495"/>
      <c r="E198" s="696"/>
      <c r="F198" s="1424"/>
      <c r="G198" s="1424"/>
      <c r="H198" s="1424"/>
      <c r="I198" s="1424"/>
      <c r="J198" s="1424"/>
      <c r="K198" s="1424"/>
      <c r="L198" s="1425"/>
      <c r="M198" s="379"/>
      <c r="N198" s="390"/>
      <c r="O198" s="390"/>
    </row>
    <row r="199" spans="1:15" ht="15.75" x14ac:dyDescent="0.25">
      <c r="A199" s="602"/>
      <c r="B199" s="416"/>
      <c r="C199" s="670" t="str">
        <f>IF(D197="Yes","to calculate the land use change", " ")</f>
        <v xml:space="preserve"> </v>
      </c>
      <c r="D199" s="495"/>
      <c r="E199" s="696"/>
      <c r="F199" s="694"/>
      <c r="G199" s="694"/>
      <c r="H199" s="694"/>
      <c r="I199" s="492" t="s">
        <v>746</v>
      </c>
      <c r="J199" s="514"/>
      <c r="K199" s="694"/>
      <c r="L199" s="695"/>
      <c r="M199" s="379"/>
      <c r="N199" s="390"/>
      <c r="O199" s="390"/>
    </row>
    <row r="200" spans="1:15" ht="16.5" x14ac:dyDescent="0.3">
      <c r="A200" s="602"/>
      <c r="B200" s="416"/>
      <c r="C200" s="670"/>
      <c r="D200" s="495"/>
      <c r="E200" s="696"/>
      <c r="F200" s="694"/>
      <c r="G200" s="694"/>
      <c r="H200" s="694"/>
      <c r="I200" s="539" t="s">
        <v>1053</v>
      </c>
      <c r="J200" s="539" t="s">
        <v>1054</v>
      </c>
      <c r="K200" s="539" t="s">
        <v>1055</v>
      </c>
      <c r="L200" s="540" t="s">
        <v>1056</v>
      </c>
      <c r="M200" s="379"/>
      <c r="N200" s="390"/>
      <c r="O200" s="390"/>
    </row>
    <row r="201" spans="1:15" ht="16.5" x14ac:dyDescent="0.3">
      <c r="A201" s="602"/>
      <c r="B201" s="507" t="s">
        <v>451</v>
      </c>
      <c r="C201" s="697">
        <f>IF(D197="Yes",LUC!$J$86,0)</f>
        <v>0</v>
      </c>
      <c r="D201" s="497" t="s">
        <v>449</v>
      </c>
      <c r="E201" s="503"/>
      <c r="F201" s="495"/>
      <c r="G201" s="495"/>
      <c r="H201" s="495"/>
      <c r="I201" s="544">
        <f>$C201*1000000/$E$238</f>
        <v>0</v>
      </c>
      <c r="J201" s="544">
        <v>0</v>
      </c>
      <c r="K201" s="544">
        <v>0</v>
      </c>
      <c r="L201" s="419">
        <f>I201*'Standard values'!$D$10+J201*'Standard values'!$D$11+K201*'Standard values'!$D$12</f>
        <v>0</v>
      </c>
      <c r="M201" s="379"/>
      <c r="N201" s="390"/>
      <c r="O201" s="390"/>
    </row>
    <row r="202" spans="1:15" ht="15.75" x14ac:dyDescent="0.25">
      <c r="A202" s="602"/>
      <c r="B202" s="507"/>
      <c r="C202" s="698"/>
      <c r="D202" s="497"/>
      <c r="E202" s="503"/>
      <c r="F202" s="495"/>
      <c r="G202" s="495"/>
      <c r="H202" s="495"/>
      <c r="I202" s="544"/>
      <c r="J202" s="544"/>
      <c r="K202" s="544"/>
      <c r="L202" s="516">
        <f>SUM(L201:L201)</f>
        <v>0</v>
      </c>
      <c r="M202" s="379"/>
      <c r="N202" s="390"/>
      <c r="O202" s="390"/>
    </row>
    <row r="203" spans="1:15" ht="15.75" x14ac:dyDescent="0.25">
      <c r="A203" s="602"/>
      <c r="B203" s="416"/>
      <c r="C203" s="492"/>
      <c r="D203" s="495"/>
      <c r="E203" s="503"/>
      <c r="F203" s="495"/>
      <c r="G203" s="495"/>
      <c r="H203" s="495"/>
      <c r="I203" s="544"/>
      <c r="J203" s="544"/>
      <c r="K203" s="544"/>
      <c r="L203" s="516"/>
      <c r="M203" s="379"/>
      <c r="N203" s="390"/>
      <c r="O203" s="390"/>
    </row>
    <row r="204" spans="1:15" ht="15.75" x14ac:dyDescent="0.3">
      <c r="A204" s="503"/>
      <c r="B204" s="539" t="s">
        <v>452</v>
      </c>
      <c r="C204" s="595">
        <v>0</v>
      </c>
      <c r="D204" s="605" t="s">
        <v>672</v>
      </c>
      <c r="E204" s="699"/>
      <c r="F204" s="495"/>
      <c r="G204" s="495"/>
      <c r="H204" s="495"/>
      <c r="I204" s="544">
        <f>-C204</f>
        <v>0</v>
      </c>
      <c r="J204" s="544">
        <v>0</v>
      </c>
      <c r="K204" s="544">
        <v>0</v>
      </c>
      <c r="L204" s="419">
        <f>I204*'Standard values'!$D$10+J204*'Standard values'!$D$11+K204*'Standard values'!$D$12</f>
        <v>0</v>
      </c>
      <c r="M204" s="379"/>
      <c r="N204" s="390"/>
      <c r="O204" s="390"/>
    </row>
    <row r="205" spans="1:15" x14ac:dyDescent="0.2">
      <c r="A205" s="503"/>
      <c r="B205" s="539" t="str">
        <f>IF(C204=-29,"Year of conversion:","")</f>
        <v/>
      </c>
      <c r="C205" s="539" t="str">
        <f>IF(D204=-29,"Year of conversion:","")</f>
        <v/>
      </c>
      <c r="D205" s="605" t="str">
        <f>IF(C204=-29,"Fill in the year of conversion","")</f>
        <v/>
      </c>
      <c r="E205" s="503"/>
      <c r="F205" s="495"/>
      <c r="G205" s="495"/>
      <c r="H205" s="495"/>
      <c r="I205" s="495"/>
      <c r="J205" s="495"/>
      <c r="K205" s="544"/>
      <c r="L205" s="516">
        <f>SUM(L204:L204)</f>
        <v>0</v>
      </c>
      <c r="M205" s="379"/>
      <c r="N205" s="390"/>
      <c r="O205" s="390"/>
    </row>
    <row r="206" spans="1:15" x14ac:dyDescent="0.2">
      <c r="A206" s="503"/>
      <c r="B206" s="539"/>
      <c r="C206" s="539"/>
      <c r="D206" s="605"/>
      <c r="E206" s="503"/>
      <c r="F206" s="495"/>
      <c r="G206" s="495"/>
      <c r="H206" s="495"/>
      <c r="I206" s="495"/>
      <c r="J206" s="495"/>
      <c r="K206" s="544"/>
      <c r="L206" s="700"/>
      <c r="M206" s="379"/>
      <c r="N206" s="390"/>
      <c r="O206" s="390"/>
    </row>
    <row r="207" spans="1:15" ht="14.25" x14ac:dyDescent="0.25">
      <c r="A207" s="519"/>
      <c r="B207" s="520"/>
      <c r="C207" s="520"/>
      <c r="D207" s="520"/>
      <c r="E207" s="519"/>
      <c r="F207" s="521"/>
      <c r="G207" s="521"/>
      <c r="H207" s="521" t="s">
        <v>534</v>
      </c>
      <c r="I207" s="520"/>
      <c r="J207" s="523" t="s">
        <v>747</v>
      </c>
      <c r="K207" s="549"/>
      <c r="L207" s="525">
        <f>L202+L205</f>
        <v>0</v>
      </c>
      <c r="M207" s="379"/>
      <c r="N207" s="390"/>
      <c r="O207" s="390"/>
    </row>
    <row r="208" spans="1:15" x14ac:dyDescent="0.2">
      <c r="A208" s="390"/>
      <c r="B208" s="390"/>
      <c r="C208" s="390"/>
      <c r="D208" s="390"/>
      <c r="E208" s="390"/>
      <c r="F208" s="376"/>
      <c r="G208" s="376"/>
      <c r="H208" s="376"/>
      <c r="I208" s="390"/>
      <c r="J208" s="550"/>
      <c r="K208" s="551"/>
      <c r="L208" s="604"/>
      <c r="M208" s="379"/>
      <c r="N208" s="390"/>
      <c r="O208" s="390"/>
    </row>
    <row r="209" spans="1:15" x14ac:dyDescent="0.2">
      <c r="A209" s="390"/>
      <c r="B209" s="390"/>
      <c r="C209" s="390"/>
      <c r="D209" s="390"/>
      <c r="E209" s="390"/>
      <c r="F209" s="376"/>
      <c r="G209" s="376"/>
      <c r="H209" s="376"/>
      <c r="I209" s="390"/>
      <c r="J209" s="550"/>
      <c r="K209" s="551"/>
      <c r="L209" s="604"/>
      <c r="M209" s="379"/>
      <c r="N209" s="390"/>
      <c r="O209" s="390"/>
    </row>
    <row r="210" spans="1:15" ht="15.75" x14ac:dyDescent="0.25">
      <c r="A210" s="530" t="s">
        <v>547</v>
      </c>
      <c r="B210" s="598"/>
      <c r="C210" s="599"/>
      <c r="D210" s="531"/>
      <c r="E210" s="600"/>
      <c r="F210" s="531"/>
      <c r="G210" s="531"/>
      <c r="H210" s="531"/>
      <c r="I210" s="531"/>
      <c r="J210" s="531"/>
      <c r="K210" s="531"/>
      <c r="L210" s="601"/>
      <c r="M210" s="379"/>
      <c r="N210" s="390"/>
      <c r="O210" s="390"/>
    </row>
    <row r="211" spans="1:15" ht="15.75" x14ac:dyDescent="0.25">
      <c r="A211" s="602"/>
      <c r="B211" s="416" t="s">
        <v>548</v>
      </c>
      <c r="C211" s="492" t="s">
        <v>429</v>
      </c>
      <c r="D211" s="616"/>
      <c r="E211" s="503"/>
      <c r="F211" s="495"/>
      <c r="G211" s="495"/>
      <c r="H211" s="495"/>
      <c r="I211" s="492" t="s">
        <v>746</v>
      </c>
      <c r="J211" s="514"/>
      <c r="K211" s="514"/>
      <c r="L211" s="537"/>
      <c r="M211" s="379"/>
      <c r="N211" s="390"/>
      <c r="O211" s="390"/>
    </row>
    <row r="212" spans="1:15" ht="15.75" customHeight="1" x14ac:dyDescent="0.25">
      <c r="A212" s="602"/>
      <c r="B212" s="511"/>
      <c r="C212" s="668"/>
      <c r="D212" s="691" t="s">
        <v>431</v>
      </c>
      <c r="E212" s="692" t="str">
        <f>IF(D214="Yes","From :  ", " ")</f>
        <v xml:space="preserve"> </v>
      </c>
      <c r="F212" s="1422" t="str">
        <f>IF(D214="Yes",Esca!H$42 &amp; ", " &amp; Esca!H$43 &amp; " input ","")</f>
        <v/>
      </c>
      <c r="G212" s="1422"/>
      <c r="H212" s="1422"/>
      <c r="I212" s="1422"/>
      <c r="J212" s="1422"/>
      <c r="K212" s="1422"/>
      <c r="L212" s="1423"/>
      <c r="M212" s="379"/>
      <c r="N212" s="390"/>
      <c r="O212" s="390"/>
    </row>
    <row r="213" spans="1:15" ht="15.75" x14ac:dyDescent="0.25">
      <c r="A213" s="602"/>
      <c r="B213" s="539" t="s">
        <v>430</v>
      </c>
      <c r="C213" s="668"/>
      <c r="D213" s="691" t="s">
        <v>432</v>
      </c>
      <c r="E213" s="513"/>
      <c r="F213" s="1422"/>
      <c r="G213" s="1422"/>
      <c r="H213" s="1422"/>
      <c r="I213" s="1422"/>
      <c r="J213" s="1422"/>
      <c r="K213" s="1422"/>
      <c r="L213" s="1423"/>
      <c r="M213" s="379"/>
      <c r="N213" s="390"/>
      <c r="O213" s="390"/>
    </row>
    <row r="214" spans="1:15" ht="15.75" customHeight="1" x14ac:dyDescent="0.25">
      <c r="A214" s="602"/>
      <c r="B214" s="511"/>
      <c r="C214" s="670" t="str">
        <f>IF(D214="Yes","Go to", " ")</f>
        <v xml:space="preserve"> </v>
      </c>
      <c r="D214" s="691" t="s">
        <v>432</v>
      </c>
      <c r="E214" s="692" t="str">
        <f>IF(D214="Yes","To    :   ", " ")</f>
        <v xml:space="preserve"> </v>
      </c>
      <c r="F214" s="1422" t="str">
        <f>IF(D214="Yes",Esca!D$42 &amp; ", " &amp; Esca!D$43 &amp; " input ","")</f>
        <v/>
      </c>
      <c r="G214" s="1422"/>
      <c r="H214" s="1422"/>
      <c r="I214" s="1422"/>
      <c r="J214" s="1422"/>
      <c r="K214" s="1422"/>
      <c r="L214" s="1423"/>
      <c r="M214" s="379"/>
      <c r="N214" s="390"/>
      <c r="O214" s="390"/>
    </row>
    <row r="215" spans="1:15" ht="15.75" x14ac:dyDescent="0.25">
      <c r="A215" s="602"/>
      <c r="B215" s="416"/>
      <c r="C215" s="671" t="str">
        <f>IF(D214="Yes","sheet 'Esca' ", " ")</f>
        <v xml:space="preserve"> </v>
      </c>
      <c r="D215" s="495"/>
      <c r="E215" s="696"/>
      <c r="F215" s="1422"/>
      <c r="G215" s="1422"/>
      <c r="H215" s="1422"/>
      <c r="I215" s="1422"/>
      <c r="J215" s="1422"/>
      <c r="K215" s="1422"/>
      <c r="L215" s="1423"/>
      <c r="M215" s="379"/>
      <c r="N215" s="390"/>
      <c r="O215" s="390"/>
    </row>
    <row r="216" spans="1:15" ht="15.75" x14ac:dyDescent="0.25">
      <c r="A216" s="602"/>
      <c r="B216" s="416"/>
      <c r="C216" s="670" t="str">
        <f>IF(D214="Yes","to calculate the soil carbon accumulation", " ")</f>
        <v xml:space="preserve"> </v>
      </c>
      <c r="D216" s="495"/>
      <c r="E216" s="696"/>
      <c r="F216" s="694"/>
      <c r="G216" s="694"/>
      <c r="H216" s="694"/>
      <c r="I216" s="492" t="s">
        <v>746</v>
      </c>
      <c r="J216" s="514"/>
      <c r="K216" s="694"/>
      <c r="L216" s="695"/>
      <c r="M216" s="379"/>
      <c r="N216" s="390"/>
      <c r="O216" s="390"/>
    </row>
    <row r="217" spans="1:15" ht="16.5" x14ac:dyDescent="0.3">
      <c r="A217" s="602"/>
      <c r="B217" s="416"/>
      <c r="C217" s="670"/>
      <c r="D217" s="495"/>
      <c r="E217" s="696"/>
      <c r="F217" s="694"/>
      <c r="G217" s="694"/>
      <c r="H217" s="694"/>
      <c r="I217" s="539" t="s">
        <v>1053</v>
      </c>
      <c r="J217" s="539" t="s">
        <v>1054</v>
      </c>
      <c r="K217" s="539" t="s">
        <v>1055</v>
      </c>
      <c r="L217" s="540" t="s">
        <v>1056</v>
      </c>
      <c r="M217" s="379"/>
      <c r="N217" s="390"/>
      <c r="O217" s="390"/>
    </row>
    <row r="218" spans="1:15" ht="16.5" x14ac:dyDescent="0.3">
      <c r="A218" s="602"/>
      <c r="B218" s="507" t="s">
        <v>807</v>
      </c>
      <c r="C218" s="697">
        <f>IF(D214="yes",Esca!$J$81,0)</f>
        <v>0</v>
      </c>
      <c r="D218" s="497" t="s">
        <v>449</v>
      </c>
      <c r="E218" s="503"/>
      <c r="F218" s="495"/>
      <c r="G218" s="495"/>
      <c r="H218" s="495"/>
      <c r="I218" s="544">
        <f>$C218*1000000/$E$238</f>
        <v>0</v>
      </c>
      <c r="J218" s="544">
        <v>0</v>
      </c>
      <c r="K218" s="544">
        <v>0</v>
      </c>
      <c r="L218" s="419">
        <f>I218*'Standard values'!$D$10+J218*'Standard values'!$D$11+K218*'Standard values'!$D$12</f>
        <v>0</v>
      </c>
      <c r="M218" s="379"/>
      <c r="N218" s="390"/>
      <c r="O218" s="390"/>
    </row>
    <row r="219" spans="1:15" x14ac:dyDescent="0.2">
      <c r="A219" s="503"/>
      <c r="B219" s="539"/>
      <c r="C219" s="539"/>
      <c r="D219" s="605"/>
      <c r="E219" s="503"/>
      <c r="F219" s="495"/>
      <c r="G219" s="495"/>
      <c r="H219" s="495"/>
      <c r="I219" s="495"/>
      <c r="J219" s="495"/>
      <c r="K219" s="544"/>
      <c r="L219" s="516">
        <f>SUM(L218:L218)</f>
        <v>0</v>
      </c>
      <c r="M219" s="379"/>
      <c r="N219" s="390"/>
      <c r="O219" s="390"/>
    </row>
    <row r="220" spans="1:15" x14ac:dyDescent="0.2">
      <c r="A220" s="503"/>
      <c r="B220" s="539"/>
      <c r="C220" s="539"/>
      <c r="D220" s="605"/>
      <c r="E220" s="503"/>
      <c r="F220" s="495"/>
      <c r="G220" s="495"/>
      <c r="H220" s="495"/>
      <c r="I220" s="495"/>
      <c r="J220" s="495"/>
      <c r="K220" s="544"/>
      <c r="L220" s="700"/>
      <c r="M220" s="379"/>
      <c r="N220" s="390"/>
      <c r="O220" s="390"/>
    </row>
    <row r="221" spans="1:15" ht="14.25" x14ac:dyDescent="0.25">
      <c r="A221" s="519"/>
      <c r="B221" s="520"/>
      <c r="C221" s="520"/>
      <c r="D221" s="520"/>
      <c r="E221" s="519"/>
      <c r="F221" s="521"/>
      <c r="G221" s="521"/>
      <c r="H221" s="521" t="s">
        <v>534</v>
      </c>
      <c r="I221" s="520"/>
      <c r="J221" s="523" t="s">
        <v>747</v>
      </c>
      <c r="K221" s="549"/>
      <c r="L221" s="525">
        <f>L219</f>
        <v>0</v>
      </c>
      <c r="M221" s="379"/>
      <c r="N221" s="390"/>
      <c r="O221" s="390"/>
    </row>
    <row r="222" spans="1:15" x14ac:dyDescent="0.2">
      <c r="A222" s="390"/>
      <c r="B222" s="390"/>
      <c r="C222" s="390"/>
      <c r="D222" s="390"/>
      <c r="E222" s="390"/>
      <c r="F222" s="376"/>
      <c r="G222" s="376"/>
      <c r="H222" s="376"/>
      <c r="I222" s="390"/>
      <c r="J222" s="550"/>
      <c r="K222" s="551"/>
      <c r="L222" s="604"/>
      <c r="M222" s="379"/>
      <c r="N222" s="390"/>
      <c r="O222" s="390"/>
    </row>
    <row r="223" spans="1:15" x14ac:dyDescent="0.2">
      <c r="A223" s="390"/>
      <c r="B223" s="390"/>
      <c r="C223" s="390"/>
      <c r="D223" s="390"/>
      <c r="E223" s="390"/>
      <c r="F223" s="376"/>
      <c r="G223" s="376"/>
      <c r="H223" s="376"/>
      <c r="I223" s="390"/>
      <c r="J223" s="550"/>
      <c r="K223" s="551"/>
      <c r="L223" s="604"/>
      <c r="M223" s="379"/>
      <c r="N223" s="390"/>
      <c r="O223" s="390"/>
    </row>
    <row r="224" spans="1:15" ht="18.75" x14ac:dyDescent="0.35">
      <c r="A224" s="530" t="s">
        <v>168</v>
      </c>
      <c r="B224" s="598"/>
      <c r="C224" s="599"/>
      <c r="D224" s="531"/>
      <c r="E224" s="600"/>
      <c r="F224" s="531"/>
      <c r="G224" s="531"/>
      <c r="H224" s="531"/>
      <c r="I224" s="531"/>
      <c r="J224" s="531"/>
      <c r="K224" s="531"/>
      <c r="L224" s="601"/>
      <c r="M224" s="379"/>
      <c r="N224" s="390"/>
      <c r="O224" s="390"/>
    </row>
    <row r="225" spans="1:15" ht="15.75" x14ac:dyDescent="0.25">
      <c r="A225" s="602"/>
      <c r="B225" s="416" t="s">
        <v>166</v>
      </c>
      <c r="C225" s="492"/>
      <c r="D225" s="495"/>
      <c r="E225" s="503"/>
      <c r="F225" s="495"/>
      <c r="G225" s="495"/>
      <c r="H225" s="495"/>
      <c r="I225" s="492" t="s">
        <v>746</v>
      </c>
      <c r="J225" s="514"/>
      <c r="K225" s="514"/>
      <c r="L225" s="537"/>
      <c r="M225" s="379"/>
      <c r="N225" s="390"/>
      <c r="O225" s="390"/>
    </row>
    <row r="226" spans="1:15" ht="15.75" x14ac:dyDescent="0.3">
      <c r="A226" s="503"/>
      <c r="B226" s="539"/>
      <c r="C226" s="595">
        <v>0</v>
      </c>
      <c r="D226" s="605" t="s">
        <v>672</v>
      </c>
      <c r="E226" s="503"/>
      <c r="F226" s="495"/>
      <c r="G226" s="495"/>
      <c r="H226" s="495"/>
      <c r="I226" s="495"/>
      <c r="J226" s="495"/>
      <c r="K226" s="544"/>
      <c r="L226" s="516">
        <f>C226</f>
        <v>0</v>
      </c>
      <c r="M226" s="379"/>
      <c r="N226" s="390"/>
      <c r="O226" s="390"/>
    </row>
    <row r="227" spans="1:15" ht="14.25" x14ac:dyDescent="0.25">
      <c r="A227" s="519"/>
      <c r="B227" s="520"/>
      <c r="C227" s="701"/>
      <c r="D227" s="520"/>
      <c r="E227" s="519"/>
      <c r="F227" s="521"/>
      <c r="G227" s="521"/>
      <c r="H227" s="521" t="s">
        <v>534</v>
      </c>
      <c r="I227" s="520"/>
      <c r="J227" s="523" t="s">
        <v>747</v>
      </c>
      <c r="K227" s="549"/>
      <c r="L227" s="525">
        <f>C226</f>
        <v>0</v>
      </c>
      <c r="M227" s="379"/>
      <c r="N227" s="390"/>
      <c r="O227" s="390"/>
    </row>
    <row r="228" spans="1:15" x14ac:dyDescent="0.2">
      <c r="A228" s="390"/>
      <c r="B228" s="390"/>
      <c r="C228" s="390"/>
      <c r="D228" s="390"/>
      <c r="E228" s="390"/>
      <c r="F228" s="376"/>
      <c r="G228" s="376"/>
      <c r="H228" s="376"/>
      <c r="I228" s="390"/>
      <c r="J228" s="550"/>
      <c r="K228" s="551"/>
      <c r="L228" s="604"/>
      <c r="M228" s="379"/>
      <c r="N228" s="390"/>
      <c r="O228" s="390"/>
    </row>
    <row r="229" spans="1:15" x14ac:dyDescent="0.2">
      <c r="A229" s="390"/>
      <c r="B229" s="390"/>
      <c r="C229" s="390"/>
      <c r="D229" s="390"/>
      <c r="E229" s="390"/>
      <c r="F229" s="376"/>
      <c r="G229" s="376"/>
      <c r="H229" s="376"/>
      <c r="I229" s="390"/>
      <c r="J229" s="550"/>
      <c r="K229" s="551"/>
      <c r="L229" s="604"/>
      <c r="M229" s="379"/>
      <c r="N229" s="390"/>
      <c r="O229" s="390"/>
    </row>
    <row r="230" spans="1:15" ht="18.75" x14ac:dyDescent="0.35">
      <c r="A230" s="530" t="s">
        <v>169</v>
      </c>
      <c r="B230" s="598"/>
      <c r="C230" s="599"/>
      <c r="D230" s="531"/>
      <c r="E230" s="600"/>
      <c r="F230" s="531"/>
      <c r="G230" s="531"/>
      <c r="H230" s="531"/>
      <c r="I230" s="531"/>
      <c r="J230" s="531"/>
      <c r="K230" s="531"/>
      <c r="L230" s="601"/>
      <c r="M230" s="379"/>
      <c r="N230" s="390"/>
      <c r="O230" s="390"/>
    </row>
    <row r="231" spans="1:15" ht="15.75" x14ac:dyDescent="0.25">
      <c r="A231" s="602"/>
      <c r="B231" s="416" t="s">
        <v>167</v>
      </c>
      <c r="C231" s="492"/>
      <c r="D231" s="495"/>
      <c r="E231" s="503"/>
      <c r="F231" s="495"/>
      <c r="G231" s="495"/>
      <c r="H231" s="495"/>
      <c r="I231" s="492" t="s">
        <v>746</v>
      </c>
      <c r="J231" s="514"/>
      <c r="K231" s="514"/>
      <c r="L231" s="537"/>
      <c r="M231" s="379"/>
      <c r="N231" s="390"/>
      <c r="O231" s="390"/>
    </row>
    <row r="232" spans="1:15" ht="15.75" x14ac:dyDescent="0.3">
      <c r="A232" s="503"/>
      <c r="B232" s="539"/>
      <c r="C232" s="595">
        <v>0</v>
      </c>
      <c r="D232" s="605" t="s">
        <v>672</v>
      </c>
      <c r="E232" s="503"/>
      <c r="F232" s="495"/>
      <c r="G232" s="495"/>
      <c r="H232" s="495"/>
      <c r="I232" s="495"/>
      <c r="J232" s="495"/>
      <c r="K232" s="544"/>
      <c r="L232" s="516">
        <f>C232</f>
        <v>0</v>
      </c>
      <c r="M232" s="379"/>
      <c r="N232" s="390"/>
      <c r="O232" s="390"/>
    </row>
    <row r="233" spans="1:15" ht="14.25" x14ac:dyDescent="0.25">
      <c r="A233" s="519"/>
      <c r="B233" s="520"/>
      <c r="C233" s="520"/>
      <c r="D233" s="520"/>
      <c r="E233" s="519"/>
      <c r="F233" s="521"/>
      <c r="G233" s="521"/>
      <c r="H233" s="521" t="s">
        <v>534</v>
      </c>
      <c r="I233" s="520"/>
      <c r="J233" s="523" t="s">
        <v>747</v>
      </c>
      <c r="K233" s="549"/>
      <c r="L233" s="525">
        <f>C232</f>
        <v>0</v>
      </c>
      <c r="M233" s="379"/>
      <c r="N233" s="390"/>
      <c r="O233" s="390"/>
    </row>
    <row r="234" spans="1:15" x14ac:dyDescent="0.2">
      <c r="A234" s="390"/>
      <c r="B234" s="390"/>
      <c r="C234" s="390"/>
      <c r="D234" s="390"/>
      <c r="E234" s="390"/>
      <c r="F234" s="376"/>
      <c r="G234" s="376"/>
      <c r="H234" s="376"/>
      <c r="I234" s="390"/>
      <c r="J234" s="550"/>
      <c r="K234" s="551"/>
      <c r="L234" s="604"/>
      <c r="M234" s="379"/>
      <c r="N234" s="390"/>
      <c r="O234" s="390"/>
    </row>
    <row r="235" spans="1:15" x14ac:dyDescent="0.2">
      <c r="A235" s="390"/>
      <c r="B235" s="390"/>
      <c r="C235" s="390"/>
      <c r="D235" s="390"/>
      <c r="E235" s="390"/>
      <c r="F235" s="376"/>
      <c r="G235" s="376"/>
      <c r="H235" s="376"/>
      <c r="I235" s="390"/>
      <c r="J235" s="550"/>
      <c r="K235" s="551"/>
      <c r="L235" s="604"/>
      <c r="M235" s="379"/>
      <c r="N235" s="390"/>
      <c r="O235" s="390"/>
    </row>
    <row r="236" spans="1:15" ht="15.75" x14ac:dyDescent="0.25">
      <c r="A236" s="530" t="s">
        <v>457</v>
      </c>
      <c r="B236" s="531"/>
      <c r="C236" s="531"/>
      <c r="D236" s="531"/>
      <c r="E236" s="532"/>
      <c r="F236" s="606"/>
      <c r="G236" s="606"/>
      <c r="H236" s="606"/>
      <c r="I236" s="607"/>
      <c r="J236" s="608"/>
      <c r="K236" s="607"/>
      <c r="L236" s="609"/>
      <c r="M236" s="379"/>
      <c r="N236" s="390"/>
      <c r="O236" s="390"/>
    </row>
    <row r="237" spans="1:15" ht="15.75" x14ac:dyDescent="0.25">
      <c r="A237" s="610"/>
      <c r="B237" s="611"/>
      <c r="C237" s="611"/>
      <c r="D237" s="611"/>
      <c r="E237" s="612"/>
      <c r="F237" s="613"/>
      <c r="G237" s="613"/>
      <c r="H237" s="613"/>
      <c r="I237" s="613"/>
      <c r="J237" s="613"/>
      <c r="K237" s="613"/>
      <c r="L237" s="614"/>
      <c r="M237" s="379"/>
      <c r="N237" s="390"/>
      <c r="O237" s="390"/>
    </row>
    <row r="238" spans="1:15" ht="15.75" x14ac:dyDescent="0.3">
      <c r="A238" s="503"/>
      <c r="B238" s="495"/>
      <c r="C238" s="495"/>
      <c r="D238" s="546" t="s">
        <v>300</v>
      </c>
      <c r="E238" s="702">
        <f>E26*C51*C64*C94*C105*C125*C136*C170*C182</f>
        <v>18182.081657273422</v>
      </c>
      <c r="F238" s="499" t="s">
        <v>655</v>
      </c>
      <c r="G238" s="499"/>
      <c r="H238" s="495"/>
      <c r="I238" s="495"/>
      <c r="J238" s="495"/>
      <c r="K238" s="495"/>
      <c r="L238" s="616"/>
      <c r="M238" s="379"/>
      <c r="N238" s="390"/>
      <c r="O238" s="390"/>
    </row>
    <row r="239" spans="1:15" ht="15.75" x14ac:dyDescent="0.3">
      <c r="A239" s="503"/>
      <c r="B239" s="495"/>
      <c r="C239" s="495"/>
      <c r="D239" s="546" t="s">
        <v>299</v>
      </c>
      <c r="E239" s="615">
        <f>E238/E26</f>
        <v>0.32491210967250578</v>
      </c>
      <c r="F239" s="495" t="s">
        <v>414</v>
      </c>
      <c r="G239" s="495"/>
      <c r="H239" s="495"/>
      <c r="I239" s="544"/>
      <c r="J239" s="495"/>
      <c r="K239" s="495"/>
      <c r="L239" s="616"/>
      <c r="M239" s="379"/>
      <c r="N239" s="390"/>
      <c r="O239" s="390"/>
    </row>
    <row r="240" spans="1:15" x14ac:dyDescent="0.2">
      <c r="A240" s="503"/>
      <c r="B240" s="495"/>
      <c r="C240" s="495"/>
      <c r="D240" s="495"/>
      <c r="E240" s="495"/>
      <c r="F240" s="617"/>
      <c r="G240" s="617"/>
      <c r="H240" s="495"/>
      <c r="I240" s="544"/>
      <c r="J240" s="495"/>
      <c r="K240" s="495"/>
      <c r="L240" s="616"/>
      <c r="M240" s="379"/>
      <c r="N240" s="390"/>
      <c r="O240" s="390"/>
    </row>
    <row r="241" spans="1:15" x14ac:dyDescent="0.2">
      <c r="A241" s="503"/>
      <c r="B241" s="495"/>
      <c r="C241" s="495"/>
      <c r="D241" s="495"/>
      <c r="E241" s="495"/>
      <c r="F241" s="617"/>
      <c r="G241" s="617"/>
      <c r="H241" s="495"/>
      <c r="I241" s="495"/>
      <c r="J241" s="495"/>
      <c r="K241" s="495"/>
      <c r="L241" s="616"/>
      <c r="M241" s="379"/>
      <c r="N241" s="390"/>
      <c r="O241" s="390"/>
    </row>
    <row r="242" spans="1:15" ht="14.25" x14ac:dyDescent="0.25">
      <c r="A242" s="703"/>
      <c r="B242" s="404"/>
      <c r="C242" s="404"/>
      <c r="D242" s="404"/>
      <c r="E242" s="704" t="s">
        <v>1059</v>
      </c>
      <c r="F242" s="705"/>
      <c r="G242" s="705"/>
      <c r="H242" s="423"/>
      <c r="I242" s="404"/>
      <c r="J242" s="704" t="s">
        <v>747</v>
      </c>
      <c r="K242" s="423"/>
      <c r="L242" s="706">
        <f>L47+L59+L81+L100+L121+L131+L157+L178+L190+L207-L221-L227-L233</f>
        <v>135.58845712584557</v>
      </c>
      <c r="M242" s="379"/>
      <c r="N242" s="390"/>
      <c r="O242" s="390"/>
    </row>
    <row r="243" spans="1:15" ht="14.25" x14ac:dyDescent="0.25">
      <c r="A243" s="707"/>
      <c r="B243" s="708"/>
      <c r="C243" s="709"/>
      <c r="D243" s="404"/>
      <c r="E243" s="704" t="s">
        <v>1060</v>
      </c>
      <c r="F243" s="404"/>
      <c r="G243" s="404"/>
      <c r="H243" s="404"/>
      <c r="I243" s="404"/>
      <c r="J243" s="704" t="s">
        <v>747</v>
      </c>
      <c r="K243" s="404"/>
      <c r="L243" s="710">
        <f>L166+L178+L190+(L202*J6*J9)+L205-L221-L227-L233</f>
        <v>57.184627755245238</v>
      </c>
      <c r="M243" s="379"/>
      <c r="N243" s="390"/>
      <c r="O243" s="390"/>
    </row>
    <row r="244" spans="1:15" x14ac:dyDescent="0.2">
      <c r="A244" s="703"/>
      <c r="B244" s="404"/>
      <c r="C244" s="404"/>
      <c r="D244" s="404"/>
      <c r="E244" s="404"/>
      <c r="F244" s="711"/>
      <c r="G244" s="711"/>
      <c r="H244" s="404"/>
      <c r="I244" s="404"/>
      <c r="J244" s="404"/>
      <c r="K244" s="404"/>
      <c r="L244" s="712"/>
      <c r="M244" s="379"/>
      <c r="N244" s="390"/>
      <c r="O244" s="390"/>
    </row>
    <row r="245" spans="1:15" x14ac:dyDescent="0.2">
      <c r="A245" s="519"/>
      <c r="B245" s="520"/>
      <c r="C245" s="520"/>
      <c r="D245" s="520"/>
      <c r="E245" s="713" t="s">
        <v>1061</v>
      </c>
      <c r="F245" s="632"/>
      <c r="G245" s="632"/>
      <c r="H245" s="632"/>
      <c r="I245" s="632"/>
      <c r="J245" s="632"/>
      <c r="K245" s="632"/>
      <c r="L245" s="633">
        <f>(83.8-L243)/83.8</f>
        <v>0.31760587404241958</v>
      </c>
      <c r="M245" s="379"/>
      <c r="N245" s="390"/>
      <c r="O245" s="390"/>
    </row>
    <row r="246" spans="1:15" x14ac:dyDescent="0.2">
      <c r="M246" s="361"/>
    </row>
    <row r="247" spans="1:15" x14ac:dyDescent="0.2">
      <c r="E247" s="634"/>
      <c r="F247" s="634"/>
      <c r="G247" s="634"/>
      <c r="H247" s="635"/>
      <c r="I247" s="634"/>
      <c r="J247" s="634"/>
      <c r="K247" s="634"/>
      <c r="L247" s="636"/>
      <c r="M247" s="361"/>
    </row>
    <row r="248" spans="1:15" x14ac:dyDescent="0.2">
      <c r="F248" s="634"/>
      <c r="G248" s="634"/>
      <c r="H248" s="634"/>
      <c r="I248" s="637"/>
      <c r="J248" s="634"/>
      <c r="K248" s="634"/>
      <c r="L248" s="638"/>
      <c r="M248" s="639"/>
      <c r="N248" s="361"/>
    </row>
    <row r="249" spans="1:15" x14ac:dyDescent="0.2">
      <c r="F249" s="634"/>
      <c r="G249" s="634"/>
      <c r="H249" s="634"/>
      <c r="I249" s="637"/>
      <c r="J249" s="634"/>
      <c r="K249" s="634"/>
      <c r="L249" s="638"/>
      <c r="M249" s="639"/>
      <c r="N249" s="361"/>
    </row>
    <row r="250" spans="1:15" ht="15.75" x14ac:dyDescent="0.25">
      <c r="F250" s="640"/>
      <c r="G250" s="640"/>
      <c r="H250" s="634"/>
      <c r="I250" s="634"/>
      <c r="J250" s="634"/>
      <c r="K250" s="634"/>
      <c r="L250" s="634"/>
      <c r="M250" s="634"/>
      <c r="N250" s="361"/>
    </row>
    <row r="251" spans="1:15" x14ac:dyDescent="0.2">
      <c r="F251" s="634"/>
      <c r="G251" s="634"/>
      <c r="H251" s="637"/>
      <c r="I251" s="634"/>
      <c r="J251" s="634"/>
      <c r="K251" s="634"/>
      <c r="L251" s="634"/>
      <c r="M251" s="634"/>
      <c r="N251" s="634"/>
    </row>
    <row r="252" spans="1:15" x14ac:dyDescent="0.2">
      <c r="F252" s="637"/>
      <c r="G252" s="637"/>
      <c r="H252" s="634"/>
      <c r="I252" s="641"/>
      <c r="J252" s="634"/>
      <c r="K252" s="634"/>
      <c r="L252" s="634"/>
      <c r="M252" s="634"/>
      <c r="N252" s="634"/>
    </row>
    <row r="253" spans="1:15" x14ac:dyDescent="0.2">
      <c r="F253" s="637"/>
      <c r="G253" s="637"/>
      <c r="H253" s="634"/>
      <c r="I253" s="641"/>
      <c r="J253" s="634"/>
      <c r="K253" s="634"/>
      <c r="L253" s="634"/>
      <c r="M253" s="634"/>
      <c r="N253" s="634"/>
    </row>
    <row r="254" spans="1:15" x14ac:dyDescent="0.2">
      <c r="F254" s="634"/>
      <c r="G254" s="634"/>
      <c r="H254" s="639"/>
      <c r="I254" s="634"/>
      <c r="J254" s="634"/>
      <c r="K254" s="634"/>
      <c r="L254" s="634"/>
      <c r="M254" s="634"/>
      <c r="N254" s="634"/>
    </row>
    <row r="255" spans="1:15" x14ac:dyDescent="0.2">
      <c r="F255" s="634"/>
      <c r="G255" s="634"/>
      <c r="H255" s="634"/>
      <c r="I255" s="634"/>
      <c r="J255" s="634"/>
      <c r="K255" s="634"/>
      <c r="L255" s="634"/>
      <c r="M255" s="634"/>
      <c r="N255" s="634"/>
    </row>
    <row r="256" spans="1:15" x14ac:dyDescent="0.2">
      <c r="F256" s="634"/>
      <c r="G256" s="634"/>
      <c r="H256" s="634"/>
      <c r="I256" s="634"/>
      <c r="J256" s="634"/>
      <c r="K256" s="634"/>
      <c r="L256" s="634"/>
      <c r="M256" s="634"/>
      <c r="N256" s="634"/>
    </row>
    <row r="257" spans="6:14" x14ac:dyDescent="0.2">
      <c r="F257" s="634"/>
      <c r="G257" s="634"/>
      <c r="H257" s="634"/>
      <c r="I257" s="634"/>
      <c r="J257" s="634"/>
      <c r="K257" s="634"/>
      <c r="L257" s="634"/>
      <c r="M257" s="634"/>
      <c r="N257" s="634"/>
    </row>
    <row r="258" spans="6:14" x14ac:dyDescent="0.2">
      <c r="F258" s="634"/>
      <c r="G258" s="634"/>
      <c r="H258" s="634"/>
      <c r="I258" s="634"/>
      <c r="J258" s="634"/>
      <c r="K258" s="634"/>
      <c r="L258" s="634"/>
      <c r="M258" s="634"/>
      <c r="N258" s="634"/>
    </row>
    <row r="259" spans="6:14" x14ac:dyDescent="0.2">
      <c r="F259" s="634"/>
      <c r="G259" s="634"/>
      <c r="H259" s="634"/>
      <c r="I259" s="634"/>
      <c r="J259" s="634"/>
      <c r="K259" s="634"/>
      <c r="L259" s="634"/>
      <c r="M259" s="634"/>
      <c r="N259" s="634"/>
    </row>
    <row r="260" spans="6:14" x14ac:dyDescent="0.2">
      <c r="F260" s="634"/>
      <c r="G260" s="634"/>
      <c r="H260" s="634"/>
      <c r="I260" s="634"/>
      <c r="J260" s="634"/>
      <c r="K260" s="634"/>
      <c r="L260" s="634"/>
      <c r="M260" s="634"/>
      <c r="N260" s="634"/>
    </row>
    <row r="261" spans="6:14" x14ac:dyDescent="0.2">
      <c r="F261" s="634"/>
      <c r="G261" s="634"/>
      <c r="H261" s="634"/>
      <c r="I261" s="634"/>
      <c r="J261" s="634"/>
      <c r="K261" s="634"/>
      <c r="L261" s="634"/>
      <c r="M261" s="634"/>
      <c r="N261" s="634"/>
    </row>
    <row r="262" spans="6:14" x14ac:dyDescent="0.2">
      <c r="F262" s="634"/>
      <c r="G262" s="634"/>
      <c r="H262" s="634"/>
      <c r="I262" s="634"/>
      <c r="J262" s="634"/>
      <c r="K262" s="634"/>
      <c r="L262" s="634"/>
      <c r="M262" s="634"/>
      <c r="N262" s="634"/>
    </row>
    <row r="263" spans="6:14" x14ac:dyDescent="0.2">
      <c r="F263" s="634"/>
      <c r="G263" s="634"/>
      <c r="H263" s="634"/>
      <c r="I263" s="634"/>
      <c r="J263" s="634"/>
      <c r="K263" s="634"/>
      <c r="L263" s="634"/>
      <c r="M263" s="634"/>
      <c r="N263" s="634"/>
    </row>
    <row r="264" spans="6:14" x14ac:dyDescent="0.2">
      <c r="F264" s="634"/>
      <c r="G264" s="634"/>
      <c r="H264" s="634"/>
      <c r="I264" s="634"/>
      <c r="J264" s="634"/>
      <c r="K264" s="634"/>
      <c r="L264" s="634"/>
      <c r="M264" s="634"/>
      <c r="N264" s="634"/>
    </row>
    <row r="265" spans="6:14" x14ac:dyDescent="0.2">
      <c r="F265" s="634"/>
      <c r="G265" s="634"/>
      <c r="H265" s="634"/>
      <c r="I265" s="634"/>
      <c r="J265" s="634"/>
      <c r="K265" s="634"/>
      <c r="L265" s="634"/>
      <c r="M265" s="634"/>
      <c r="N265" s="634"/>
    </row>
    <row r="266" spans="6:14" x14ac:dyDescent="0.2">
      <c r="F266" s="634"/>
      <c r="G266" s="634"/>
      <c r="H266" s="634"/>
      <c r="I266" s="634"/>
      <c r="J266" s="634"/>
      <c r="K266" s="634"/>
      <c r="L266" s="634"/>
      <c r="M266" s="634"/>
      <c r="N266" s="634"/>
    </row>
  </sheetData>
  <sheetProtection insertColumns="0" insertRows="0" deleteColumns="0" deleteRows="0"/>
  <customSheetViews>
    <customSheetView guid="{AD88818B-9F97-4B1E-9426-0DECE603685E}" scale="80" showGridLines="0" fitToPage="1" showRuler="0">
      <pane ySplit="20" topLeftCell="A21" activePane="bottomLeft" state="frozen"/>
      <selection pane="bottomLeft" activeCell="E3" sqref="E3"/>
      <pageMargins left="0.75" right="0.75" top="1" bottom="1" header="0.5" footer="0.5"/>
      <pageSetup paperSize="8" fitToHeight="0" orientation="landscape"/>
      <headerFooter alignWithMargins="0">
        <oddFooter>&amp;L&amp;8&amp;F&amp;C&amp;8&amp;A&amp;R&amp;8page&amp;P</oddFooter>
      </headerFooter>
    </customSheetView>
    <customSheetView guid="{7EB5D807-CE20-46E2-AEE6-2C193E010EA4}" scale="80" showGridLines="0" fitToPage="1" showRuler="0">
      <pane ySplit="20" topLeftCell="A21" activePane="bottomLeft" state="frozen"/>
      <selection pane="bottomLeft" activeCell="E3" sqref="E3"/>
      <pageMargins left="0.75" right="0.75" top="1" bottom="1" header="0.5" footer="0.5"/>
      <pageSetup paperSize="8" fitToHeight="0" orientation="landscape"/>
      <headerFooter alignWithMargins="0">
        <oddFooter>&amp;L&amp;8&amp;F&amp;C&amp;8&amp;A&amp;R&amp;8page&amp;P</oddFooter>
      </headerFooter>
    </customSheetView>
  </customSheetViews>
  <mergeCells count="6">
    <mergeCell ref="F212:L213"/>
    <mergeCell ref="F214:L215"/>
    <mergeCell ref="H10:H11"/>
    <mergeCell ref="O10:O11"/>
    <mergeCell ref="F195:L196"/>
    <mergeCell ref="F197:L198"/>
  </mergeCells>
  <phoneticPr fontId="0" type="noConversion"/>
  <conditionalFormatting sqref="O9:O22">
    <cfRule type="cellIs" dxfId="67" priority="3" stopIfTrue="1" operator="notBetween">
      <formula>-0.05</formula>
      <formula>0.05</formula>
    </cfRule>
  </conditionalFormatting>
  <conditionalFormatting sqref="E18">
    <cfRule type="expression" dxfId="66" priority="5" stopIfTrue="1">
      <formula>($E18="Combined result of previous calculation")</formula>
    </cfRule>
  </conditionalFormatting>
  <conditionalFormatting sqref="A18:D18 F18:G18">
    <cfRule type="expression" dxfId="65" priority="6" stopIfTrue="1">
      <formula>($E18="Combined result of previous calculation")</formula>
    </cfRule>
  </conditionalFormatting>
  <conditionalFormatting sqref="A7:G7 A9:G9 A13:G13">
    <cfRule type="expression" dxfId="64" priority="7" stopIfTrue="1">
      <formula>($E7&lt;&gt;"")</formula>
    </cfRule>
  </conditionalFormatting>
  <conditionalFormatting sqref="A19:D19 F19:G19">
    <cfRule type="expression" dxfId="63" priority="8" stopIfTrue="1">
      <formula>($E19="Esca included in combined result of previous calculation")</formula>
    </cfRule>
  </conditionalFormatting>
  <conditionalFormatting sqref="E19">
    <cfRule type="expression" dxfId="62" priority="9" stopIfTrue="1">
      <formula>($E19="Esca included in combined result of previous calculation")</formula>
    </cfRule>
  </conditionalFormatting>
  <conditionalFormatting sqref="A14:G14">
    <cfRule type="expression" dxfId="61" priority="2" stopIfTrue="1">
      <formula>($E14&lt;&gt;"")</formula>
    </cfRule>
  </conditionalFormatting>
  <conditionalFormatting sqref="A15:G15">
    <cfRule type="expression" dxfId="60" priority="1" stopIfTrue="1">
      <formula>($E15&lt;&gt;"")</formula>
    </cfRule>
  </conditionalFormatting>
  <dataValidations count="8">
    <dataValidation type="list" allowBlank="1" showInputMessage="1" showErrorMessage="1" sqref="F6 F8 F12" xr:uid="{00000000-0002-0000-1300-000000000000}">
      <formula1>"A,D"</formula1>
    </dataValidation>
    <dataValidation type="list" showDropDown="1" showInputMessage="1" showErrorMessage="1" errorTitle="Wrong input" error="Only values &quot;0&quot; and &quot;29&quot; are allowed_x000a_" sqref="C204" xr:uid="{00000000-0002-0000-1300-000001000000}">
      <formula1>"0,29"</formula1>
    </dataValidation>
    <dataValidation allowBlank="1" showInputMessage="1" showErrorMessage="1" promptTitle="Input value for manure" prompt="Use of manure will not lead to direct GHG emissions as the emission coeffient is 0 g CO2,eq/MJ._x000a_Use of manure will indirectly lead to GHG emissions. When using actual inputs, field N2O emissions must be calculated which increase due to use of manure." sqref="C35" xr:uid="{00000000-0002-0000-1300-000002000000}"/>
    <dataValidation type="list" allowBlank="1" showInputMessage="1" showErrorMessage="1" sqref="E18" xr:uid="{00000000-0002-0000-1300-000003000000}">
      <formula1>"- , Combined result of previous calculation"</formula1>
    </dataValidation>
    <dataValidation type="list" allowBlank="1" showInputMessage="1" showErrorMessage="1" sqref="E7 E9 E13:E15" xr:uid="{00000000-0002-0000-1300-000004000000}">
      <formula1>"- ,Individual result of previous calculation, Combined result of previous calculation"</formula1>
    </dataValidation>
    <dataValidation type="list" allowBlank="1" showInputMessage="1" showErrorMessage="1" sqref="E19" xr:uid="{00000000-0002-0000-1300-000005000000}">
      <formula1>"- , Esca included in combined result of previous calculation"</formula1>
    </dataValidation>
    <dataValidation allowBlank="1" showInputMessage="1" showErrorMessage="1" promptTitle="Please note !" prompt="When changing the value in this cell, you must indicate in column E under &quot;overview results&quot; that you have used the result of a previous calculation. Please refer to paragraph 4.2 of the user manual for further instructions and examples." sqref="N79 N45 N57" xr:uid="{00000000-0002-0000-1300-000006000000}"/>
    <dataValidation allowBlank="1" showInputMessage="1" showErrorMessage="1" promptTitle="Electricity mix" sqref="B177 B189 B147 B140 B115 B108 B75 B68" xr:uid="{00000000-0002-0000-1300-000007000000}"/>
  </dataValidations>
  <hyperlinks>
    <hyperlink ref="O53" location="Menu!A6" display="Back to menu" xr:uid="{00000000-0004-0000-1300-000000000000}"/>
    <hyperlink ref="O171" location="Menu!A6" display="Back to menu" xr:uid="{00000000-0004-0000-1300-000001000000}"/>
    <hyperlink ref="O52" location="Menu!A6" display="Back to menu" xr:uid="{00000000-0004-0000-1300-000002000000}"/>
    <hyperlink ref="O170" location="Menu!A6" display="Back to menu" xr:uid="{00000000-0004-0000-1300-000003000000}"/>
    <hyperlink ref="C215" location="Esca!A1" display="Esca!A1" xr:uid="{00000000-0004-0000-1300-000004000000}"/>
    <hyperlink ref="C198" location="LUC!A1" display="LUC!A1" xr:uid="{00000000-0004-0000-1300-000005000000}"/>
    <hyperlink ref="C46" location="'N2O emissions IPCC '!A1" display="N2O emissions IPCC" xr:uid="{00000000-0004-0000-1300-000006000000}"/>
    <hyperlink ref="O96" location="Menu!A6" display="Back to menu" xr:uid="{00000000-0004-0000-1300-000007000000}"/>
    <hyperlink ref="O95" location="Menu!A6" display="Back to menu" xr:uid="{00000000-0004-0000-1300-000008000000}"/>
    <hyperlink ref="O127" location="Menu!A6" display="Back to menu" xr:uid="{00000000-0004-0000-1300-000009000000}"/>
    <hyperlink ref="O126" location="Menu!A6" display="Back to menu" xr:uid="{00000000-0004-0000-1300-00000A000000}"/>
  </hyperlinks>
  <pageMargins left="0.75" right="0.75" top="1" bottom="1" header="0.5" footer="0.5"/>
  <pageSetup paperSize="8" fitToHeight="0" orientation="landscape"/>
  <headerFooter alignWithMargins="0">
    <oddFooter>&amp;L&amp;8&amp;F&amp;C&amp;8&amp;A&amp;R&amp;8page&amp;P</oddFooter>
  </headerFooter>
  <drawing r:id="rId1"/>
  <legacyDrawing r:id="rId2"/>
  <controls>
    <mc:AlternateContent xmlns:mc="http://schemas.openxmlformats.org/markup-compatibility/2006">
      <mc:Choice Requires="x14">
        <control shapeId="28676" r:id="rId3" name="CheckBox2">
          <controlPr autoLine="0" linkedCell="About!N86" r:id="rId4">
            <anchor moveWithCells="1">
              <from>
                <xdr:col>9</xdr:col>
                <xdr:colOff>38100</xdr:colOff>
                <xdr:row>17</xdr:row>
                <xdr:rowOff>47625</xdr:rowOff>
              </from>
              <to>
                <xdr:col>13</xdr:col>
                <xdr:colOff>885825</xdr:colOff>
                <xdr:row>19</xdr:row>
                <xdr:rowOff>85725</xdr:rowOff>
              </to>
            </anchor>
          </controlPr>
        </control>
      </mc:Choice>
      <mc:Fallback>
        <control shapeId="28676" r:id="rId3" name="CheckBox2"/>
      </mc:Fallback>
    </mc:AlternateContent>
    <mc:AlternateContent xmlns:mc="http://schemas.openxmlformats.org/markup-compatibility/2006">
      <mc:Choice Requires="x14">
        <control shapeId="28677" r:id="rId5" name="CheckBox1">
          <controlPr autoLine="0" linkedCell="About!N88" r:id="rId6">
            <anchor moveWithCells="1">
              <from>
                <xdr:col>9</xdr:col>
                <xdr:colOff>38100</xdr:colOff>
                <xdr:row>15</xdr:row>
                <xdr:rowOff>0</xdr:rowOff>
              </from>
              <to>
                <xdr:col>13</xdr:col>
                <xdr:colOff>866775</xdr:colOff>
                <xdr:row>17</xdr:row>
                <xdr:rowOff>171450</xdr:rowOff>
              </to>
            </anchor>
          </controlPr>
        </control>
      </mc:Choice>
      <mc:Fallback>
        <control shapeId="28677" r:id="rId5" name="CheckBox1"/>
      </mc:Fallback>
    </mc:AlternateContent>
    <mc:AlternateContent xmlns:mc="http://schemas.openxmlformats.org/markup-compatibility/2006">
      <mc:Choice Requires="x14">
        <control shapeId="28746" r:id="rId7" name="ComboBox1">
          <controlPr locked="0" defaultSize="0" autoLine="0" linkedCell="D197" listFillRange="D195:D196" r:id="rId8">
            <anchor moveWithCells="1">
              <from>
                <xdr:col>1</xdr:col>
                <xdr:colOff>1714500</xdr:colOff>
                <xdr:row>195</xdr:row>
                <xdr:rowOff>0</xdr:rowOff>
              </from>
              <to>
                <xdr:col>3</xdr:col>
                <xdr:colOff>38100</xdr:colOff>
                <xdr:row>196</xdr:row>
                <xdr:rowOff>28575</xdr:rowOff>
              </to>
            </anchor>
          </controlPr>
        </control>
      </mc:Choice>
      <mc:Fallback>
        <control shapeId="28746" r:id="rId7" name="ComboBox1"/>
      </mc:Fallback>
    </mc:AlternateContent>
    <mc:AlternateContent xmlns:mc="http://schemas.openxmlformats.org/markup-compatibility/2006">
      <mc:Choice Requires="x14">
        <control shapeId="28987" r:id="rId9" name="ComboBox2">
          <controlPr locked="0" defaultSize="0" autoLine="0" linkedCell="D214" listFillRange="D212:D213" r:id="rId10">
            <anchor moveWithCells="1">
              <from>
                <xdr:col>2</xdr:col>
                <xdr:colOff>47625</xdr:colOff>
                <xdr:row>212</xdr:row>
                <xdr:rowOff>0</xdr:rowOff>
              </from>
              <to>
                <xdr:col>3</xdr:col>
                <xdr:colOff>57150</xdr:colOff>
                <xdr:row>213</xdr:row>
                <xdr:rowOff>9525</xdr:rowOff>
              </to>
            </anchor>
          </controlPr>
        </control>
      </mc:Choice>
      <mc:Fallback>
        <control shapeId="28987" r:id="rId9" name="ComboBox2"/>
      </mc:Fallback>
    </mc:AlternateContent>
    <mc:AlternateContent xmlns:mc="http://schemas.openxmlformats.org/markup-compatibility/2006">
      <mc:Choice Requires="x14">
        <control shapeId="29315" r:id="rId11" name="cmdTrackChanges">
          <controlPr defaultSize="0" autoLine="0" r:id="rId12">
            <anchor moveWithCells="1">
              <from>
                <xdr:col>1</xdr:col>
                <xdr:colOff>1123950</xdr:colOff>
                <xdr:row>21</xdr:row>
                <xdr:rowOff>85725</xdr:rowOff>
              </from>
              <to>
                <xdr:col>3</xdr:col>
                <xdr:colOff>295275</xdr:colOff>
                <xdr:row>22</xdr:row>
                <xdr:rowOff>209550</xdr:rowOff>
              </to>
            </anchor>
          </controlPr>
        </control>
      </mc:Choice>
      <mc:Fallback>
        <control shapeId="29315" r:id="rId11" name="cmdTrackChanges"/>
      </mc:Fallback>
    </mc:AlternateContent>
    <mc:AlternateContent xmlns:mc="http://schemas.openxmlformats.org/markup-compatibility/2006">
      <mc:Choice Requires="x14">
        <control shapeId="29385" r:id="rId13" name="Label 713">
          <controlPr defaultSize="0" autoFill="0" autoLine="0" autoPict="0" macro="[0]!GoToAbout">
            <anchor moveWithCells="1" sizeWithCells="1">
              <from>
                <xdr:col>10</xdr:col>
                <xdr:colOff>438150</xdr:colOff>
                <xdr:row>0</xdr:row>
                <xdr:rowOff>800100</xdr:rowOff>
              </from>
              <to>
                <xdr:col>12</xdr:col>
                <xdr:colOff>85725</xdr:colOff>
                <xdr:row>1</xdr:row>
                <xdr:rowOff>0</xdr:rowOff>
              </to>
            </anchor>
          </controlPr>
        </control>
      </mc:Choice>
    </mc:AlternateContent>
    <mc:AlternateContent xmlns:mc="http://schemas.openxmlformats.org/markup-compatibility/2006">
      <mc:Choice Requires="x14">
        <control shapeId="29386" r:id="rId14" name="Label 714">
          <controlPr defaultSize="0" autoFill="0" autoLine="0" autoPict="0" macro="[0]!GoToDirectory">
            <anchor moveWithCells="1" sizeWithCells="1">
              <from>
                <xdr:col>12</xdr:col>
                <xdr:colOff>152400</xdr:colOff>
                <xdr:row>0</xdr:row>
                <xdr:rowOff>800100</xdr:rowOff>
              </from>
              <to>
                <xdr:col>13</xdr:col>
                <xdr:colOff>981075</xdr:colOff>
                <xdr:row>1</xdr:row>
                <xdr:rowOff>0</xdr:rowOff>
              </to>
            </anchor>
          </controlPr>
        </control>
      </mc:Choice>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F4">
    <pageSetUpPr fitToPage="1"/>
  </sheetPr>
  <dimension ref="A1:O293"/>
  <sheetViews>
    <sheetView showGridLines="0" zoomScale="80" workbookViewId="0">
      <selection activeCell="A2" sqref="A2"/>
    </sheetView>
  </sheetViews>
  <sheetFormatPr baseColWidth="10" defaultColWidth="8.85546875" defaultRowHeight="12.75" x14ac:dyDescent="0.2"/>
  <cols>
    <col min="1" max="1" width="22.5703125" style="360" customWidth="1"/>
    <col min="2" max="2" width="25.85546875" style="360" customWidth="1"/>
    <col min="3" max="3" width="9.7109375" style="360" customWidth="1"/>
    <col min="4" max="4" width="20.140625" style="360" customWidth="1"/>
    <col min="5" max="5" width="14.85546875" style="360" customWidth="1"/>
    <col min="6" max="6" width="8.5703125" style="360" customWidth="1"/>
    <col min="7" max="7" width="2.85546875" style="360" customWidth="1"/>
    <col min="8" max="8" width="19.5703125" style="360" customWidth="1"/>
    <col min="9" max="12" width="9.140625" style="360" customWidth="1"/>
    <col min="13" max="13" width="2.5703125" style="360" customWidth="1"/>
    <col min="14" max="14" width="16.7109375" style="360" customWidth="1"/>
    <col min="15" max="15" width="13.7109375" style="360" customWidth="1"/>
    <col min="16" max="16384" width="8.85546875" style="361"/>
  </cols>
  <sheetData>
    <row r="1" spans="1:15" ht="102" customHeight="1" x14ac:dyDescent="0.2"/>
    <row r="2" spans="1:15" ht="27.75" customHeight="1" x14ac:dyDescent="0.25">
      <c r="A2" s="362" t="s">
        <v>955</v>
      </c>
      <c r="B2" s="363"/>
      <c r="C2" s="364"/>
      <c r="D2" s="364"/>
      <c r="E2" s="364"/>
      <c r="F2" s="365"/>
      <c r="G2" s="365"/>
      <c r="H2" s="366"/>
      <c r="I2" s="367"/>
      <c r="J2" s="368"/>
      <c r="K2" s="369"/>
      <c r="L2" s="370"/>
      <c r="M2" s="367"/>
      <c r="N2" s="367"/>
      <c r="O2" s="371" t="str">
        <f>About!D2</f>
        <v>Version 4d for Testing</v>
      </c>
    </row>
    <row r="3" spans="1:15" ht="27.75" customHeight="1" x14ac:dyDescent="0.25">
      <c r="A3" s="372" t="s">
        <v>1050</v>
      </c>
      <c r="B3" s="373"/>
      <c r="C3" s="374"/>
      <c r="D3" s="374"/>
      <c r="E3" s="373"/>
      <c r="F3" s="373"/>
      <c r="G3" s="373"/>
      <c r="H3" s="375"/>
      <c r="I3" s="376"/>
      <c r="J3" s="377"/>
      <c r="K3" s="378"/>
      <c r="L3" s="377"/>
      <c r="M3" s="377"/>
      <c r="N3" s="379"/>
      <c r="O3" s="378"/>
    </row>
    <row r="4" spans="1:15" ht="16.5" customHeight="1" x14ac:dyDescent="0.25">
      <c r="A4" s="380" t="s">
        <v>861</v>
      </c>
      <c r="B4" s="381" t="s">
        <v>854</v>
      </c>
      <c r="C4" s="381" t="s">
        <v>1057</v>
      </c>
      <c r="D4" s="381" t="s">
        <v>852</v>
      </c>
      <c r="E4" s="382" t="s">
        <v>1047</v>
      </c>
      <c r="F4" s="383" t="s">
        <v>1125</v>
      </c>
      <c r="G4" s="384"/>
      <c r="H4" s="385" t="s">
        <v>869</v>
      </c>
      <c r="I4" s="386"/>
      <c r="J4" s="387" t="s">
        <v>1063</v>
      </c>
      <c r="K4" s="388"/>
      <c r="L4" s="389"/>
      <c r="M4" s="390"/>
      <c r="N4" s="387" t="s">
        <v>391</v>
      </c>
      <c r="O4" s="391"/>
    </row>
    <row r="5" spans="1:15" ht="16.5" customHeight="1" x14ac:dyDescent="0.25">
      <c r="A5" s="392" t="s">
        <v>862</v>
      </c>
      <c r="B5" s="393" t="s">
        <v>853</v>
      </c>
      <c r="C5" s="393" t="s">
        <v>1062</v>
      </c>
      <c r="D5" s="393" t="s">
        <v>853</v>
      </c>
      <c r="E5" s="394"/>
      <c r="F5" s="395" t="s">
        <v>1126</v>
      </c>
      <c r="G5" s="396"/>
      <c r="H5" s="397" t="s">
        <v>866</v>
      </c>
      <c r="I5" s="390"/>
      <c r="J5" s="398" t="str">
        <f>A69</f>
        <v>Extraction of oil</v>
      </c>
      <c r="K5" s="399"/>
      <c r="L5" s="400"/>
      <c r="M5" s="390"/>
      <c r="N5" s="398" t="s">
        <v>395</v>
      </c>
      <c r="O5" s="400"/>
    </row>
    <row r="6" spans="1:15" ht="16.5" customHeight="1" x14ac:dyDescent="0.35">
      <c r="A6" s="401" t="s">
        <v>170</v>
      </c>
      <c r="B6" s="402"/>
      <c r="C6" s="403"/>
      <c r="D6" s="404"/>
      <c r="E6" s="405">
        <f>IF(F6="A",D7+D8,H6)</f>
        <v>14.27503378635854</v>
      </c>
      <c r="F6" s="406" t="s">
        <v>1127</v>
      </c>
      <c r="G6" s="407"/>
      <c r="H6" s="408">
        <v>14</v>
      </c>
      <c r="I6" s="390"/>
      <c r="J6" s="409">
        <f>F107/F109</f>
        <v>0.95181515158386443</v>
      </c>
      <c r="K6" s="410" t="s">
        <v>213</v>
      </c>
      <c r="L6" s="411"/>
      <c r="M6" s="390"/>
      <c r="N6" s="412">
        <v>83.8</v>
      </c>
      <c r="O6" s="413" t="s">
        <v>394</v>
      </c>
    </row>
    <row r="7" spans="1:15" ht="12" customHeight="1" x14ac:dyDescent="0.2">
      <c r="A7" s="398" t="str">
        <f>A25</f>
        <v>Cultivation of FFBs</v>
      </c>
      <c r="B7" s="414">
        <f>L45</f>
        <v>15.678881121405249</v>
      </c>
      <c r="C7" s="415">
        <f>J6*J9</f>
        <v>0.91046253082880146</v>
      </c>
      <c r="D7" s="416">
        <f>C7*B7</f>
        <v>14.27503378635854</v>
      </c>
      <c r="E7" s="1215"/>
      <c r="F7" s="418"/>
      <c r="G7" s="418"/>
      <c r="H7" s="419">
        <v>14.26</v>
      </c>
      <c r="I7" s="390"/>
      <c r="J7" s="744">
        <f>1-J6</f>
        <v>4.8184848416135573E-2</v>
      </c>
      <c r="K7" s="733" t="s">
        <v>214</v>
      </c>
      <c r="L7" s="411"/>
      <c r="M7" s="390"/>
      <c r="N7" s="398" t="s">
        <v>393</v>
      </c>
      <c r="O7" s="400"/>
    </row>
    <row r="8" spans="1:15" ht="12" customHeight="1" x14ac:dyDescent="0.2">
      <c r="A8" s="398" t="str">
        <f>A58</f>
        <v>Storage of FFB</v>
      </c>
      <c r="B8" s="414">
        <f>L66</f>
        <v>0</v>
      </c>
      <c r="C8" s="415">
        <f>J6*J9</f>
        <v>0.91046253082880146</v>
      </c>
      <c r="D8" s="416">
        <f>C8*B8</f>
        <v>0</v>
      </c>
      <c r="E8" s="1215"/>
      <c r="F8" s="418"/>
      <c r="G8" s="418"/>
      <c r="H8" s="419">
        <v>0</v>
      </c>
      <c r="I8" s="390"/>
      <c r="J8" s="398" t="str">
        <f>A161</f>
        <v>Esterification</v>
      </c>
      <c r="K8" s="399"/>
      <c r="L8" s="400"/>
      <c r="M8" s="390"/>
      <c r="N8" s="426">
        <f>(N6-E22)/N6</f>
        <v>0.18047220664977737</v>
      </c>
      <c r="O8" s="427"/>
    </row>
    <row r="9" spans="1:15" ht="16.5" customHeight="1" x14ac:dyDescent="0.35">
      <c r="A9" s="401" t="s">
        <v>544</v>
      </c>
      <c r="B9" s="423"/>
      <c r="C9" s="423"/>
      <c r="D9" s="424"/>
      <c r="E9" s="425">
        <f>IF(F9="A",D10+D11+D12, H9)</f>
        <v>49.401180661573463</v>
      </c>
      <c r="F9" s="406" t="s">
        <v>1127</v>
      </c>
      <c r="G9" s="407"/>
      <c r="H9" s="408">
        <v>49</v>
      </c>
      <c r="I9" s="390"/>
      <c r="J9" s="409">
        <f>F190/F192</f>
        <v>0.95655393729943228</v>
      </c>
      <c r="K9" s="410" t="s">
        <v>662</v>
      </c>
      <c r="L9" s="411"/>
      <c r="M9" s="390"/>
      <c r="N9" s="390"/>
      <c r="O9" s="430"/>
    </row>
    <row r="10" spans="1:15" ht="12" customHeight="1" x14ac:dyDescent="0.2">
      <c r="A10" s="398" t="str">
        <f>A69</f>
        <v>Extraction of oil</v>
      </c>
      <c r="B10" s="414">
        <f>L101</f>
        <v>34.642786738351255</v>
      </c>
      <c r="C10" s="415">
        <f>J6*J9</f>
        <v>0.91046253082880146</v>
      </c>
      <c r="D10" s="416">
        <f>C10*B10</f>
        <v>31.540959288761723</v>
      </c>
      <c r="E10" s="1215"/>
      <c r="F10" s="418"/>
      <c r="G10" s="418"/>
      <c r="H10" s="419">
        <v>31.53</v>
      </c>
      <c r="I10" s="390"/>
      <c r="J10" s="420">
        <f>1-J9</f>
        <v>4.3446062700567722E-2</v>
      </c>
      <c r="K10" s="421" t="s">
        <v>317</v>
      </c>
      <c r="L10" s="422"/>
      <c r="M10" s="390"/>
      <c r="N10" s="390"/>
      <c r="O10" s="441"/>
    </row>
    <row r="11" spans="1:15" ht="12" customHeight="1" x14ac:dyDescent="0.2">
      <c r="A11" s="398" t="str">
        <f>A130</f>
        <v>Refining of vegetable oil</v>
      </c>
      <c r="B11" s="414">
        <f>L148</f>
        <v>1.0648296229465015</v>
      </c>
      <c r="C11" s="415">
        <f>J9</f>
        <v>0.95655393729943228</v>
      </c>
      <c r="D11" s="416">
        <f>C11*B11</f>
        <v>1.018566968382546</v>
      </c>
      <c r="E11" s="417"/>
      <c r="F11" s="418"/>
      <c r="G11" s="418"/>
      <c r="H11" s="1429">
        <v>17.88</v>
      </c>
      <c r="I11" s="390"/>
      <c r="J11" s="390"/>
      <c r="K11" s="390"/>
      <c r="L11" s="390"/>
      <c r="M11" s="390"/>
      <c r="N11" s="390"/>
      <c r="O11" s="1428"/>
    </row>
    <row r="12" spans="1:15" ht="12" customHeight="1" x14ac:dyDescent="0.2">
      <c r="A12" s="398" t="str">
        <f>A161</f>
        <v>Esterification</v>
      </c>
      <c r="B12" s="414">
        <f>L184</f>
        <v>17.606591481894878</v>
      </c>
      <c r="C12" s="415">
        <f>J9</f>
        <v>0.95655393729943228</v>
      </c>
      <c r="D12" s="416">
        <f>C12*B12</f>
        <v>16.841654404429192</v>
      </c>
      <c r="E12" s="417"/>
      <c r="F12" s="418"/>
      <c r="G12" s="418"/>
      <c r="H12" s="1431"/>
      <c r="I12" s="390"/>
      <c r="J12" s="390"/>
      <c r="K12" s="390"/>
      <c r="L12" s="390"/>
      <c r="M12" s="390"/>
      <c r="N12" s="390"/>
      <c r="O12" s="1428"/>
    </row>
    <row r="13" spans="1:15" ht="16.5" customHeight="1" x14ac:dyDescent="0.35">
      <c r="A13" s="401" t="s">
        <v>545</v>
      </c>
      <c r="B13" s="423"/>
      <c r="C13" s="423"/>
      <c r="D13" s="424"/>
      <c r="E13" s="425">
        <f>IF(F13="A",D14+D15+D16+D17+D18, H13)</f>
        <v>5.0002146348166443</v>
      </c>
      <c r="F13" s="406" t="s">
        <v>1127</v>
      </c>
      <c r="G13" s="407"/>
      <c r="H13" s="648">
        <v>5</v>
      </c>
      <c r="I13" s="390"/>
      <c r="J13" s="390"/>
      <c r="K13" s="390"/>
      <c r="L13" s="390"/>
      <c r="M13" s="390"/>
      <c r="N13" s="390"/>
      <c r="O13" s="430"/>
    </row>
    <row r="14" spans="1:15" ht="12" customHeight="1" thickBot="1" x14ac:dyDescent="0.25">
      <c r="A14" s="398" t="str">
        <f>A48</f>
        <v>Transport of FFB</v>
      </c>
      <c r="B14" s="414">
        <f>L55</f>
        <v>0.20937679144030769</v>
      </c>
      <c r="C14" s="415">
        <f>J6*J9</f>
        <v>0.91046253082880146</v>
      </c>
      <c r="D14" s="416">
        <f t="shared" ref="D14:D21" si="0">C14*B14</f>
        <v>0.19062972343155668</v>
      </c>
      <c r="E14" s="1215"/>
      <c r="F14" s="418"/>
      <c r="G14" s="418"/>
      <c r="H14" s="419">
        <v>0.19</v>
      </c>
      <c r="I14" s="390"/>
      <c r="J14" s="390"/>
      <c r="K14" s="390"/>
      <c r="L14" s="390"/>
      <c r="M14" s="390"/>
      <c r="N14" s="390"/>
      <c r="O14" s="430"/>
    </row>
    <row r="15" spans="1:15" ht="12" customHeight="1" x14ac:dyDescent="0.2">
      <c r="A15" s="398" t="str">
        <f>A113</f>
        <v>Transport of unrefined palm oil</v>
      </c>
      <c r="B15" s="414">
        <f>L127</f>
        <v>3.7068988775326406</v>
      </c>
      <c r="C15" s="415">
        <f>J9</f>
        <v>0.95655393729943228</v>
      </c>
      <c r="D15" s="416">
        <f t="shared" si="0"/>
        <v>3.5458487164746932</v>
      </c>
      <c r="E15" s="1215"/>
      <c r="F15" s="418"/>
      <c r="G15" s="418"/>
      <c r="H15" s="419">
        <v>3.55</v>
      </c>
      <c r="I15" s="390"/>
      <c r="J15" s="432" t="s">
        <v>140</v>
      </c>
      <c r="K15" s="433"/>
      <c r="L15" s="433"/>
      <c r="M15" s="433"/>
      <c r="N15" s="434"/>
      <c r="O15" s="441"/>
    </row>
    <row r="16" spans="1:15" ht="12" customHeight="1" x14ac:dyDescent="0.2">
      <c r="A16" s="398" t="str">
        <f>A151</f>
        <v>Transport of refined palm oil</v>
      </c>
      <c r="B16" s="414">
        <f>L158</f>
        <v>0</v>
      </c>
      <c r="C16" s="415">
        <f>J9</f>
        <v>0.95655393729943228</v>
      </c>
      <c r="D16" s="416">
        <f t="shared" si="0"/>
        <v>0</v>
      </c>
      <c r="E16" s="1215"/>
      <c r="F16" s="418"/>
      <c r="G16" s="418"/>
      <c r="H16" s="419">
        <v>0</v>
      </c>
      <c r="I16" s="390"/>
      <c r="J16" s="714"/>
      <c r="K16" s="439"/>
      <c r="L16" s="439"/>
      <c r="M16" s="439"/>
      <c r="N16" s="440"/>
      <c r="O16" s="441"/>
    </row>
    <row r="17" spans="1:15" ht="12" customHeight="1" x14ac:dyDescent="0.2">
      <c r="A17" s="398" t="str">
        <f>A196</f>
        <v>Transport of FAME to depot</v>
      </c>
      <c r="B17" s="414">
        <f>L205</f>
        <v>0.46573714634408597</v>
      </c>
      <c r="C17" s="415">
        <v>1</v>
      </c>
      <c r="D17" s="416">
        <f t="shared" si="0"/>
        <v>0.46573714634408597</v>
      </c>
      <c r="E17" s="436"/>
      <c r="F17" s="437"/>
      <c r="G17" s="437"/>
      <c r="H17" s="419">
        <v>0.83</v>
      </c>
      <c r="I17" s="379"/>
      <c r="J17" s="438"/>
      <c r="K17" s="439"/>
      <c r="L17" s="439"/>
      <c r="M17" s="439"/>
      <c r="N17" s="440"/>
      <c r="O17" s="441"/>
    </row>
    <row r="18" spans="1:15" ht="12" customHeight="1" x14ac:dyDescent="0.2">
      <c r="A18" s="398" t="str">
        <f>A208</f>
        <v>Transport to filling station</v>
      </c>
      <c r="B18" s="414">
        <f>L217</f>
        <v>0.7979990485663081</v>
      </c>
      <c r="C18" s="415">
        <v>1</v>
      </c>
      <c r="D18" s="416">
        <f t="shared" si="0"/>
        <v>0.7979990485663081</v>
      </c>
      <c r="E18" s="436"/>
      <c r="F18" s="437"/>
      <c r="G18" s="437"/>
      <c r="H18" s="419">
        <v>0.44</v>
      </c>
      <c r="I18" s="379"/>
      <c r="J18" s="438"/>
      <c r="K18" s="439"/>
      <c r="L18" s="439"/>
      <c r="M18" s="442"/>
      <c r="N18" s="443"/>
      <c r="O18" s="441"/>
    </row>
    <row r="19" spans="1:15" ht="17.25" customHeight="1" x14ac:dyDescent="0.35">
      <c r="A19" s="444" t="s">
        <v>551</v>
      </c>
      <c r="B19" s="445">
        <f>L229</f>
        <v>0</v>
      </c>
      <c r="C19" s="446">
        <f>J6*J9</f>
        <v>0.91046253082880146</v>
      </c>
      <c r="D19" s="445">
        <f t="shared" si="0"/>
        <v>0</v>
      </c>
      <c r="E19" s="425">
        <f>D19</f>
        <v>0</v>
      </c>
      <c r="F19" s="451"/>
      <c r="G19" s="451"/>
      <c r="H19" s="447">
        <v>0</v>
      </c>
      <c r="I19" s="379"/>
      <c r="J19" s="438"/>
      <c r="K19" s="439"/>
      <c r="L19" s="439"/>
      <c r="M19" s="448"/>
      <c r="N19" s="449"/>
      <c r="O19" s="649"/>
    </row>
    <row r="20" spans="1:15" ht="16.5" customHeight="1" x14ac:dyDescent="0.35">
      <c r="A20" s="444" t="s">
        <v>724</v>
      </c>
      <c r="B20" s="445">
        <f>L248-L232</f>
        <v>0</v>
      </c>
      <c r="C20" s="446">
        <v>1</v>
      </c>
      <c r="D20" s="445">
        <f t="shared" si="0"/>
        <v>0</v>
      </c>
      <c r="E20" s="425">
        <f>D20</f>
        <v>0</v>
      </c>
      <c r="F20" s="451"/>
      <c r="G20" s="451"/>
      <c r="H20" s="447">
        <v>0</v>
      </c>
      <c r="I20" s="390"/>
      <c r="J20" s="438"/>
      <c r="K20" s="439"/>
      <c r="L20" s="439"/>
      <c r="M20" s="448"/>
      <c r="N20" s="449"/>
      <c r="O20" s="649"/>
    </row>
    <row r="21" spans="1:15" ht="16.5" customHeight="1" thickBot="1" x14ac:dyDescent="0.4">
      <c r="A21" s="444" t="s">
        <v>725</v>
      </c>
      <c r="B21" s="445">
        <f>L254+L260</f>
        <v>0</v>
      </c>
      <c r="C21" s="446">
        <v>1</v>
      </c>
      <c r="D21" s="445">
        <f t="shared" si="0"/>
        <v>0</v>
      </c>
      <c r="E21" s="425">
        <f>D21</f>
        <v>0</v>
      </c>
      <c r="F21" s="451"/>
      <c r="G21" s="451"/>
      <c r="H21" s="447">
        <v>0</v>
      </c>
      <c r="I21" s="390"/>
      <c r="J21" s="459" t="s">
        <v>1</v>
      </c>
      <c r="K21" s="460"/>
      <c r="L21" s="460"/>
      <c r="M21" s="461"/>
      <c r="N21" s="462"/>
      <c r="O21" s="649"/>
    </row>
    <row r="22" spans="1:15" ht="16.5" customHeight="1" thickBot="1" x14ac:dyDescent="0.3">
      <c r="A22" s="452" t="s">
        <v>1049</v>
      </c>
      <c r="B22" s="453">
        <f>SUM(B7:B19)-SUM(B20:B21)</f>
        <v>74.173100828481225</v>
      </c>
      <c r="C22" s="454"/>
      <c r="D22" s="454"/>
      <c r="E22" s="456">
        <f>SUM(E6:E19)-SUM(E20:E21)</f>
        <v>68.676429082748655</v>
      </c>
      <c r="F22" s="457"/>
      <c r="G22" s="457"/>
      <c r="H22" s="458">
        <v>68</v>
      </c>
      <c r="I22" s="379"/>
      <c r="J22" s="650"/>
      <c r="K22" s="651"/>
      <c r="L22" s="651"/>
      <c r="M22" s="652"/>
      <c r="N22" s="652"/>
      <c r="O22" s="463"/>
    </row>
    <row r="23" spans="1:15" ht="16.5" customHeight="1" x14ac:dyDescent="0.25">
      <c r="A23" s="464"/>
      <c r="B23" s="465"/>
      <c r="E23" s="466" t="s">
        <v>859</v>
      </c>
      <c r="F23" s="467"/>
      <c r="G23" s="467"/>
      <c r="H23" s="468"/>
      <c r="I23" s="469"/>
      <c r="J23" s="470"/>
      <c r="K23" s="433"/>
      <c r="L23" s="471"/>
      <c r="M23" s="433"/>
      <c r="N23" s="433"/>
      <c r="O23" s="472"/>
    </row>
    <row r="24" spans="1:15" ht="22.5" customHeight="1" thickBot="1" x14ac:dyDescent="0.25">
      <c r="A24" s="473" t="s">
        <v>1051</v>
      </c>
      <c r="B24" s="379"/>
      <c r="E24" s="474" t="s">
        <v>860</v>
      </c>
      <c r="F24" s="442"/>
      <c r="G24" s="442"/>
      <c r="H24" s="442"/>
      <c r="I24" s="439"/>
      <c r="J24" s="475"/>
      <c r="K24" s="475"/>
      <c r="L24" s="476"/>
      <c r="M24" s="477"/>
      <c r="N24" s="477"/>
      <c r="O24" s="478"/>
    </row>
    <row r="25" spans="1:15" ht="15.75" x14ac:dyDescent="0.25">
      <c r="A25" s="479" t="s">
        <v>206</v>
      </c>
      <c r="B25" s="480"/>
      <c r="C25" s="480"/>
      <c r="D25" s="480"/>
      <c r="E25" s="479" t="s">
        <v>513</v>
      </c>
      <c r="F25" s="481"/>
      <c r="G25" s="481"/>
      <c r="H25" s="480"/>
      <c r="I25" s="482" t="s">
        <v>532</v>
      </c>
      <c r="J25" s="481"/>
      <c r="K25" s="481"/>
      <c r="L25" s="483"/>
      <c r="M25" s="715"/>
      <c r="N25" s="610" t="s">
        <v>162</v>
      </c>
      <c r="O25" s="653"/>
    </row>
    <row r="26" spans="1:15" ht="15.75" x14ac:dyDescent="0.25">
      <c r="A26" s="486"/>
      <c r="B26" s="487" t="s">
        <v>524</v>
      </c>
      <c r="C26" s="488"/>
      <c r="D26" s="488"/>
      <c r="E26" s="489" t="s">
        <v>524</v>
      </c>
      <c r="F26" s="490"/>
      <c r="G26" s="490"/>
      <c r="H26" s="491"/>
      <c r="I26" s="492" t="s">
        <v>746</v>
      </c>
      <c r="J26" s="490"/>
      <c r="K26" s="490"/>
      <c r="L26" s="493"/>
      <c r="M26" s="484"/>
      <c r="N26" s="538" t="s">
        <v>208</v>
      </c>
      <c r="O26" s="654" t="s">
        <v>139</v>
      </c>
    </row>
    <row r="27" spans="1:15" ht="16.5" x14ac:dyDescent="0.3">
      <c r="A27" s="494"/>
      <c r="B27" s="495" t="s">
        <v>1042</v>
      </c>
      <c r="C27" s="655">
        <v>19000</v>
      </c>
      <c r="D27" s="497" t="s">
        <v>527</v>
      </c>
      <c r="E27" s="656">
        <f>C27*(1-C28)*VLOOKUP($B27,'Standard values'!$C$9:$S$162,14, FALSE)</f>
        <v>300959.99999999994</v>
      </c>
      <c r="F27" s="499" t="s">
        <v>199</v>
      </c>
      <c r="G27" s="499"/>
      <c r="H27" s="499"/>
      <c r="I27" s="500" t="s">
        <v>1053</v>
      </c>
      <c r="J27" s="500" t="s">
        <v>1054</v>
      </c>
      <c r="K27" s="500" t="s">
        <v>1055</v>
      </c>
      <c r="L27" s="501" t="s">
        <v>1056</v>
      </c>
      <c r="M27" s="379"/>
      <c r="N27" s="540" t="s">
        <v>1056</v>
      </c>
      <c r="O27" s="657" t="s">
        <v>550</v>
      </c>
    </row>
    <row r="28" spans="1:15" ht="15.75" x14ac:dyDescent="0.3">
      <c r="A28" s="503"/>
      <c r="B28" s="495" t="s">
        <v>521</v>
      </c>
      <c r="C28" s="658">
        <v>0.34</v>
      </c>
      <c r="D28" s="497"/>
      <c r="E28" s="505">
        <v>1</v>
      </c>
      <c r="F28" s="506" t="s">
        <v>200</v>
      </c>
      <c r="G28" s="506"/>
      <c r="H28" s="495"/>
      <c r="I28" s="507"/>
      <c r="J28" s="508"/>
      <c r="K28" s="508"/>
      <c r="L28" s="509"/>
      <c r="M28" s="379"/>
      <c r="N28" s="541"/>
      <c r="O28" s="616"/>
    </row>
    <row r="29" spans="1:15" ht="15.75" x14ac:dyDescent="0.3">
      <c r="A29" s="503"/>
      <c r="B29" s="495"/>
      <c r="C29" s="660"/>
      <c r="D29" s="497"/>
      <c r="E29" s="510">
        <f>+C27/E265</f>
        <v>0.12742790544720814</v>
      </c>
      <c r="F29" s="506" t="s">
        <v>201</v>
      </c>
      <c r="G29" s="506"/>
      <c r="H29" s="495"/>
      <c r="I29" s="546"/>
      <c r="J29" s="546"/>
      <c r="K29" s="546"/>
      <c r="L29" s="661"/>
      <c r="M29" s="379"/>
      <c r="N29" s="541"/>
      <c r="O29" s="616"/>
    </row>
    <row r="30" spans="1:15" x14ac:dyDescent="0.2">
      <c r="A30" s="503"/>
      <c r="B30" s="511" t="s">
        <v>525</v>
      </c>
      <c r="C30" s="660"/>
      <c r="D30" s="497"/>
      <c r="E30" s="503"/>
      <c r="F30" s="495"/>
      <c r="G30" s="495"/>
      <c r="H30" s="495"/>
      <c r="I30" s="546"/>
      <c r="J30" s="546"/>
      <c r="K30" s="546"/>
      <c r="L30" s="661"/>
      <c r="M30" s="379"/>
      <c r="N30" s="541"/>
      <c r="O30" s="616"/>
    </row>
    <row r="31" spans="1:15" ht="14.25" x14ac:dyDescent="0.2">
      <c r="A31" s="503"/>
      <c r="B31" s="495" t="s">
        <v>509</v>
      </c>
      <c r="C31" s="662">
        <v>2064.5855999999999</v>
      </c>
      <c r="D31" s="497" t="s">
        <v>528</v>
      </c>
      <c r="E31" s="513"/>
      <c r="F31" s="495"/>
      <c r="G31" s="495"/>
      <c r="H31" s="495"/>
      <c r="I31" s="508">
        <f>$C31*VLOOKUP($B31,'Standard values'!$C$9:$S$162,7, FALSE)/$E$265</f>
        <v>1.2135025698248463</v>
      </c>
      <c r="J31" s="508">
        <f>$C31*VLOOKUP($B31,'Standard values'!$C$9:$S$162,8, FALSE)/$E$265</f>
        <v>0</v>
      </c>
      <c r="K31" s="508">
        <f>$C31*VLOOKUP($B31,'Standard values'!$C$9:$S$162,9, FALSE)/$E$265</f>
        <v>0</v>
      </c>
      <c r="L31" s="509">
        <f>I31*'Standard values'!$D$10+J31*'Standard values'!$D$11+K31*'Standard values'!$D$12</f>
        <v>1.2135025698248463</v>
      </c>
      <c r="M31" s="379"/>
      <c r="N31" s="562">
        <f>+L31/$E$29</f>
        <v>9.5230519999999999</v>
      </c>
      <c r="O31" s="663">
        <f>L31*$E$265/1000</f>
        <v>180.93798799999999</v>
      </c>
    </row>
    <row r="32" spans="1:15" x14ac:dyDescent="0.2">
      <c r="A32" s="503"/>
      <c r="B32" s="495"/>
      <c r="C32" s="660"/>
      <c r="D32" s="497"/>
      <c r="E32" s="513"/>
      <c r="F32" s="495"/>
      <c r="G32" s="495"/>
      <c r="H32" s="495"/>
      <c r="I32" s="508"/>
      <c r="J32" s="508"/>
      <c r="K32" s="508"/>
      <c r="L32" s="509"/>
      <c r="M32" s="379"/>
      <c r="N32" s="562"/>
      <c r="O32" s="663"/>
    </row>
    <row r="33" spans="1:15" x14ac:dyDescent="0.2">
      <c r="A33" s="503"/>
      <c r="B33" s="511" t="s">
        <v>1045</v>
      </c>
      <c r="C33" s="660"/>
      <c r="D33" s="497"/>
      <c r="E33" s="513"/>
      <c r="F33" s="495"/>
      <c r="G33" s="495"/>
      <c r="H33" s="495"/>
      <c r="I33" s="508"/>
      <c r="J33" s="508"/>
      <c r="K33" s="508"/>
      <c r="L33" s="509"/>
      <c r="M33" s="379"/>
      <c r="N33" s="562"/>
      <c r="O33" s="663"/>
    </row>
    <row r="34" spans="1:15" ht="14.25" x14ac:dyDescent="0.2">
      <c r="A34" s="503"/>
      <c r="B34" s="495" t="s">
        <v>231</v>
      </c>
      <c r="C34" s="664">
        <v>127.90799999999999</v>
      </c>
      <c r="D34" s="497" t="s">
        <v>529</v>
      </c>
      <c r="E34" s="513"/>
      <c r="F34" s="495"/>
      <c r="G34" s="495"/>
      <c r="H34" s="495"/>
      <c r="I34" s="508">
        <f>$C34*VLOOKUP($B34,'Standard values'!$C$9:$S$162,3, FALSE)/$E$265</f>
        <v>2.4251310557622321</v>
      </c>
      <c r="J34" s="508">
        <f>$C34*VLOOKUP($B34,'Standard values'!$C$9:$S$162,4, FALSE)/$E$265</f>
        <v>7.4450622306134889E-3</v>
      </c>
      <c r="K34" s="508">
        <f>$C34*VLOOKUP($B34,'Standard values'!$C$9:$S$162,5, FALSE)/$E$265</f>
        <v>8.2711666376836801E-3</v>
      </c>
      <c r="L34" s="509">
        <f>I34*'Standard values'!$D$10+J34*'Standard values'!$D$11+K34*'Standard values'!$D$12</f>
        <v>5.0760652695573061</v>
      </c>
      <c r="M34" s="379"/>
      <c r="N34" s="562">
        <f t="shared" ref="N34:N40" si="1">+L34/$E$29</f>
        <v>39.834801111599994</v>
      </c>
      <c r="O34" s="663">
        <f t="shared" ref="O34:O40" si="2">L34*$E$265/1000</f>
        <v>756.86122112039993</v>
      </c>
    </row>
    <row r="35" spans="1:15" ht="14.25" x14ac:dyDescent="0.2">
      <c r="A35" s="503"/>
      <c r="B35" s="495" t="s">
        <v>504</v>
      </c>
      <c r="C35" s="556">
        <v>0</v>
      </c>
      <c r="D35" s="497" t="s">
        <v>529</v>
      </c>
      <c r="E35" s="513"/>
      <c r="F35" s="495"/>
      <c r="G35" s="495"/>
      <c r="H35" s="495"/>
      <c r="I35" s="508">
        <f>$C35*VLOOKUP($B35,'Standard values'!$C$9:$S$162,3, FALSE)/$E$265</f>
        <v>0</v>
      </c>
      <c r="J35" s="508">
        <f>$C35*VLOOKUP($B35,'Standard values'!$C$9:$S$162,4, FALSE)/$E$265</f>
        <v>0</v>
      </c>
      <c r="K35" s="508">
        <f>$C35*VLOOKUP($B35,'Standard values'!$C$9:$S$162,5, FALSE)/$E$265</f>
        <v>0</v>
      </c>
      <c r="L35" s="509">
        <f>I35*'Standard values'!$D$10+J35*'Standard values'!$D$11+K35*'Standard values'!$D$12</f>
        <v>0</v>
      </c>
      <c r="M35" s="379"/>
      <c r="N35" s="562">
        <f>+L35/$E$29</f>
        <v>0</v>
      </c>
      <c r="O35" s="663">
        <f t="shared" si="2"/>
        <v>0</v>
      </c>
    </row>
    <row r="36" spans="1:15" ht="14.25" x14ac:dyDescent="0.2">
      <c r="A36" s="503"/>
      <c r="B36" s="495" t="s">
        <v>234</v>
      </c>
      <c r="C36" s="664">
        <v>0</v>
      </c>
      <c r="D36" s="497" t="s">
        <v>745</v>
      </c>
      <c r="E36" s="513"/>
      <c r="F36" s="495"/>
      <c r="G36" s="495"/>
      <c r="H36" s="495"/>
      <c r="I36" s="508">
        <f>$C36*VLOOKUP($B36,'Standard values'!$C$9:$S$162,3, FALSE)/$E$265</f>
        <v>0</v>
      </c>
      <c r="J36" s="508">
        <f>$C36*VLOOKUP($B36,'Standard values'!$C$9:$S$162,4, FALSE)/$E$265</f>
        <v>0</v>
      </c>
      <c r="K36" s="508">
        <f>$C36*VLOOKUP($B36,'Standard values'!$C$9:$S$162,5, FALSE)/$E$265</f>
        <v>0</v>
      </c>
      <c r="L36" s="509">
        <f>I36*'Standard values'!$D$10+J36*'Standard values'!$D$11+K36*'Standard values'!$D$12</f>
        <v>0</v>
      </c>
      <c r="M36" s="379"/>
      <c r="N36" s="562">
        <f t="shared" si="1"/>
        <v>0</v>
      </c>
      <c r="O36" s="663">
        <f t="shared" si="2"/>
        <v>0</v>
      </c>
    </row>
    <row r="37" spans="1:15" ht="15.75" x14ac:dyDescent="0.3">
      <c r="A37" s="503"/>
      <c r="B37" s="495" t="s">
        <v>233</v>
      </c>
      <c r="C37" s="664">
        <v>199.804</v>
      </c>
      <c r="D37" s="497" t="s">
        <v>530</v>
      </c>
      <c r="E37" s="513"/>
      <c r="F37" s="495"/>
      <c r="G37" s="495"/>
      <c r="H37" s="495"/>
      <c r="I37" s="508">
        <f>$C37*VLOOKUP($B37,'Standard values'!$C$9:$S$162,3, FALSE)/$E$265</f>
        <v>0.71867368947731258</v>
      </c>
      <c r="J37" s="508">
        <f>$C37*VLOOKUP($B37,'Standard values'!$C$9:$S$162,4, FALSE)/$E$265</f>
        <v>2.1050560389503747E-3</v>
      </c>
      <c r="K37" s="508">
        <f>$C37*VLOOKUP($B37,'Standard values'!$C$9:$S$162,5, FALSE)/$E$265</f>
        <v>1.6482391800298943E-5</v>
      </c>
      <c r="L37" s="509">
        <f>I37*'Standard values'!$D$10+J37*'Standard values'!$D$11+K37*'Standard values'!$D$12</f>
        <v>0.77621184320756109</v>
      </c>
      <c r="M37" s="379"/>
      <c r="N37" s="562">
        <f t="shared" si="1"/>
        <v>6.0913803807999995</v>
      </c>
      <c r="O37" s="663">
        <f t="shared" si="2"/>
        <v>115.73622723519999</v>
      </c>
    </row>
    <row r="38" spans="1:15" ht="15.75" x14ac:dyDescent="0.3">
      <c r="A38" s="503"/>
      <c r="B38" s="495" t="s">
        <v>232</v>
      </c>
      <c r="C38" s="664">
        <v>143.792</v>
      </c>
      <c r="D38" s="497" t="s">
        <v>531</v>
      </c>
      <c r="E38" s="513"/>
      <c r="F38" s="495"/>
      <c r="G38" s="495"/>
      <c r="H38" s="495"/>
      <c r="I38" s="508">
        <f>$C38*VLOOKUP($B38,'Standard values'!$C$9:$S$162,3, FALSE)/$E$265</f>
        <v>0.93051182833652868</v>
      </c>
      <c r="J38" s="508">
        <f>$C38*VLOOKUP($B38,'Standard values'!$C$9:$S$162,4, FALSE)/$E$265</f>
        <v>1.2835823109929711E-3</v>
      </c>
      <c r="K38" s="508">
        <f>$C38*VLOOKUP($B38,'Standard values'!$C$9:$S$162,5, FALSE)/$E$265</f>
        <v>4.966528100386027E-5</v>
      </c>
      <c r="L38" s="509">
        <f>I38*'Standard values'!$D$10+J38*'Standard values'!$D$11+K38*'Standard values'!$D$12</f>
        <v>0.97740163985050332</v>
      </c>
      <c r="M38" s="379"/>
      <c r="N38" s="562">
        <f t="shared" si="1"/>
        <v>7.6702323280000009</v>
      </c>
      <c r="O38" s="663">
        <f t="shared" si="2"/>
        <v>145.73441423200001</v>
      </c>
    </row>
    <row r="39" spans="1:15" ht="14.25" x14ac:dyDescent="0.2">
      <c r="A39" s="503"/>
      <c r="B39" s="495" t="s">
        <v>1081</v>
      </c>
      <c r="C39" s="664">
        <v>585.91452991452979</v>
      </c>
      <c r="D39" s="497" t="s">
        <v>103</v>
      </c>
      <c r="E39" s="513"/>
      <c r="F39" s="495"/>
      <c r="G39" s="495"/>
      <c r="H39" s="495"/>
      <c r="I39" s="508">
        <f>$C39*VLOOKUP($B39,'Standard values'!$C$9:$S$162,3, FALSE)/$E$265</f>
        <v>0</v>
      </c>
      <c r="J39" s="508">
        <f>$C39*VLOOKUP($B39,'Standard values'!$C$9:$S$162,4, FALSE)/$E$265</f>
        <v>0</v>
      </c>
      <c r="K39" s="508">
        <f>$C39*VLOOKUP($B39,'Standard values'!$C$9:$S$162,5, FALSE)/$E$265</f>
        <v>0</v>
      </c>
      <c r="L39" s="509">
        <f>I39*'Standard values'!$D$10+J39*'Standard values'!$D$11+K39*'Standard values'!$D$12</f>
        <v>0</v>
      </c>
      <c r="M39" s="379"/>
      <c r="N39" s="562">
        <f t="shared" si="1"/>
        <v>0</v>
      </c>
      <c r="O39" s="663">
        <f t="shared" si="2"/>
        <v>0</v>
      </c>
    </row>
    <row r="40" spans="1:15" ht="14.25" x14ac:dyDescent="0.2">
      <c r="A40" s="503"/>
      <c r="B40" s="495" t="s">
        <v>502</v>
      </c>
      <c r="C40" s="664">
        <v>8.36</v>
      </c>
      <c r="D40" s="497" t="s">
        <v>527</v>
      </c>
      <c r="E40" s="513"/>
      <c r="F40" s="665"/>
      <c r="G40" s="665"/>
      <c r="H40" s="665"/>
      <c r="I40" s="508">
        <f>$C40*VLOOKUP($B40,'Standard values'!$C$9:$S$162,3, FALSE)/$E$265</f>
        <v>0.55431914650623904</v>
      </c>
      <c r="J40" s="508">
        <f>$C40*VLOOKUP($B40,'Standard values'!$C$9:$S$162,4, FALSE)/$E$265</f>
        <v>1.4312605494622278E-3</v>
      </c>
      <c r="K40" s="508">
        <f>$C40*VLOOKUP($B40,'Standard values'!$C$9:$S$162,5, FALSE)/$E$265</f>
        <v>9.4273203296331738E-5</v>
      </c>
      <c r="L40" s="509">
        <f>I40*'Standard values'!$D$10+J40*'Standard values'!$D$11+K40*'Standard values'!$D$12</f>
        <v>0.61819407482510158</v>
      </c>
      <c r="M40" s="379"/>
      <c r="N40" s="562">
        <f t="shared" si="1"/>
        <v>4.8513241479999998</v>
      </c>
      <c r="O40" s="663">
        <f t="shared" si="2"/>
        <v>92.175158811999992</v>
      </c>
    </row>
    <row r="41" spans="1:15" x14ac:dyDescent="0.2">
      <c r="A41" s="503"/>
      <c r="B41" s="495"/>
      <c r="C41" s="666"/>
      <c r="D41" s="497"/>
      <c r="E41" s="513"/>
      <c r="F41" s="665"/>
      <c r="G41" s="665"/>
      <c r="H41" s="665"/>
      <c r="I41" s="508"/>
      <c r="J41" s="508"/>
      <c r="K41" s="508"/>
      <c r="L41" s="509"/>
      <c r="M41" s="379"/>
      <c r="N41" s="562"/>
      <c r="O41" s="663"/>
    </row>
    <row r="42" spans="1:15" ht="15" x14ac:dyDescent="0.25">
      <c r="A42" s="503"/>
      <c r="B42" s="511" t="s">
        <v>1046</v>
      </c>
      <c r="C42" s="669">
        <v>3.5112000000000001</v>
      </c>
      <c r="D42" s="497" t="s">
        <v>527</v>
      </c>
      <c r="E42" s="513"/>
      <c r="F42" s="495"/>
      <c r="G42" s="495"/>
      <c r="H42" s="495"/>
      <c r="I42" s="508">
        <v>0</v>
      </c>
      <c r="J42" s="508">
        <v>0</v>
      </c>
      <c r="K42" s="508">
        <f>1000*$C42/$E$265</f>
        <v>2.3548676926644068E-2</v>
      </c>
      <c r="L42" s="509">
        <f>I42*'Standard values'!$D$10+J42*'Standard values'!$D$11+K42*'Standard values'!$D$12</f>
        <v>7.0175057241399319</v>
      </c>
      <c r="M42" s="379"/>
      <c r="N42" s="562">
        <f>+L42/$E$29</f>
        <v>55.070400000000006</v>
      </c>
      <c r="O42" s="750">
        <f>L42*$E$265/1000</f>
        <v>1046.3376000000001</v>
      </c>
    </row>
    <row r="43" spans="1:15" ht="15.75" x14ac:dyDescent="0.3">
      <c r="A43" s="503"/>
      <c r="B43" s="511"/>
      <c r="C43" s="670" t="s">
        <v>664</v>
      </c>
      <c r="D43" s="495"/>
      <c r="E43" s="513"/>
      <c r="F43" s="514"/>
      <c r="G43" s="514"/>
      <c r="H43" s="514" t="s">
        <v>1047</v>
      </c>
      <c r="I43" s="515">
        <f>SUM(I28:I42)</f>
        <v>5.8421382899071581</v>
      </c>
      <c r="J43" s="515">
        <f>SUM(J28:J42)</f>
        <v>1.2264961130019063E-2</v>
      </c>
      <c r="K43" s="515">
        <f>SUM(K28:K42)</f>
        <v>3.1980264440428237E-2</v>
      </c>
      <c r="L43" s="516">
        <f>I43*'Standard values'!$D$10+J43*'Standard values'!$D$11+K43*'Standard values'!$D$12</f>
        <v>15.678881121405249</v>
      </c>
      <c r="M43" s="379"/>
      <c r="N43" s="1201">
        <f>+L43/E$29</f>
        <v>123.04118996839999</v>
      </c>
      <c r="O43" s="1202">
        <f>L43*$E$265/1000</f>
        <v>2337.7826093995996</v>
      </c>
    </row>
    <row r="44" spans="1:15" x14ac:dyDescent="0.2">
      <c r="A44" s="503"/>
      <c r="B44" s="511"/>
      <c r="C44" s="671" t="s">
        <v>665</v>
      </c>
      <c r="D44" s="495"/>
      <c r="E44" s="513"/>
      <c r="F44" s="514"/>
      <c r="G44" s="514"/>
      <c r="H44" s="514"/>
      <c r="I44" s="416"/>
      <c r="J44" s="416"/>
      <c r="K44" s="416"/>
      <c r="L44" s="436"/>
      <c r="M44" s="379"/>
      <c r="N44" s="1203"/>
      <c r="O44" s="1204"/>
    </row>
    <row r="45" spans="1:15" ht="14.25" x14ac:dyDescent="0.25">
      <c r="A45" s="519"/>
      <c r="B45" s="520"/>
      <c r="C45" s="520"/>
      <c r="D45" s="520"/>
      <c r="E45" s="519"/>
      <c r="F45" s="521"/>
      <c r="G45" s="521"/>
      <c r="H45" s="521" t="s">
        <v>534</v>
      </c>
      <c r="I45" s="522"/>
      <c r="J45" s="523" t="s">
        <v>747</v>
      </c>
      <c r="K45" s="524"/>
      <c r="L45" s="525">
        <f>N43*E$29</f>
        <v>15.678881121405249</v>
      </c>
      <c r="M45" s="379"/>
      <c r="N45" s="390"/>
      <c r="O45" s="390"/>
    </row>
    <row r="46" spans="1:15" x14ac:dyDescent="0.2">
      <c r="A46" s="379"/>
      <c r="B46" s="379"/>
      <c r="C46" s="379"/>
      <c r="D46" s="379"/>
      <c r="E46" s="379"/>
      <c r="F46" s="526"/>
      <c r="G46" s="526"/>
      <c r="H46" s="526"/>
      <c r="I46" s="527"/>
      <c r="J46" s="528"/>
      <c r="K46" s="484"/>
      <c r="L46" s="430"/>
      <c r="M46" s="379"/>
      <c r="N46" s="390"/>
      <c r="O46" s="390"/>
    </row>
    <row r="47" spans="1:15" x14ac:dyDescent="0.2">
      <c r="A47" s="390"/>
      <c r="B47" s="390"/>
      <c r="C47" s="390"/>
      <c r="D47" s="390"/>
      <c r="E47" s="390"/>
      <c r="F47" s="390"/>
      <c r="G47" s="390"/>
      <c r="H47" s="390"/>
      <c r="I47" s="529"/>
      <c r="J47" s="529"/>
      <c r="K47" s="529"/>
      <c r="L47" s="529"/>
      <c r="M47" s="379"/>
      <c r="N47" s="390"/>
      <c r="O47" s="390"/>
    </row>
    <row r="48" spans="1:15" ht="15.75" x14ac:dyDescent="0.25">
      <c r="A48" s="530" t="s">
        <v>202</v>
      </c>
      <c r="B48" s="531"/>
      <c r="C48" s="531"/>
      <c r="D48" s="531"/>
      <c r="E48" s="530" t="s">
        <v>513</v>
      </c>
      <c r="F48" s="532"/>
      <c r="G48" s="532"/>
      <c r="H48" s="531"/>
      <c r="I48" s="532" t="s">
        <v>532</v>
      </c>
      <c r="J48" s="533"/>
      <c r="K48" s="533"/>
      <c r="L48" s="534"/>
      <c r="M48" s="379"/>
      <c r="N48" s="535" t="s">
        <v>162</v>
      </c>
      <c r="O48" s="390"/>
    </row>
    <row r="49" spans="1:15" ht="15.75" x14ac:dyDescent="0.3">
      <c r="A49" s="503"/>
      <c r="B49" s="511" t="s">
        <v>1042</v>
      </c>
      <c r="C49" s="593">
        <v>1</v>
      </c>
      <c r="D49" s="495" t="s">
        <v>205</v>
      </c>
      <c r="E49" s="553">
        <f>E27*C49</f>
        <v>300959.99999999994</v>
      </c>
      <c r="F49" s="499" t="s">
        <v>199</v>
      </c>
      <c r="G49" s="499"/>
      <c r="H49" s="495"/>
      <c r="I49" s="492" t="s">
        <v>746</v>
      </c>
      <c r="J49" s="514"/>
      <c r="K49" s="514"/>
      <c r="L49" s="537"/>
      <c r="M49" s="379"/>
      <c r="N49" s="554" t="s">
        <v>208</v>
      </c>
      <c r="O49" s="390"/>
    </row>
    <row r="50" spans="1:15" ht="15.75" x14ac:dyDescent="0.3">
      <c r="A50" s="503"/>
      <c r="B50" s="495"/>
      <c r="C50" s="495"/>
      <c r="D50" s="495"/>
      <c r="E50" s="505">
        <f>E28*C49</f>
        <v>1</v>
      </c>
      <c r="F50" s="506" t="s">
        <v>200</v>
      </c>
      <c r="G50" s="506"/>
      <c r="H50" s="495"/>
      <c r="I50" s="539" t="s">
        <v>1053</v>
      </c>
      <c r="J50" s="539" t="s">
        <v>1054</v>
      </c>
      <c r="K50" s="539" t="s">
        <v>1055</v>
      </c>
      <c r="L50" s="540" t="s">
        <v>1056</v>
      </c>
      <c r="M50" s="379"/>
      <c r="N50" s="540" t="s">
        <v>1056</v>
      </c>
      <c r="O50" s="390"/>
    </row>
    <row r="51" spans="1:15" x14ac:dyDescent="0.2">
      <c r="A51" s="503"/>
      <c r="B51" s="511" t="s">
        <v>498</v>
      </c>
      <c r="C51" s="495"/>
      <c r="D51" s="495"/>
      <c r="E51" s="505"/>
      <c r="F51" s="506"/>
      <c r="G51" s="506"/>
      <c r="H51" s="495"/>
      <c r="I51" s="539"/>
      <c r="J51" s="539"/>
      <c r="K51" s="539"/>
      <c r="L51" s="540"/>
      <c r="M51" s="379"/>
      <c r="N51" s="541"/>
      <c r="O51" s="390"/>
    </row>
    <row r="52" spans="1:15" ht="15.75" x14ac:dyDescent="0.3">
      <c r="A52" s="503"/>
      <c r="B52" s="495" t="s">
        <v>1111</v>
      </c>
      <c r="C52" s="595">
        <v>20</v>
      </c>
      <c r="D52" s="495" t="s">
        <v>510</v>
      </c>
      <c r="E52" s="543">
        <f>(C52*E50)/(VLOOKUP($B49,'Standard values'!$C$9:$S$162,14, FALSE))/(1-$C$28)/1000</f>
        <v>1.2626262626262627E-3</v>
      </c>
      <c r="F52" s="495" t="s">
        <v>245</v>
      </c>
      <c r="G52" s="495"/>
      <c r="H52" s="495"/>
      <c r="I52" s="544">
        <f>$E52*VLOOKUP($B52,'Standard values'!$C$9:$S$162,15, FALSE)*VLOOKUP(C53,'Standard values'!$C$9:$S$162,7, FALSE)/$E$266</f>
        <v>0.20905822167668967</v>
      </c>
      <c r="J52" s="544">
        <f>$E52*((VLOOKUP($B52,'Standard values'!$C$9:$S$162,15, FALSE)*VLOOKUP(C53,'Standard values'!$C$9:$S$162,8, FALSE))+VLOOKUP($B52,'Standard values'!$C$9:$S$162,16, FALSE))/$E$266</f>
        <v>1.2742790544720814E-5</v>
      </c>
      <c r="K52" s="544">
        <f>$E52*((VLOOKUP($B52,'Standard values'!$C$9:$S$162,15, FALSE)*VLOOKUP(C53,'Standard values'!$C$9:$S$162,9, FALSE))+VLOOKUP($B52,'Standard values'!$C$9:$S$162,17, FALSE))/$E$266</f>
        <v>0</v>
      </c>
      <c r="L52" s="516">
        <f>I52*'Standard values'!$D$10+J52*'Standard values'!$D$11+K52*'Standard values'!$D$12</f>
        <v>0.20937679144030769</v>
      </c>
      <c r="M52" s="379"/>
      <c r="N52" s="1201">
        <f>+L52/E$29</f>
        <v>1.6431</v>
      </c>
      <c r="O52" s="390"/>
    </row>
    <row r="53" spans="1:15" x14ac:dyDescent="0.2">
      <c r="A53" s="503"/>
      <c r="B53" s="546" t="s">
        <v>54</v>
      </c>
      <c r="C53" s="673" t="s">
        <v>509</v>
      </c>
      <c r="D53" s="495"/>
      <c r="E53" s="543"/>
      <c r="F53" s="495"/>
      <c r="G53" s="495"/>
      <c r="H53" s="495"/>
      <c r="I53" s="544"/>
      <c r="J53" s="544"/>
      <c r="K53" s="544"/>
      <c r="L53" s="516"/>
      <c r="M53" s="379"/>
      <c r="N53" s="1203"/>
      <c r="O53" s="390"/>
    </row>
    <row r="54" spans="1:15" x14ac:dyDescent="0.2">
      <c r="A54" s="503"/>
      <c r="B54" s="495"/>
      <c r="C54" s="495"/>
      <c r="D54" s="495"/>
      <c r="E54" s="503"/>
      <c r="F54" s="495"/>
      <c r="G54" s="495"/>
      <c r="H54" s="548"/>
      <c r="I54" s="544"/>
      <c r="J54" s="544"/>
      <c r="K54" s="544"/>
      <c r="L54" s="516"/>
      <c r="M54" s="379"/>
      <c r="N54" s="390"/>
      <c r="O54" s="390"/>
    </row>
    <row r="55" spans="1:15" ht="14.25" x14ac:dyDescent="0.25">
      <c r="A55" s="519"/>
      <c r="B55" s="520"/>
      <c r="C55" s="520"/>
      <c r="D55" s="520"/>
      <c r="E55" s="519"/>
      <c r="F55" s="521"/>
      <c r="G55" s="521"/>
      <c r="H55" s="521" t="s">
        <v>534</v>
      </c>
      <c r="I55" s="520"/>
      <c r="J55" s="523" t="s">
        <v>747</v>
      </c>
      <c r="K55" s="549"/>
      <c r="L55" s="525">
        <f>N52*E$29</f>
        <v>0.20937679144030769</v>
      </c>
      <c r="M55" s="379"/>
      <c r="N55" s="390"/>
      <c r="O55" s="390"/>
    </row>
    <row r="56" spans="1:15" x14ac:dyDescent="0.2">
      <c r="A56" s="390"/>
      <c r="B56" s="390"/>
      <c r="C56" s="390"/>
      <c r="D56" s="390"/>
      <c r="E56" s="390"/>
      <c r="F56" s="376"/>
      <c r="G56" s="376"/>
      <c r="H56" s="376"/>
      <c r="I56" s="390"/>
      <c r="J56" s="550"/>
      <c r="K56" s="551"/>
      <c r="L56" s="552"/>
      <c r="M56" s="379"/>
      <c r="N56" s="379"/>
      <c r="O56" s="379"/>
    </row>
    <row r="57" spans="1:15" x14ac:dyDescent="0.2">
      <c r="A57" s="390"/>
      <c r="B57" s="390"/>
      <c r="C57" s="390"/>
      <c r="D57" s="390"/>
      <c r="E57" s="390"/>
      <c r="F57" s="376"/>
      <c r="G57" s="376"/>
      <c r="H57" s="376"/>
      <c r="I57" s="390"/>
      <c r="J57" s="550"/>
      <c r="K57" s="551"/>
      <c r="L57" s="552"/>
      <c r="M57" s="379"/>
      <c r="N57" s="379"/>
      <c r="O57" s="379"/>
    </row>
    <row r="58" spans="1:15" ht="15.75" x14ac:dyDescent="0.25">
      <c r="A58" s="530" t="s">
        <v>104</v>
      </c>
      <c r="B58" s="531"/>
      <c r="C58" s="531"/>
      <c r="D58" s="531"/>
      <c r="E58" s="530" t="s">
        <v>513</v>
      </c>
      <c r="F58" s="532"/>
      <c r="G58" s="532"/>
      <c r="H58" s="531"/>
      <c r="I58" s="532" t="s">
        <v>532</v>
      </c>
      <c r="J58" s="533"/>
      <c r="K58" s="533"/>
      <c r="L58" s="534"/>
      <c r="M58" s="379"/>
      <c r="N58" s="535" t="s">
        <v>162</v>
      </c>
      <c r="O58" s="379"/>
    </row>
    <row r="59" spans="1:15" ht="15.75" x14ac:dyDescent="0.3">
      <c r="A59" s="587"/>
      <c r="B59" s="511" t="s">
        <v>1042</v>
      </c>
      <c r="C59" s="593">
        <v>0.98</v>
      </c>
      <c r="D59" s="495" t="s">
        <v>205</v>
      </c>
      <c r="E59" s="588">
        <f>E49*C59</f>
        <v>294940.79999999993</v>
      </c>
      <c r="F59" s="499" t="s">
        <v>199</v>
      </c>
      <c r="G59" s="499"/>
      <c r="H59" s="495"/>
      <c r="I59" s="492" t="s">
        <v>746</v>
      </c>
      <c r="J59" s="514"/>
      <c r="K59" s="514"/>
      <c r="L59" s="537"/>
      <c r="M59" s="379"/>
      <c r="N59" s="554" t="s">
        <v>208</v>
      </c>
      <c r="O59" s="379"/>
    </row>
    <row r="60" spans="1:15" ht="15.75" x14ac:dyDescent="0.3">
      <c r="A60" s="587"/>
      <c r="B60" s="495"/>
      <c r="C60" s="512"/>
      <c r="D60" s="495"/>
      <c r="E60" s="505">
        <f>E50*C59</f>
        <v>0.98</v>
      </c>
      <c r="F60" s="506" t="s">
        <v>200</v>
      </c>
      <c r="G60" s="506"/>
      <c r="H60" s="495"/>
      <c r="I60" s="539" t="s">
        <v>1053</v>
      </c>
      <c r="J60" s="539" t="s">
        <v>1054</v>
      </c>
      <c r="K60" s="539" t="s">
        <v>1055</v>
      </c>
      <c r="L60" s="540" t="s">
        <v>1056</v>
      </c>
      <c r="M60" s="379"/>
      <c r="N60" s="540" t="s">
        <v>1056</v>
      </c>
      <c r="O60" s="379"/>
    </row>
    <row r="61" spans="1:15" x14ac:dyDescent="0.2">
      <c r="A61" s="503"/>
      <c r="B61" s="511" t="s">
        <v>525</v>
      </c>
      <c r="C61" s="495"/>
      <c r="D61" s="495"/>
      <c r="E61" s="503"/>
      <c r="F61" s="495"/>
      <c r="G61" s="495"/>
      <c r="H61" s="495"/>
      <c r="I61" s="495"/>
      <c r="J61" s="495"/>
      <c r="K61" s="495"/>
      <c r="L61" s="541"/>
      <c r="M61" s="379"/>
      <c r="N61" s="541"/>
      <c r="O61" s="379"/>
    </row>
    <row r="62" spans="1:15" ht="15.75" x14ac:dyDescent="0.3">
      <c r="A62" s="503"/>
      <c r="B62" s="499" t="s">
        <v>509</v>
      </c>
      <c r="C62" s="672">
        <v>0</v>
      </c>
      <c r="D62" s="495" t="s">
        <v>207</v>
      </c>
      <c r="E62" s="503"/>
      <c r="F62" s="495"/>
      <c r="G62" s="495"/>
      <c r="H62" s="495"/>
      <c r="I62" s="544">
        <f>$C62*$E$60*VLOOKUP($B62,'Standard values'!$C$9:$S$162,7, FALSE)/$E$266</f>
        <v>0</v>
      </c>
      <c r="J62" s="544">
        <f>$C62*$E$60*VLOOKUP($B62,'Standard values'!$C$9:$S$162,8, FALSE)/$E$266</f>
        <v>0</v>
      </c>
      <c r="K62" s="544">
        <f>$C62*$E$60*VLOOKUP($B62,'Standard values'!$C$9:$S$162,9, FALSE)/$E$266</f>
        <v>0</v>
      </c>
      <c r="L62" s="419">
        <f>I62*'Standard values'!$D$10+J62*'Standard values'!$D$11+K62*'Standard values'!$D$12</f>
        <v>0</v>
      </c>
      <c r="M62" s="379"/>
      <c r="N62" s="562">
        <f>+L62/$E$29</f>
        <v>0</v>
      </c>
      <c r="O62" s="379"/>
    </row>
    <row r="63" spans="1:15" ht="15.75" x14ac:dyDescent="0.3">
      <c r="A63" s="503"/>
      <c r="B63" s="1301" t="s">
        <v>239</v>
      </c>
      <c r="C63" s="672">
        <v>0</v>
      </c>
      <c r="D63" s="495" t="s">
        <v>207</v>
      </c>
      <c r="E63" s="503"/>
      <c r="F63" s="495"/>
      <c r="G63" s="495"/>
      <c r="H63" s="495"/>
      <c r="I63" s="544">
        <f>$C63*$E$60*VLOOKUP($B63,'Standard values'!$C$9:$S$162,7, FALSE)/$E$266</f>
        <v>0</v>
      </c>
      <c r="J63" s="544">
        <f>$C63*$E$60*VLOOKUP($B63,'Standard values'!$C$9:$S$162,8, FALSE)/$E$266</f>
        <v>0</v>
      </c>
      <c r="K63" s="544">
        <f>$C63*$E$60*VLOOKUP($B63,'Standard values'!$C$9:$S$162,9, FALSE)/$E$266</f>
        <v>0</v>
      </c>
      <c r="L63" s="419">
        <f>I63*'Standard values'!$D$10+J63*'Standard values'!$D$11+K63*'Standard values'!$D$12</f>
        <v>0</v>
      </c>
      <c r="M63" s="379"/>
      <c r="N63" s="562">
        <f>+L63/$E$29</f>
        <v>0</v>
      </c>
      <c r="O63" s="379"/>
    </row>
    <row r="64" spans="1:15" x14ac:dyDescent="0.2">
      <c r="A64" s="503"/>
      <c r="B64" s="495"/>
      <c r="C64" s="495"/>
      <c r="D64" s="495"/>
      <c r="E64" s="503"/>
      <c r="F64" s="495"/>
      <c r="G64" s="495"/>
      <c r="H64" s="514" t="s">
        <v>1047</v>
      </c>
      <c r="I64" s="515">
        <f>SUM(I61:I63)</f>
        <v>0</v>
      </c>
      <c r="J64" s="515">
        <f>SUM(J61:J63)</f>
        <v>0</v>
      </c>
      <c r="K64" s="515">
        <f>SUM(K61:K63)</f>
        <v>0</v>
      </c>
      <c r="L64" s="516">
        <f>I64*'Standard values'!$D$10+J64*'Standard values'!$D$11+K64*'Standard values'!$D$12</f>
        <v>0</v>
      </c>
      <c r="M64" s="379"/>
      <c r="N64" s="1201">
        <f>+L64/E$29</f>
        <v>0</v>
      </c>
      <c r="O64" s="379"/>
    </row>
    <row r="65" spans="1:15" x14ac:dyDescent="0.2">
      <c r="A65" s="590"/>
      <c r="B65" s="495"/>
      <c r="C65" s="492"/>
      <c r="D65" s="495"/>
      <c r="E65" s="503"/>
      <c r="F65" s="495"/>
      <c r="G65" s="495"/>
      <c r="H65" s="495"/>
      <c r="I65" s="495"/>
      <c r="J65" s="495"/>
      <c r="K65" s="495"/>
      <c r="L65" s="541"/>
      <c r="M65" s="379"/>
      <c r="N65" s="1203"/>
      <c r="O65" s="379"/>
    </row>
    <row r="66" spans="1:15" ht="14.25" x14ac:dyDescent="0.25">
      <c r="A66" s="519"/>
      <c r="B66" s="520"/>
      <c r="C66" s="520"/>
      <c r="D66" s="520"/>
      <c r="E66" s="519"/>
      <c r="F66" s="521"/>
      <c r="G66" s="521"/>
      <c r="H66" s="521" t="s">
        <v>534</v>
      </c>
      <c r="I66" s="520"/>
      <c r="J66" s="523" t="s">
        <v>747</v>
      </c>
      <c r="K66" s="549"/>
      <c r="L66" s="525">
        <f>N64*E$29</f>
        <v>0</v>
      </c>
      <c r="M66" s="379"/>
      <c r="N66" s="642"/>
      <c r="O66" s="379"/>
    </row>
    <row r="67" spans="1:15" x14ac:dyDescent="0.2">
      <c r="A67" s="390"/>
      <c r="B67" s="390"/>
      <c r="C67" s="390"/>
      <c r="D67" s="390"/>
      <c r="E67" s="390"/>
      <c r="F67" s="376"/>
      <c r="G67" s="376"/>
      <c r="H67" s="376"/>
      <c r="I67" s="390"/>
      <c r="J67" s="550"/>
      <c r="K67" s="551"/>
      <c r="L67" s="552"/>
      <c r="M67" s="379"/>
      <c r="N67" s="379"/>
      <c r="O67" s="379"/>
    </row>
    <row r="68" spans="1:15" x14ac:dyDescent="0.2">
      <c r="A68" s="390"/>
      <c r="B68" s="390"/>
      <c r="C68" s="390"/>
      <c r="D68" s="390"/>
      <c r="E68" s="390"/>
      <c r="F68" s="390"/>
      <c r="G68" s="390"/>
      <c r="H68" s="390"/>
      <c r="I68" s="390"/>
      <c r="J68" s="390"/>
      <c r="K68" s="390"/>
      <c r="L68" s="375"/>
      <c r="M68" s="379"/>
      <c r="N68" s="379"/>
      <c r="O68" s="379"/>
    </row>
    <row r="69" spans="1:15" ht="15.75" x14ac:dyDescent="0.25">
      <c r="A69" s="530" t="s">
        <v>639</v>
      </c>
      <c r="B69" s="531"/>
      <c r="C69" s="531"/>
      <c r="D69" s="531"/>
      <c r="E69" s="530" t="s">
        <v>513</v>
      </c>
      <c r="F69" s="532"/>
      <c r="G69" s="532"/>
      <c r="H69" s="531"/>
      <c r="I69" s="532" t="s">
        <v>532</v>
      </c>
      <c r="J69" s="533"/>
      <c r="K69" s="533"/>
      <c r="L69" s="534"/>
      <c r="M69" s="379"/>
      <c r="N69" s="535" t="s">
        <v>162</v>
      </c>
      <c r="O69" s="379"/>
    </row>
    <row r="70" spans="1:15" x14ac:dyDescent="0.2">
      <c r="A70" s="503"/>
      <c r="B70" s="511" t="s">
        <v>524</v>
      </c>
      <c r="C70" s="495"/>
      <c r="D70" s="495"/>
      <c r="E70" s="553"/>
      <c r="F70" s="674"/>
      <c r="G70" s="674"/>
      <c r="H70" s="495"/>
      <c r="I70" s="492" t="s">
        <v>746</v>
      </c>
      <c r="J70" s="514"/>
      <c r="K70" s="514"/>
      <c r="L70" s="537"/>
      <c r="M70" s="379"/>
      <c r="N70" s="554" t="s">
        <v>975</v>
      </c>
      <c r="O70" s="379"/>
    </row>
    <row r="71" spans="1:15" ht="15.75" x14ac:dyDescent="0.3">
      <c r="A71" s="503"/>
      <c r="B71" s="495" t="s">
        <v>1043</v>
      </c>
      <c r="C71" s="675">
        <v>0.53</v>
      </c>
      <c r="D71" s="495" t="s">
        <v>209</v>
      </c>
      <c r="E71" s="553">
        <f>E59*C71</f>
        <v>156318.62399999998</v>
      </c>
      <c r="F71" s="499" t="s">
        <v>654</v>
      </c>
      <c r="G71" s="499"/>
      <c r="H71" s="495"/>
      <c r="I71" s="539" t="s">
        <v>1053</v>
      </c>
      <c r="J71" s="539" t="s">
        <v>1054</v>
      </c>
      <c r="K71" s="539" t="s">
        <v>1055</v>
      </c>
      <c r="L71" s="540" t="s">
        <v>1056</v>
      </c>
      <c r="M71" s="379"/>
      <c r="N71" s="540" t="s">
        <v>1056</v>
      </c>
      <c r="O71" s="379"/>
    </row>
    <row r="72" spans="1:15" ht="15.75" x14ac:dyDescent="0.3">
      <c r="A72" s="563"/>
      <c r="B72" s="506" t="s">
        <v>131</v>
      </c>
      <c r="C72" s="675">
        <v>2.6830808080808084E-2</v>
      </c>
      <c r="D72" s="495" t="s">
        <v>210</v>
      </c>
      <c r="E72" s="505">
        <f>E60*C71</f>
        <v>0.51939999999999997</v>
      </c>
      <c r="F72" s="506" t="s">
        <v>200</v>
      </c>
      <c r="G72" s="506"/>
      <c r="H72" s="495"/>
      <c r="I72" s="495"/>
      <c r="J72" s="495"/>
      <c r="K72" s="495"/>
      <c r="L72" s="541"/>
      <c r="M72" s="379"/>
      <c r="N72" s="541"/>
      <c r="O72" s="379"/>
    </row>
    <row r="73" spans="1:15" ht="15.75" x14ac:dyDescent="0.3">
      <c r="A73" s="563"/>
      <c r="B73" s="506"/>
      <c r="C73" s="564"/>
      <c r="D73" s="506"/>
      <c r="E73" s="557">
        <f>E71/$E$265/VLOOKUP($B71,'Standard values'!$C$9:$S$162,14, FALSE)</f>
        <v>2.8334786399302533E-2</v>
      </c>
      <c r="F73" s="499" t="s">
        <v>978</v>
      </c>
      <c r="G73" s="499"/>
      <c r="H73" s="495"/>
      <c r="I73" s="495"/>
      <c r="J73" s="495"/>
      <c r="K73" s="495"/>
      <c r="L73" s="541"/>
      <c r="M73" s="379"/>
      <c r="N73" s="562"/>
      <c r="O73" s="379"/>
    </row>
    <row r="74" spans="1:15" x14ac:dyDescent="0.2">
      <c r="A74" s="503"/>
      <c r="B74" s="506" t="s">
        <v>579</v>
      </c>
      <c r="C74" s="556">
        <v>1.4</v>
      </c>
      <c r="D74" s="495"/>
      <c r="E74" s="505"/>
      <c r="F74" s="499"/>
      <c r="G74" s="499"/>
      <c r="H74" s="495"/>
      <c r="I74" s="539"/>
      <c r="J74" s="539"/>
      <c r="K74" s="539"/>
      <c r="L74" s="540"/>
      <c r="M74" s="379"/>
      <c r="N74" s="540"/>
      <c r="O74" s="390"/>
    </row>
    <row r="75" spans="1:15" x14ac:dyDescent="0.2">
      <c r="A75" s="563"/>
      <c r="B75" s="506"/>
      <c r="C75" s="564"/>
      <c r="D75" s="506"/>
      <c r="E75" s="557"/>
      <c r="F75" s="499"/>
      <c r="G75" s="499"/>
      <c r="H75" s="495"/>
      <c r="I75" s="495"/>
      <c r="J75" s="495"/>
      <c r="K75" s="495"/>
      <c r="L75" s="541"/>
      <c r="M75" s="379"/>
      <c r="N75" s="562"/>
      <c r="O75" s="379"/>
    </row>
    <row r="76" spans="1:15" x14ac:dyDescent="0.2">
      <c r="A76" s="503"/>
      <c r="B76" s="511" t="s">
        <v>525</v>
      </c>
      <c r="C76" s="495"/>
      <c r="D76" s="495"/>
      <c r="E76" s="513"/>
      <c r="F76" s="495"/>
      <c r="G76" s="495"/>
      <c r="H76" s="495"/>
      <c r="I76" s="495"/>
      <c r="J76" s="495"/>
      <c r="K76" s="495"/>
      <c r="L76" s="541"/>
      <c r="M76" s="379"/>
      <c r="N76" s="562"/>
      <c r="O76" s="379"/>
    </row>
    <row r="77" spans="1:15" ht="15.75" x14ac:dyDescent="0.3">
      <c r="A77" s="503"/>
      <c r="B77" s="495" t="s">
        <v>749</v>
      </c>
      <c r="C77" s="675">
        <v>0</v>
      </c>
      <c r="D77" s="495" t="s">
        <v>644</v>
      </c>
      <c r="E77" s="503" t="s">
        <v>890</v>
      </c>
      <c r="F77" s="495"/>
      <c r="G77" s="495"/>
      <c r="H77" s="495"/>
      <c r="I77" s="544"/>
      <c r="J77" s="544"/>
      <c r="K77" s="544"/>
      <c r="L77" s="419"/>
      <c r="M77" s="379"/>
      <c r="N77" s="562">
        <f>L77/$E$73</f>
        <v>0</v>
      </c>
      <c r="O77" s="379"/>
    </row>
    <row r="78" spans="1:15" ht="15.75" x14ac:dyDescent="0.3">
      <c r="A78" s="503"/>
      <c r="B78" s="495" t="s">
        <v>676</v>
      </c>
      <c r="C78" s="675">
        <v>0</v>
      </c>
      <c r="D78" s="495" t="s">
        <v>644</v>
      </c>
      <c r="E78" s="503" t="s">
        <v>889</v>
      </c>
      <c r="F78" s="495"/>
      <c r="G78" s="495"/>
      <c r="H78" s="495"/>
      <c r="I78" s="544"/>
      <c r="J78" s="544"/>
      <c r="K78" s="544"/>
      <c r="L78" s="419"/>
      <c r="M78" s="379"/>
      <c r="N78" s="562"/>
      <c r="O78" s="379"/>
    </row>
    <row r="79" spans="1:15" x14ac:dyDescent="0.2">
      <c r="A79" s="503"/>
      <c r="B79" s="565" t="s">
        <v>972</v>
      </c>
      <c r="C79" s="566"/>
      <c r="D79" s="566"/>
      <c r="E79" s="567"/>
      <c r="F79" s="568"/>
      <c r="G79" s="568"/>
      <c r="H79" s="568"/>
      <c r="I79" s="569"/>
      <c r="J79" s="568"/>
      <c r="K79" s="568"/>
      <c r="L79" s="570"/>
      <c r="M79" s="379"/>
      <c r="N79" s="562"/>
      <c r="O79" s="379"/>
    </row>
    <row r="80" spans="1:15" x14ac:dyDescent="0.2">
      <c r="A80" s="503"/>
      <c r="B80" s="571" t="s">
        <v>377</v>
      </c>
      <c r="C80" s="566"/>
      <c r="D80" s="566"/>
      <c r="E80" s="567" t="s">
        <v>799</v>
      </c>
      <c r="F80" s="568"/>
      <c r="G80" s="568"/>
      <c r="H80" s="568"/>
      <c r="I80" s="569"/>
      <c r="J80" s="568"/>
      <c r="K80" s="568"/>
      <c r="L80" s="570"/>
      <c r="M80" s="379"/>
      <c r="N80" s="562"/>
      <c r="O80" s="379"/>
    </row>
    <row r="81" spans="1:15" ht="15.75" x14ac:dyDescent="0.3">
      <c r="A81" s="503"/>
      <c r="B81" s="572" t="s">
        <v>380</v>
      </c>
      <c r="C81" s="573">
        <f>C78</f>
        <v>0</v>
      </c>
      <c r="D81" s="568" t="s">
        <v>769</v>
      </c>
      <c r="E81" s="567" t="s">
        <v>768</v>
      </c>
      <c r="F81" s="568"/>
      <c r="G81" s="568"/>
      <c r="H81" s="568"/>
      <c r="I81" s="574"/>
      <c r="J81" s="574"/>
      <c r="K81" s="574"/>
      <c r="L81" s="575"/>
      <c r="M81" s="379"/>
      <c r="N81" s="562"/>
      <c r="O81" s="379"/>
    </row>
    <row r="82" spans="1:15" x14ac:dyDescent="0.2">
      <c r="A82" s="503"/>
      <c r="B82" s="571" t="s">
        <v>378</v>
      </c>
      <c r="C82" s="573"/>
      <c r="D82" s="566"/>
      <c r="E82" s="576"/>
      <c r="F82" s="568"/>
      <c r="G82" s="568"/>
      <c r="H82" s="568"/>
      <c r="I82" s="574"/>
      <c r="J82" s="574"/>
      <c r="K82" s="574"/>
      <c r="L82" s="575"/>
      <c r="M82" s="379"/>
      <c r="N82" s="562"/>
      <c r="O82" s="379"/>
    </row>
    <row r="83" spans="1:15" ht="14.25" x14ac:dyDescent="0.25">
      <c r="A83" s="503"/>
      <c r="B83" s="577" t="s">
        <v>936</v>
      </c>
      <c r="C83" s="536">
        <f>1/0.9</f>
        <v>1.1111111111111112</v>
      </c>
      <c r="D83" s="568" t="s">
        <v>419</v>
      </c>
      <c r="E83" s="578"/>
      <c r="F83" s="568"/>
      <c r="G83" s="568"/>
      <c r="H83" s="568"/>
      <c r="I83" s="574"/>
      <c r="J83" s="574"/>
      <c r="K83" s="574"/>
      <c r="L83" s="575"/>
      <c r="M83" s="379"/>
      <c r="N83" s="562"/>
      <c r="O83" s="379"/>
    </row>
    <row r="84" spans="1:15" ht="15.75" x14ac:dyDescent="0.3">
      <c r="A84" s="503"/>
      <c r="B84" s="572" t="s">
        <v>770</v>
      </c>
      <c r="C84" s="573">
        <f>C83*C78</f>
        <v>0</v>
      </c>
      <c r="D84" s="568" t="s">
        <v>769</v>
      </c>
      <c r="E84" s="578"/>
      <c r="F84" s="568"/>
      <c r="G84" s="568"/>
      <c r="H84" s="568"/>
      <c r="I84" s="574"/>
      <c r="J84" s="574"/>
      <c r="K84" s="574"/>
      <c r="L84" s="575"/>
      <c r="M84" s="379"/>
      <c r="N84" s="562"/>
      <c r="O84" s="379"/>
    </row>
    <row r="85" spans="1:15" x14ac:dyDescent="0.2">
      <c r="A85" s="503"/>
      <c r="B85" s="571" t="s">
        <v>935</v>
      </c>
      <c r="C85" s="573"/>
      <c r="D85" s="566"/>
      <c r="E85" s="567"/>
      <c r="F85" s="568"/>
      <c r="G85" s="568"/>
      <c r="H85" s="568"/>
      <c r="I85" s="569" t="s">
        <v>532</v>
      </c>
      <c r="J85" s="574"/>
      <c r="K85" s="574"/>
      <c r="L85" s="575"/>
      <c r="M85" s="379"/>
      <c r="N85" s="562"/>
      <c r="O85" s="379"/>
    </row>
    <row r="86" spans="1:15" ht="15.75" x14ac:dyDescent="0.3">
      <c r="A86" s="503"/>
      <c r="B86" s="572" t="s">
        <v>940</v>
      </c>
      <c r="C86" s="573"/>
      <c r="D86" s="566"/>
      <c r="E86" s="567"/>
      <c r="F86" s="568"/>
      <c r="G86" s="568"/>
      <c r="H86" s="568"/>
      <c r="I86" s="574" t="e">
        <f>$C74*$C78*$E$72*VLOOKUP($B86,'Standard values'!$C$9:$S$159,7, FALSE)/$E$266</f>
        <v>#N/A</v>
      </c>
      <c r="J86" s="574" t="e">
        <f>$C74*$C78*$E$72*VLOOKUP($B86,'Standard values'!$C$9:$S$159,8, FALSE)/$E$266</f>
        <v>#N/A</v>
      </c>
      <c r="K86" s="574" t="e">
        <f>$C74*$C78*$E$72*VLOOKUP($B86,'Standard values'!$C$9:$S$159,9, FALSE)/$E$266</f>
        <v>#N/A</v>
      </c>
      <c r="L86" s="575">
        <f>IF(C78&gt;0, I86*'Standard values'!$D$10+J86*'Standard values'!$D$11+K86*'Standard values'!$D$12, 0)</f>
        <v>0</v>
      </c>
      <c r="M86" s="379"/>
      <c r="N86" s="562">
        <f>+L86/$E$73</f>
        <v>0</v>
      </c>
      <c r="O86" s="379"/>
    </row>
    <row r="87" spans="1:15" ht="15.75" x14ac:dyDescent="0.3">
      <c r="A87" s="503"/>
      <c r="B87" s="577" t="s">
        <v>344</v>
      </c>
      <c r="C87" s="573">
        <f>C83*C78</f>
        <v>0</v>
      </c>
      <c r="D87" s="568" t="s">
        <v>769</v>
      </c>
      <c r="E87" s="567"/>
      <c r="F87" s="568"/>
      <c r="G87" s="568"/>
      <c r="H87" s="568"/>
      <c r="I87" s="574" t="e">
        <f>$C74*$C87*$E$72*VLOOKUP($B87,'Standard values'!$C$9:$S$162,7, FALSE)/$E$266</f>
        <v>#N/A</v>
      </c>
      <c r="J87" s="574" t="e">
        <f>$C74*$C87*$E$72*VLOOKUP($B87,'Standard values'!$C$9:$S$162,8, FALSE)/$E$266</f>
        <v>#N/A</v>
      </c>
      <c r="K87" s="574" t="e">
        <f>$C74*$C87*$E$72*VLOOKUP($B87,'Standard values'!$C$9:$S$162,9, FALSE)/$E$266</f>
        <v>#N/A</v>
      </c>
      <c r="L87" s="575">
        <f>IF(C78&gt;0, I87*'Standard values'!$D$10+J87*'Standard values'!$D$11+K87*'Standard values'!$D$12, 0)</f>
        <v>0</v>
      </c>
      <c r="M87" s="379"/>
      <c r="N87" s="562">
        <f>+L87/$E$73</f>
        <v>0</v>
      </c>
      <c r="O87" s="379"/>
    </row>
    <row r="88" spans="1:15" x14ac:dyDescent="0.2">
      <c r="A88" s="503"/>
      <c r="B88" s="580" t="s">
        <v>801</v>
      </c>
      <c r="C88" s="573"/>
      <c r="D88" s="568"/>
      <c r="E88" s="567"/>
      <c r="F88" s="568"/>
      <c r="G88" s="568"/>
      <c r="H88" s="568"/>
      <c r="I88" s="574"/>
      <c r="J88" s="574"/>
      <c r="K88" s="574"/>
      <c r="L88" s="575"/>
      <c r="M88" s="379"/>
      <c r="N88" s="562"/>
      <c r="O88" s="379"/>
    </row>
    <row r="89" spans="1:15" ht="14.25" x14ac:dyDescent="0.25">
      <c r="A89" s="503"/>
      <c r="B89" s="577" t="s">
        <v>348</v>
      </c>
      <c r="C89" s="536">
        <v>0.22220000000000001</v>
      </c>
      <c r="D89" s="568" t="s">
        <v>419</v>
      </c>
      <c r="E89" s="567"/>
      <c r="F89" s="568"/>
      <c r="G89" s="568"/>
      <c r="H89" s="568"/>
      <c r="I89" s="574"/>
      <c r="J89" s="581"/>
      <c r="K89" s="581"/>
      <c r="L89" s="575"/>
      <c r="M89" s="379"/>
      <c r="N89" s="562"/>
      <c r="O89" s="379"/>
    </row>
    <row r="90" spans="1:15" ht="15.75" x14ac:dyDescent="0.3">
      <c r="A90" s="503"/>
      <c r="B90" s="577" t="s">
        <v>771</v>
      </c>
      <c r="C90" s="573">
        <f>C89*C78</f>
        <v>0</v>
      </c>
      <c r="D90" s="568" t="s">
        <v>769</v>
      </c>
      <c r="E90" s="567" t="s">
        <v>777</v>
      </c>
      <c r="F90" s="568"/>
      <c r="G90" s="568"/>
      <c r="H90" s="568"/>
      <c r="I90" s="574"/>
      <c r="J90" s="581"/>
      <c r="K90" s="581"/>
      <c r="L90" s="575"/>
      <c r="M90" s="379"/>
      <c r="N90" s="562"/>
      <c r="O90" s="379"/>
    </row>
    <row r="91" spans="1:15" ht="27" x14ac:dyDescent="0.3">
      <c r="A91" s="503"/>
      <c r="B91" s="579" t="s">
        <v>772</v>
      </c>
      <c r="C91" s="573">
        <f>C77-C90</f>
        <v>0</v>
      </c>
      <c r="D91" s="568" t="s">
        <v>769</v>
      </c>
      <c r="E91" s="567"/>
      <c r="F91" s="568"/>
      <c r="G91" s="568"/>
      <c r="H91" s="568"/>
      <c r="I91" s="574"/>
      <c r="J91" s="581"/>
      <c r="K91" s="581"/>
      <c r="L91" s="575"/>
      <c r="M91" s="379"/>
      <c r="N91" s="562"/>
      <c r="O91" s="379"/>
    </row>
    <row r="92" spans="1:15" ht="15.75" x14ac:dyDescent="0.3">
      <c r="A92" s="503"/>
      <c r="B92" s="577" t="s">
        <v>345</v>
      </c>
      <c r="C92" s="573">
        <f>ABS(C77-C90)</f>
        <v>0</v>
      </c>
      <c r="D92" s="568" t="s">
        <v>769</v>
      </c>
      <c r="E92" s="567" t="str">
        <f>IF(C91&gt;0, "Electricity use in plant larger than generation in", "Surplus electricity. Credit must be calculated")</f>
        <v>Surplus electricity. Credit must be calculated</v>
      </c>
      <c r="F92" s="568"/>
      <c r="G92" s="568"/>
      <c r="H92" s="568"/>
      <c r="I92" s="574" t="e">
        <f>$C74*$C92*$E$72*VLOOKUP($B92,'Standard values'!$C$9:$S$162,7, FALSE)/$E$266</f>
        <v>#N/A</v>
      </c>
      <c r="J92" s="574" t="e">
        <f>$C74*$C92*$E$72*VLOOKUP($B92,'Standard values'!$C$9:$S$162,8, FALSE)/$E$266</f>
        <v>#N/A</v>
      </c>
      <c r="K92" s="574" t="e">
        <f>$C74*$C92*$E$72*VLOOKUP($B92,'Standard values'!$C$9:$S$162,9, FALSE)/$E$266</f>
        <v>#N/A</v>
      </c>
      <c r="L92" s="575">
        <f>IF(C78&gt;0, I92*'Standard values'!$D$10+J92*'Standard values'!$D$11+K92*'Standard values'!$D$12, 0)</f>
        <v>0</v>
      </c>
      <c r="M92" s="379"/>
      <c r="N92" s="562">
        <f>+L92/$E$73</f>
        <v>0</v>
      </c>
      <c r="O92" s="379"/>
    </row>
    <row r="93" spans="1:15" x14ac:dyDescent="0.2">
      <c r="A93" s="503"/>
      <c r="B93" s="582"/>
      <c r="C93" s="573"/>
      <c r="D93" s="568"/>
      <c r="E93" s="567" t="str">
        <f>IF(C91&gt;0, "   NG CHP. Therefore calculated as national electricity mix", "   following RED Annex V.C.16")</f>
        <v xml:space="preserve">   following RED Annex V.C.16</v>
      </c>
      <c r="F93" s="568"/>
      <c r="G93" s="568"/>
      <c r="H93" s="568"/>
      <c r="I93" s="574"/>
      <c r="J93" s="574"/>
      <c r="K93" s="574"/>
      <c r="L93" s="575"/>
      <c r="M93" s="379"/>
      <c r="N93" s="562"/>
      <c r="O93" s="379"/>
    </row>
    <row r="94" spans="1:15" x14ac:dyDescent="0.2">
      <c r="A94" s="503"/>
      <c r="B94" s="674"/>
      <c r="C94" s="495"/>
      <c r="D94" s="495"/>
      <c r="E94" s="503"/>
      <c r="F94" s="495"/>
      <c r="G94" s="495"/>
      <c r="H94" s="495"/>
      <c r="I94" s="544"/>
      <c r="J94" s="544"/>
      <c r="K94" s="544"/>
      <c r="L94" s="419"/>
      <c r="M94" s="379"/>
      <c r="N94" s="562"/>
      <c r="O94" s="379"/>
    </row>
    <row r="95" spans="1:15" ht="15.75" x14ac:dyDescent="0.3">
      <c r="A95" s="503"/>
      <c r="B95" s="674" t="s">
        <v>1106</v>
      </c>
      <c r="C95" s="675">
        <v>0</v>
      </c>
      <c r="D95" s="495" t="s">
        <v>644</v>
      </c>
      <c r="E95" s="503"/>
      <c r="F95" s="495"/>
      <c r="G95" s="495"/>
      <c r="H95" s="495"/>
      <c r="I95" s="544">
        <f>$C74*$C95*$E$72*VLOOKUP($B95,'Standard values'!$C$9:$S$162,7, FALSE)/$E$266</f>
        <v>0</v>
      </c>
      <c r="J95" s="544">
        <f>$C74*$C95*$E$72*VLOOKUP($B95,'Standard values'!$C$9:$S$162,8, FALSE)/$E$266</f>
        <v>0</v>
      </c>
      <c r="K95" s="544">
        <f>$C74*$C95*$E$72*VLOOKUP($B95,'Standard values'!$C$9:$S$162,9, FALSE)/$E$266</f>
        <v>0</v>
      </c>
      <c r="L95" s="419">
        <f>I95*'Standard values'!$D$10+J95*'Standard values'!$D$11+K95*'Standard values'!$D$12</f>
        <v>0</v>
      </c>
      <c r="M95" s="379"/>
      <c r="N95" s="562">
        <f>L95/$E$73</f>
        <v>0</v>
      </c>
      <c r="O95" s="379"/>
    </row>
    <row r="96" spans="1:15" x14ac:dyDescent="0.2">
      <c r="A96" s="503"/>
      <c r="B96" s="674"/>
      <c r="C96" s="716"/>
      <c r="D96" s="495"/>
      <c r="E96" s="503"/>
      <c r="F96" s="495"/>
      <c r="G96" s="495"/>
      <c r="H96" s="495"/>
      <c r="I96" s="544"/>
      <c r="J96" s="544"/>
      <c r="K96" s="544"/>
      <c r="L96" s="419"/>
      <c r="M96" s="379"/>
      <c r="N96" s="562"/>
      <c r="O96" s="379"/>
    </row>
    <row r="97" spans="1:15" ht="15.75" x14ac:dyDescent="0.3">
      <c r="A97" s="503"/>
      <c r="B97" s="492" t="s">
        <v>215</v>
      </c>
      <c r="C97" s="774">
        <v>0.94411111111111112</v>
      </c>
      <c r="D97" s="495" t="s">
        <v>212</v>
      </c>
      <c r="E97" s="503"/>
      <c r="F97" s="495"/>
      <c r="G97" s="495"/>
      <c r="H97" s="495"/>
      <c r="I97" s="544"/>
      <c r="J97" s="544">
        <f>$C74*C97*E72/$E$266</f>
        <v>1.3857114695340502</v>
      </c>
      <c r="K97" s="544"/>
      <c r="L97" s="419">
        <f>I97*'Standard values'!$D$10+J97*'Standard values'!$D$11+K97*'Standard values'!$D$12</f>
        <v>34.642786738351255</v>
      </c>
      <c r="M97" s="379"/>
      <c r="N97" s="562">
        <f>L97/$E$73</f>
        <v>1222.6238888888888</v>
      </c>
      <c r="O97" s="379"/>
    </row>
    <row r="98" spans="1:15" x14ac:dyDescent="0.2">
      <c r="A98" s="503"/>
      <c r="B98" s="492"/>
      <c r="C98" s="716"/>
      <c r="D98" s="495"/>
      <c r="E98" s="503"/>
      <c r="F98" s="495"/>
      <c r="G98" s="495"/>
      <c r="H98" s="495"/>
      <c r="I98" s="544"/>
      <c r="J98" s="544"/>
      <c r="K98" s="544"/>
      <c r="L98" s="419"/>
      <c r="M98" s="379"/>
      <c r="N98" s="562"/>
      <c r="O98" s="379"/>
    </row>
    <row r="99" spans="1:15" x14ac:dyDescent="0.2">
      <c r="A99" s="503"/>
      <c r="B99" s="495"/>
      <c r="C99" s="499"/>
      <c r="D99" s="499"/>
      <c r="E99" s="681"/>
      <c r="F99" s="495"/>
      <c r="G99" s="495"/>
      <c r="H99" s="514" t="s">
        <v>1047</v>
      </c>
      <c r="I99" s="583" t="e">
        <f>SUM(I72:I97)</f>
        <v>#N/A</v>
      </c>
      <c r="J99" s="583" t="e">
        <f>SUM(J72:J97)</f>
        <v>#N/A</v>
      </c>
      <c r="K99" s="583" t="e">
        <f>SUM(K72:K97)</f>
        <v>#N/A</v>
      </c>
      <c r="L99" s="516">
        <f>SUM(L72:L97)</f>
        <v>34.642786738351255</v>
      </c>
      <c r="M99" s="379"/>
      <c r="N99" s="1201">
        <f>+L99/E$73</f>
        <v>1222.6238888888888</v>
      </c>
      <c r="O99" s="379"/>
    </row>
    <row r="100" spans="1:15" x14ac:dyDescent="0.2">
      <c r="A100" s="503"/>
      <c r="B100" s="682"/>
      <c r="C100" s="499"/>
      <c r="D100" s="499"/>
      <c r="E100" s="503"/>
      <c r="F100" s="495"/>
      <c r="G100" s="495"/>
      <c r="H100" s="495"/>
      <c r="I100" s="495"/>
      <c r="J100" s="495"/>
      <c r="K100" s="495"/>
      <c r="L100" s="541"/>
      <c r="M100" s="379"/>
      <c r="N100" s="1203"/>
      <c r="O100" s="379"/>
    </row>
    <row r="101" spans="1:15" ht="14.25" x14ac:dyDescent="0.25">
      <c r="A101" s="519"/>
      <c r="B101" s="520"/>
      <c r="C101" s="520"/>
      <c r="D101" s="520"/>
      <c r="E101" s="519"/>
      <c r="F101" s="521"/>
      <c r="G101" s="521"/>
      <c r="H101" s="521" t="s">
        <v>534</v>
      </c>
      <c r="I101" s="520"/>
      <c r="J101" s="523" t="s">
        <v>747</v>
      </c>
      <c r="K101" s="549"/>
      <c r="L101" s="525">
        <f>N99*E$73</f>
        <v>34.642786738351255</v>
      </c>
      <c r="M101" s="379"/>
      <c r="N101" s="642"/>
      <c r="O101" s="379"/>
    </row>
    <row r="102" spans="1:15" x14ac:dyDescent="0.2">
      <c r="A102" s="390"/>
      <c r="B102" s="390"/>
      <c r="C102" s="390"/>
      <c r="D102" s="390"/>
      <c r="E102" s="390"/>
      <c r="F102" s="376"/>
      <c r="G102" s="376"/>
      <c r="H102" s="376"/>
      <c r="I102" s="390"/>
      <c r="J102" s="550"/>
      <c r="K102" s="551"/>
      <c r="L102" s="585"/>
      <c r="M102" s="379"/>
      <c r="N102" s="390"/>
      <c r="O102" s="390"/>
    </row>
    <row r="103" spans="1:15" x14ac:dyDescent="0.2">
      <c r="A103" s="390"/>
      <c r="B103" s="390"/>
      <c r="C103" s="390"/>
      <c r="D103" s="390"/>
      <c r="E103" s="390"/>
      <c r="F103" s="376"/>
      <c r="G103" s="376"/>
      <c r="H103" s="376"/>
      <c r="I103" s="390"/>
      <c r="J103" s="550"/>
      <c r="K103" s="551"/>
      <c r="L103" s="585"/>
      <c r="M103" s="379"/>
      <c r="N103" s="390"/>
      <c r="O103" s="390"/>
    </row>
    <row r="104" spans="1:15" ht="15.75" x14ac:dyDescent="0.25">
      <c r="A104" s="530" t="s">
        <v>1057</v>
      </c>
      <c r="B104" s="531"/>
      <c r="C104" s="531"/>
      <c r="D104" s="531"/>
      <c r="E104" s="608" t="s">
        <v>526</v>
      </c>
      <c r="F104" s="606"/>
      <c r="G104" s="606"/>
      <c r="H104" s="606"/>
      <c r="I104" s="607"/>
      <c r="J104" s="608" t="s">
        <v>747</v>
      </c>
      <c r="K104" s="607"/>
      <c r="L104" s="609">
        <f>L45+L55+L66+L101</f>
        <v>50.531044651196808</v>
      </c>
      <c r="M104" s="379"/>
      <c r="N104" s="535" t="s">
        <v>162</v>
      </c>
      <c r="O104" s="390"/>
    </row>
    <row r="105" spans="1:15" ht="15.75" x14ac:dyDescent="0.25">
      <c r="A105" s="610" t="s">
        <v>937</v>
      </c>
      <c r="B105" s="611"/>
      <c r="C105" s="611"/>
      <c r="D105" s="611"/>
      <c r="E105" s="613"/>
      <c r="F105" s="613"/>
      <c r="G105" s="613"/>
      <c r="H105" s="613"/>
      <c r="I105" s="613"/>
      <c r="J105" s="613"/>
      <c r="K105" s="613"/>
      <c r="L105" s="614"/>
      <c r="M105" s="379"/>
      <c r="N105" s="554" t="s">
        <v>975</v>
      </c>
      <c r="O105" s="390"/>
    </row>
    <row r="106" spans="1:15" ht="15.75" x14ac:dyDescent="0.3">
      <c r="A106" s="567"/>
      <c r="B106" s="568"/>
      <c r="C106" s="568"/>
      <c r="D106" s="683"/>
      <c r="E106" s="683"/>
      <c r="F106" s="683"/>
      <c r="G106" s="683"/>
      <c r="H106" s="683" t="s">
        <v>667</v>
      </c>
      <c r="I106" s="684">
        <f>L104</f>
        <v>50.531044651196808</v>
      </c>
      <c r="J106" s="568" t="s">
        <v>321</v>
      </c>
      <c r="K106" s="568"/>
      <c r="L106" s="685"/>
      <c r="M106" s="379"/>
      <c r="N106" s="540" t="s">
        <v>1056</v>
      </c>
      <c r="O106" s="390"/>
    </row>
    <row r="107" spans="1:15" ht="15.75" x14ac:dyDescent="0.3">
      <c r="A107" s="567"/>
      <c r="B107" s="568" t="s">
        <v>51</v>
      </c>
      <c r="C107" s="568" t="s">
        <v>1043</v>
      </c>
      <c r="D107" s="568"/>
      <c r="E107" s="683" t="s">
        <v>659</v>
      </c>
      <c r="F107" s="686">
        <v>1</v>
      </c>
      <c r="G107" s="686"/>
      <c r="H107" s="568" t="s">
        <v>501</v>
      </c>
      <c r="I107" s="574">
        <f>$I$106*F107/F$109</f>
        <v>48.096213924369913</v>
      </c>
      <c r="J107" s="568" t="s">
        <v>321</v>
      </c>
      <c r="K107" s="568"/>
      <c r="L107" s="685"/>
      <c r="M107" s="379"/>
      <c r="N107" s="541"/>
      <c r="O107" s="390"/>
    </row>
    <row r="108" spans="1:15" ht="15.75" x14ac:dyDescent="0.3">
      <c r="A108" s="567"/>
      <c r="B108" s="568" t="s">
        <v>123</v>
      </c>
      <c r="C108" s="568" t="s">
        <v>203</v>
      </c>
      <c r="D108" s="568"/>
      <c r="E108" s="683" t="s">
        <v>134</v>
      </c>
      <c r="F108" s="686">
        <f>C72/C71</f>
        <v>5.0624166190203927E-2</v>
      </c>
      <c r="G108" s="686"/>
      <c r="H108" s="568" t="s">
        <v>501</v>
      </c>
      <c r="I108" s="574">
        <f>$I$106*F108/F$109</f>
        <v>2.4348307268269025</v>
      </c>
      <c r="J108" s="568" t="s">
        <v>321</v>
      </c>
      <c r="K108" s="568"/>
      <c r="L108" s="685"/>
      <c r="M108" s="379"/>
      <c r="N108" s="562"/>
      <c r="O108" s="390"/>
    </row>
    <row r="109" spans="1:15" x14ac:dyDescent="0.2">
      <c r="A109" s="567"/>
      <c r="B109" s="568"/>
      <c r="C109" s="568"/>
      <c r="D109" s="568"/>
      <c r="E109" s="568" t="s">
        <v>533</v>
      </c>
      <c r="F109" s="686">
        <f>SUM(F107:F108)</f>
        <v>1.0506241661902038</v>
      </c>
      <c r="G109" s="686"/>
      <c r="H109" s="568" t="s">
        <v>501</v>
      </c>
      <c r="I109" s="568"/>
      <c r="J109" s="568"/>
      <c r="K109" s="568"/>
      <c r="L109" s="685"/>
      <c r="M109" s="379"/>
      <c r="N109" s="562"/>
      <c r="O109" s="390"/>
    </row>
    <row r="110" spans="1:15" ht="14.25" x14ac:dyDescent="0.25">
      <c r="A110" s="519"/>
      <c r="B110" s="520"/>
      <c r="C110" s="520"/>
      <c r="D110" s="520"/>
      <c r="E110" s="523" t="s">
        <v>1058</v>
      </c>
      <c r="F110" s="521"/>
      <c r="G110" s="521"/>
      <c r="H110" s="687"/>
      <c r="I110" s="520"/>
      <c r="J110" s="523" t="s">
        <v>747</v>
      </c>
      <c r="K110" s="687"/>
      <c r="L110" s="525">
        <f>I107</f>
        <v>48.096213924369913</v>
      </c>
      <c r="M110" s="379"/>
      <c r="N110" s="545">
        <f>L110/$E$73</f>
        <v>1697.4263806539163</v>
      </c>
      <c r="O110" s="379"/>
    </row>
    <row r="111" spans="1:15" x14ac:dyDescent="0.2">
      <c r="A111" s="379"/>
      <c r="B111" s="379"/>
      <c r="C111" s="379"/>
      <c r="D111" s="379"/>
      <c r="E111" s="717"/>
      <c r="F111" s="526"/>
      <c r="G111" s="526"/>
      <c r="H111" s="396"/>
      <c r="I111" s="379"/>
      <c r="J111" s="717"/>
      <c r="K111" s="396"/>
      <c r="L111" s="718"/>
      <c r="M111" s="379"/>
      <c r="N111" s="379"/>
      <c r="O111" s="379"/>
    </row>
    <row r="112" spans="1:15" x14ac:dyDescent="0.2">
      <c r="A112" s="379"/>
      <c r="B112" s="379"/>
      <c r="C112" s="379"/>
      <c r="D112" s="379"/>
      <c r="E112" s="717"/>
      <c r="F112" s="526"/>
      <c r="G112" s="526"/>
      <c r="H112" s="396"/>
      <c r="I112" s="379"/>
      <c r="J112" s="717"/>
      <c r="K112" s="396"/>
      <c r="L112" s="718"/>
      <c r="M112" s="379"/>
      <c r="N112" s="379"/>
      <c r="O112" s="379"/>
    </row>
    <row r="113" spans="1:15" ht="15.75" x14ac:dyDescent="0.25">
      <c r="A113" s="530" t="s">
        <v>204</v>
      </c>
      <c r="B113" s="531"/>
      <c r="C113" s="531"/>
      <c r="D113" s="531"/>
      <c r="E113" s="530" t="s">
        <v>513</v>
      </c>
      <c r="F113" s="532"/>
      <c r="G113" s="532"/>
      <c r="H113" s="531"/>
      <c r="I113" s="532" t="s">
        <v>532</v>
      </c>
      <c r="J113" s="533"/>
      <c r="K113" s="533"/>
      <c r="L113" s="534"/>
      <c r="M113" s="379"/>
      <c r="N113" s="535" t="s">
        <v>162</v>
      </c>
      <c r="O113" s="390"/>
    </row>
    <row r="114" spans="1:15" ht="15.75" x14ac:dyDescent="0.3">
      <c r="A114" s="503"/>
      <c r="B114" s="511" t="s">
        <v>1043</v>
      </c>
      <c r="C114" s="593">
        <v>1</v>
      </c>
      <c r="D114" s="495" t="s">
        <v>645</v>
      </c>
      <c r="E114" s="553">
        <f>E71*C114</f>
        <v>156318.62399999998</v>
      </c>
      <c r="F114" s="499" t="s">
        <v>654</v>
      </c>
      <c r="G114" s="499"/>
      <c r="H114" s="495"/>
      <c r="I114" s="492" t="s">
        <v>746</v>
      </c>
      <c r="J114" s="514"/>
      <c r="K114" s="514"/>
      <c r="L114" s="537"/>
      <c r="M114" s="379"/>
      <c r="N114" s="554" t="s">
        <v>975</v>
      </c>
      <c r="O114" s="390"/>
    </row>
    <row r="115" spans="1:15" ht="15.75" x14ac:dyDescent="0.3">
      <c r="A115" s="503"/>
      <c r="B115" s="495"/>
      <c r="C115" s="495"/>
      <c r="D115" s="495"/>
      <c r="E115" s="505">
        <f>E72*C114</f>
        <v>0.51939999999999997</v>
      </c>
      <c r="F115" s="506" t="s">
        <v>200</v>
      </c>
      <c r="G115" s="506"/>
      <c r="H115" s="495"/>
      <c r="I115" s="539" t="s">
        <v>1053</v>
      </c>
      <c r="J115" s="539" t="s">
        <v>1054</v>
      </c>
      <c r="K115" s="539" t="s">
        <v>1055</v>
      </c>
      <c r="L115" s="540" t="s">
        <v>1056</v>
      </c>
      <c r="M115" s="379"/>
      <c r="N115" s="501" t="s">
        <v>1056</v>
      </c>
      <c r="O115" s="390"/>
    </row>
    <row r="116" spans="1:15" x14ac:dyDescent="0.2">
      <c r="A116" s="503"/>
      <c r="B116" s="511" t="s">
        <v>498</v>
      </c>
      <c r="C116" s="495"/>
      <c r="D116" s="495"/>
      <c r="E116" s="505"/>
      <c r="F116" s="506"/>
      <c r="G116" s="506"/>
      <c r="H116" s="495"/>
      <c r="I116" s="539"/>
      <c r="J116" s="539"/>
      <c r="K116" s="539"/>
      <c r="L116" s="540"/>
      <c r="M116" s="379"/>
      <c r="N116" s="541"/>
      <c r="O116" s="390"/>
    </row>
    <row r="117" spans="1:15" ht="15.75" x14ac:dyDescent="0.3">
      <c r="A117" s="503"/>
      <c r="B117" s="495" t="s">
        <v>159</v>
      </c>
      <c r="C117" s="595">
        <v>150</v>
      </c>
      <c r="D117" s="495" t="s">
        <v>510</v>
      </c>
      <c r="E117" s="543">
        <f>(C117*E115)/(VLOOKUP($B114,'Standard values'!$C$9:$S$162,14, FALSE))/1000</f>
        <v>2.1056756756756756E-3</v>
      </c>
      <c r="F117" s="495" t="s">
        <v>245</v>
      </c>
      <c r="G117" s="495"/>
      <c r="H117" s="495"/>
      <c r="I117" s="544">
        <f>$E117*VLOOKUP($B117,'Standard values'!$C$9:$S$162,15, FALSE)*VLOOKUP(C118,'Standard values'!$C$9:$S$162,7, FALSE)/$E$266</f>
        <v>0.37546425457715782</v>
      </c>
      <c r="J117" s="544">
        <f>$E117*((VLOOKUP($B117,'Standard values'!$C$9:$S$162,15, FALSE)*VLOOKUP(C118,'Standard values'!$C$9:$S$162,8, FALSE))+VLOOKUP($B117,'Standard values'!$C$9:$S$162,16, FALSE))/$E$266</f>
        <v>2.1251089799476896E-5</v>
      </c>
      <c r="K117" s="544">
        <f>$E117*((VLOOKUP($B117,'Standard values'!$C$9:$S$162,15, FALSE)*VLOOKUP(C118,'Standard values'!$C$9:$S$162,9, FALSE))+VLOOKUP($B117,'Standard values'!$C$9:$S$162,17, FALSE))/$E$266</f>
        <v>0</v>
      </c>
      <c r="L117" s="419">
        <f>I117*'Standard values'!$D$10+J117*'Standard values'!$D$11+K117*'Standard values'!$D$12</f>
        <v>0.37599553182214474</v>
      </c>
      <c r="M117" s="379"/>
      <c r="N117" s="561">
        <f>L117/$E$73</f>
        <v>13.269749999999998</v>
      </c>
      <c r="O117" s="390"/>
    </row>
    <row r="118" spans="1:15" x14ac:dyDescent="0.2">
      <c r="A118" s="503"/>
      <c r="B118" s="546" t="s">
        <v>54</v>
      </c>
      <c r="C118" s="673" t="s">
        <v>509</v>
      </c>
      <c r="D118" s="495"/>
      <c r="E118" s="543"/>
      <c r="F118" s="495"/>
      <c r="G118" s="495"/>
      <c r="H118" s="495"/>
      <c r="I118" s="544"/>
      <c r="J118" s="544"/>
      <c r="K118" s="544"/>
      <c r="L118" s="419"/>
      <c r="M118" s="379"/>
      <c r="N118" s="561"/>
      <c r="O118" s="390"/>
    </row>
    <row r="119" spans="1:15" ht="29.25" customHeight="1" x14ac:dyDescent="0.3">
      <c r="A119" s="503"/>
      <c r="B119" s="745" t="s">
        <v>181</v>
      </c>
      <c r="C119" s="595">
        <v>10186</v>
      </c>
      <c r="D119" s="495" t="s">
        <v>510</v>
      </c>
      <c r="E119" s="543">
        <f>(C119*E115)/(VLOOKUP($B114,'Standard values'!$C$9:$S$162,14, FALSE))/1000</f>
        <v>0.14298941621621622</v>
      </c>
      <c r="F119" s="495" t="s">
        <v>245</v>
      </c>
      <c r="G119" s="495"/>
      <c r="H119" s="495"/>
      <c r="I119" s="544">
        <f>$E119*VLOOKUP($B119,'Standard values'!$C$9:$S$162,15, FALSE)*VLOOKUP(C120,'Standard values'!$C$9:$S$162,7, FALSE)/$E$266</f>
        <v>3.1167433619529206</v>
      </c>
      <c r="J119" s="544">
        <f>$E119*((VLOOKUP($B119,'Standard values'!$C$9:$S$162,15, FALSE)*VLOOKUP(C120,'Standard values'!$C$9:$S$162,8, FALSE))+VLOOKUP($B119,'Standard values'!$C$9:$S$162,16, FALSE))/$E$266</f>
        <v>0</v>
      </c>
      <c r="K119" s="544">
        <f>$E119*((VLOOKUP($B119,'Standard values'!$C$9:$S$162,15, FALSE)*VLOOKUP(C120,'Standard values'!$C$9:$S$162,9, FALSE))+VLOOKUP($B119,'Standard values'!$C$9:$S$162,17, FALSE))/$E$266</f>
        <v>0</v>
      </c>
      <c r="L119" s="419">
        <f>I119*'Standard values'!$D$10+J119*'Standard values'!$D$11+K119*'Standard values'!$D$12</f>
        <v>3.1167433619529206</v>
      </c>
      <c r="M119" s="379"/>
      <c r="N119" s="561">
        <f>L119/$E$73</f>
        <v>109.99706572799998</v>
      </c>
      <c r="O119" s="390"/>
    </row>
    <row r="120" spans="1:15" x14ac:dyDescent="0.2">
      <c r="A120" s="503"/>
      <c r="B120" s="546" t="s">
        <v>54</v>
      </c>
      <c r="C120" s="719" t="s">
        <v>627</v>
      </c>
      <c r="D120" s="719"/>
      <c r="E120" s="543"/>
      <c r="F120" s="495"/>
      <c r="G120" s="495"/>
      <c r="H120" s="495"/>
      <c r="I120" s="544"/>
      <c r="J120" s="544"/>
      <c r="K120" s="544"/>
      <c r="L120" s="419"/>
      <c r="M120" s="379"/>
      <c r="N120" s="561"/>
      <c r="O120" s="390"/>
    </row>
    <row r="121" spans="1:15" x14ac:dyDescent="0.2">
      <c r="A121" s="503"/>
      <c r="B121" s="511" t="s">
        <v>217</v>
      </c>
      <c r="C121" s="689"/>
      <c r="D121" s="495"/>
      <c r="E121" s="503"/>
      <c r="F121" s="495"/>
      <c r="G121" s="495"/>
      <c r="H121" s="495"/>
      <c r="I121" s="544"/>
      <c r="J121" s="544"/>
      <c r="K121" s="544"/>
      <c r="L121" s="562"/>
      <c r="M121" s="379"/>
      <c r="N121" s="561"/>
      <c r="O121" s="379"/>
    </row>
    <row r="122" spans="1:15" ht="15.75" x14ac:dyDescent="0.3">
      <c r="A122" s="590"/>
      <c r="B122" s="1301" t="s">
        <v>239</v>
      </c>
      <c r="C122" s="595">
        <v>8.4000000000000003E-4</v>
      </c>
      <c r="D122" s="495" t="s">
        <v>644</v>
      </c>
      <c r="E122" s="503"/>
      <c r="F122" s="495"/>
      <c r="G122" s="495"/>
      <c r="H122" s="495"/>
      <c r="I122" s="544">
        <f>$C122*$E$198*VLOOKUP($B122,'Standard values'!$C$9:$S$162,7, FALSE)/$E$266</f>
        <v>9.6163200000000018E-2</v>
      </c>
      <c r="J122" s="544">
        <f>$C122*$E$198*VLOOKUP($B122,'Standard values'!$C$9:$S$162,8, FALSE)/$E$266</f>
        <v>3.0902412121212159E-4</v>
      </c>
      <c r="K122" s="544">
        <f>$C122*$E$198*VLOOKUP($B122,'Standard values'!$C$9:$S$162,9, FALSE)/$E$266</f>
        <v>4.1870606060606058E-6</v>
      </c>
      <c r="L122" s="419">
        <f>I122*'Standard values'!$D$10+J122*'Standard values'!$D$11+K122*'Standard values'!$D$12</f>
        <v>0.10513654709090911</v>
      </c>
      <c r="M122" s="379"/>
      <c r="N122" s="561">
        <f>L122/$E$73</f>
        <v>3.710511369639161</v>
      </c>
      <c r="O122" s="379"/>
    </row>
    <row r="123" spans="1:15" x14ac:dyDescent="0.2">
      <c r="A123" s="503"/>
      <c r="B123" s="511" t="s">
        <v>216</v>
      </c>
      <c r="C123" s="495"/>
      <c r="D123" s="495"/>
      <c r="E123" s="503"/>
      <c r="F123" s="495"/>
      <c r="G123" s="495"/>
      <c r="H123" s="548"/>
      <c r="I123" s="544"/>
      <c r="J123" s="544"/>
      <c r="K123" s="544"/>
      <c r="L123" s="419"/>
      <c r="M123" s="379"/>
      <c r="N123" s="561"/>
      <c r="O123" s="390"/>
    </row>
    <row r="124" spans="1:15" ht="15.75" x14ac:dyDescent="0.3">
      <c r="A124" s="503"/>
      <c r="B124" s="1301" t="s">
        <v>49</v>
      </c>
      <c r="C124" s="542">
        <v>8.4000000000000003E-4</v>
      </c>
      <c r="D124" s="495" t="s">
        <v>644</v>
      </c>
      <c r="E124" s="503"/>
      <c r="F124" s="495"/>
      <c r="G124" s="495"/>
      <c r="H124" s="548"/>
      <c r="I124" s="544">
        <f>$C124*$E$198*VLOOKUP($B124,'Standard values'!$C$9:$S$162,7, FALSE)/$E$266</f>
        <v>0.10146738000000001</v>
      </c>
      <c r="J124" s="544">
        <f>$C124*$E$198*VLOOKUP($B124,'Standard values'!$C$9:$S$162,8, FALSE)/$E$266</f>
        <v>2.4744999999999997E-4</v>
      </c>
      <c r="K124" s="544">
        <f>$C124*$E$198*VLOOKUP($B124,'Standard values'!$C$9:$S$162,9, FALSE)/$E$266</f>
        <v>4.5966666666666661E-6</v>
      </c>
      <c r="L124" s="419">
        <f>I124*'Standard values'!$D$10+J124*'Standard values'!$D$11+K124*'Standard values'!$D$12</f>
        <v>0.10902343666666668</v>
      </c>
      <c r="M124" s="379"/>
      <c r="N124" s="561">
        <f>L124/$E$73</f>
        <v>3.8476886725128203</v>
      </c>
      <c r="O124" s="390"/>
    </row>
    <row r="125" spans="1:15" x14ac:dyDescent="0.2">
      <c r="A125" s="503"/>
      <c r="B125" s="499"/>
      <c r="C125" s="495"/>
      <c r="D125" s="495"/>
      <c r="E125" s="503"/>
      <c r="F125" s="495"/>
      <c r="G125" s="495"/>
      <c r="H125" s="514" t="s">
        <v>1047</v>
      </c>
      <c r="I125" s="583">
        <f>SUM(I117:I124)</f>
        <v>3.6898381965300779</v>
      </c>
      <c r="J125" s="583">
        <f>SUM(J117:J124)</f>
        <v>5.7772521101159846E-4</v>
      </c>
      <c r="K125" s="583">
        <f>SUM(K117:K124)</f>
        <v>8.7837272727272711E-6</v>
      </c>
      <c r="L125" s="516">
        <f>I125*'Standard values'!$D$10+J125*'Standard values'!$D$11+K125*'Standard values'!$D$12</f>
        <v>3.7068988775326406</v>
      </c>
      <c r="M125" s="379"/>
      <c r="N125" s="545">
        <f>L125/$E$73</f>
        <v>130.82501577015194</v>
      </c>
      <c r="O125" s="390"/>
    </row>
    <row r="126" spans="1:15" x14ac:dyDescent="0.2">
      <c r="A126" s="503"/>
      <c r="B126" s="495"/>
      <c r="C126" s="495"/>
      <c r="D126" s="495"/>
      <c r="E126" s="503"/>
      <c r="F126" s="495"/>
      <c r="G126" s="495"/>
      <c r="H126" s="548"/>
      <c r="I126" s="544"/>
      <c r="J126" s="544"/>
      <c r="K126" s="544"/>
      <c r="L126" s="516"/>
      <c r="M126" s="379"/>
      <c r="N126" s="390"/>
      <c r="O126" s="390"/>
    </row>
    <row r="127" spans="1:15" ht="14.25" x14ac:dyDescent="0.25">
      <c r="A127" s="519"/>
      <c r="B127" s="520"/>
      <c r="C127" s="520"/>
      <c r="D127" s="520"/>
      <c r="E127" s="519"/>
      <c r="F127" s="521"/>
      <c r="G127" s="521"/>
      <c r="H127" s="521" t="s">
        <v>534</v>
      </c>
      <c r="I127" s="520"/>
      <c r="J127" s="523" t="s">
        <v>747</v>
      </c>
      <c r="K127" s="549"/>
      <c r="L127" s="525">
        <f>L125</f>
        <v>3.7068988775326406</v>
      </c>
      <c r="M127" s="379"/>
      <c r="N127" s="390"/>
      <c r="O127" s="390"/>
    </row>
    <row r="128" spans="1:15" x14ac:dyDescent="0.2">
      <c r="A128" s="390"/>
      <c r="B128" s="390"/>
      <c r="C128" s="390"/>
      <c r="D128" s="379"/>
      <c r="E128" s="379"/>
      <c r="F128" s="551"/>
      <c r="G128" s="551"/>
      <c r="H128" s="437"/>
      <c r="I128" s="378"/>
      <c r="J128" s="379"/>
      <c r="K128" s="379"/>
      <c r="L128" s="586"/>
      <c r="M128" s="379"/>
      <c r="N128" s="379"/>
      <c r="O128" s="379"/>
    </row>
    <row r="129" spans="1:15" x14ac:dyDescent="0.2">
      <c r="A129" s="390"/>
      <c r="B129" s="390"/>
      <c r="C129" s="390"/>
      <c r="D129" s="379"/>
      <c r="E129" s="379"/>
      <c r="F129" s="551"/>
      <c r="G129" s="551"/>
      <c r="H129" s="437"/>
      <c r="I129" s="378"/>
      <c r="J129" s="379"/>
      <c r="K129" s="379"/>
      <c r="L129" s="586"/>
      <c r="M129" s="379"/>
      <c r="N129" s="379"/>
      <c r="O129" s="379"/>
    </row>
    <row r="130" spans="1:15" ht="15.75" x14ac:dyDescent="0.25">
      <c r="A130" s="530" t="s">
        <v>642</v>
      </c>
      <c r="B130" s="531"/>
      <c r="C130" s="531"/>
      <c r="D130" s="531"/>
      <c r="E130" s="530" t="s">
        <v>513</v>
      </c>
      <c r="F130" s="532"/>
      <c r="G130" s="532"/>
      <c r="H130" s="531"/>
      <c r="I130" s="532" t="s">
        <v>532</v>
      </c>
      <c r="J130" s="533"/>
      <c r="K130" s="533"/>
      <c r="L130" s="534"/>
      <c r="M130" s="379"/>
      <c r="N130" s="535" t="s">
        <v>162</v>
      </c>
      <c r="O130" s="379"/>
    </row>
    <row r="131" spans="1:15" x14ac:dyDescent="0.2">
      <c r="A131" s="503"/>
      <c r="B131" s="511" t="s">
        <v>524</v>
      </c>
      <c r="C131" s="495"/>
      <c r="D131" s="495"/>
      <c r="E131" s="553"/>
      <c r="F131" s="499"/>
      <c r="G131" s="499"/>
      <c r="H131" s="495"/>
      <c r="I131" s="492" t="s">
        <v>746</v>
      </c>
      <c r="J131" s="514"/>
      <c r="K131" s="514"/>
      <c r="L131" s="537"/>
      <c r="M131" s="379"/>
      <c r="N131" s="554" t="s">
        <v>976</v>
      </c>
      <c r="O131" s="379"/>
    </row>
    <row r="132" spans="1:15" ht="15.75" x14ac:dyDescent="0.3">
      <c r="A132" s="503"/>
      <c r="B132" s="495" t="s">
        <v>1043</v>
      </c>
      <c r="C132" s="593">
        <v>0.96</v>
      </c>
      <c r="D132" s="495" t="s">
        <v>645</v>
      </c>
      <c r="E132" s="553">
        <f>E114*C132</f>
        <v>150065.87903999997</v>
      </c>
      <c r="F132" s="499" t="s">
        <v>654</v>
      </c>
      <c r="G132" s="499"/>
      <c r="H132" s="495"/>
      <c r="I132" s="539" t="s">
        <v>1053</v>
      </c>
      <c r="J132" s="539" t="s">
        <v>1054</v>
      </c>
      <c r="K132" s="539" t="s">
        <v>1055</v>
      </c>
      <c r="L132" s="540" t="s">
        <v>1056</v>
      </c>
      <c r="M132" s="379"/>
      <c r="N132" s="540" t="s">
        <v>1056</v>
      </c>
      <c r="O132" s="379"/>
    </row>
    <row r="133" spans="1:15" ht="15.75" x14ac:dyDescent="0.3">
      <c r="A133" s="563"/>
      <c r="B133" s="506"/>
      <c r="C133" s="564"/>
      <c r="D133" s="506"/>
      <c r="E133" s="505">
        <f>C132*E115</f>
        <v>0.49862399999999996</v>
      </c>
      <c r="F133" s="506" t="s">
        <v>200</v>
      </c>
      <c r="G133" s="506"/>
      <c r="H133" s="495"/>
      <c r="I133" s="495"/>
      <c r="J133" s="495"/>
      <c r="K133" s="495"/>
      <c r="L133" s="541"/>
      <c r="M133" s="379"/>
      <c r="N133" s="541"/>
      <c r="O133" s="379"/>
    </row>
    <row r="134" spans="1:15" ht="15.75" x14ac:dyDescent="0.3">
      <c r="A134" s="563"/>
      <c r="B134" s="511" t="s">
        <v>525</v>
      </c>
      <c r="C134" s="495"/>
      <c r="D134" s="506"/>
      <c r="E134" s="557">
        <f>E132/$E$265/VLOOKUP($B132,'Standard values'!$C$9:$S$162,14, FALSE)</f>
        <v>2.7201394943330431E-2</v>
      </c>
      <c r="F134" s="499" t="s">
        <v>978</v>
      </c>
      <c r="G134" s="499"/>
      <c r="H134" s="495"/>
      <c r="I134" s="495"/>
      <c r="J134" s="495"/>
      <c r="K134" s="495"/>
      <c r="L134" s="541"/>
      <c r="M134" s="379"/>
      <c r="N134" s="562"/>
      <c r="O134" s="379"/>
    </row>
    <row r="135" spans="1:15" ht="15.75" x14ac:dyDescent="0.3">
      <c r="A135" s="503"/>
      <c r="B135" s="1301" t="s">
        <v>50</v>
      </c>
      <c r="C135" s="676">
        <f>1.4*0.0006</f>
        <v>8.3999999999999993E-4</v>
      </c>
      <c r="D135" s="495" t="s">
        <v>644</v>
      </c>
      <c r="E135" s="513"/>
      <c r="F135" s="495"/>
      <c r="G135" s="495"/>
      <c r="H135" s="495"/>
      <c r="I135" s="544">
        <f>$C135*$E$133*VLOOKUP($B135,'Standard values'!$C$9:$S$162,7, FALSE)/$E$266</f>
        <v>0.10091108593548385</v>
      </c>
      <c r="J135" s="544">
        <f>$C135*$E$133*VLOOKUP($B135,'Standard values'!$C$9:$S$162,8, FALSE)/$E$266</f>
        <v>2.4608748387096774E-4</v>
      </c>
      <c r="K135" s="544">
        <f>$C135*$E$133*VLOOKUP($B135,'Standard values'!$C$9:$S$162,9, FALSE)/$E$266</f>
        <v>4.5558709677419349E-6</v>
      </c>
      <c r="L135" s="419">
        <f>I135*'Standard values'!$D$10+J135*'Standard values'!$D$11+K135*'Standard values'!$D$12</f>
        <v>0.10842092258064515</v>
      </c>
      <c r="M135" s="379"/>
      <c r="N135" s="561">
        <f>L135/$E$134</f>
        <v>3.9858589166666656</v>
      </c>
      <c r="O135" s="379"/>
    </row>
    <row r="136" spans="1:15" ht="15.75" x14ac:dyDescent="0.3">
      <c r="A136" s="503"/>
      <c r="B136" s="495" t="s">
        <v>827</v>
      </c>
      <c r="C136" s="675">
        <f>1.4*0.00822222222222222</f>
        <v>1.1511111111111106E-2</v>
      </c>
      <c r="D136" s="495" t="s">
        <v>644</v>
      </c>
      <c r="E136" s="503"/>
      <c r="F136" s="495"/>
      <c r="G136" s="495"/>
      <c r="H136" s="495"/>
      <c r="I136" s="544"/>
      <c r="J136" s="544"/>
      <c r="K136" s="544"/>
      <c r="L136" s="419"/>
      <c r="M136" s="379"/>
      <c r="N136" s="561"/>
      <c r="O136" s="379"/>
    </row>
    <row r="137" spans="1:15" x14ac:dyDescent="0.2">
      <c r="A137" s="503"/>
      <c r="B137" s="571" t="s">
        <v>729</v>
      </c>
      <c r="C137" s="566"/>
      <c r="D137" s="566"/>
      <c r="E137" s="567"/>
      <c r="F137" s="568"/>
      <c r="G137" s="568"/>
      <c r="H137" s="568"/>
      <c r="I137" s="569" t="s">
        <v>830</v>
      </c>
      <c r="J137" s="568"/>
      <c r="K137" s="568"/>
      <c r="L137" s="688"/>
      <c r="M137" s="379"/>
      <c r="N137" s="561"/>
      <c r="O137" s="379"/>
    </row>
    <row r="138" spans="1:15" ht="15.75" x14ac:dyDescent="0.3">
      <c r="A138" s="503"/>
      <c r="B138" s="679" t="s">
        <v>826</v>
      </c>
      <c r="C138" s="573"/>
      <c r="D138" s="566"/>
      <c r="E138" s="567"/>
      <c r="F138" s="568"/>
      <c r="G138" s="568"/>
      <c r="H138" s="568"/>
      <c r="I138" s="574">
        <f>$C136*$E$133*VLOOKUP($B138,'Standard values'!$C$9:$S$159,7, FALSE)/$E$266</f>
        <v>0</v>
      </c>
      <c r="J138" s="574">
        <f>$C136*$E$133*VLOOKUP($B138,'Standard values'!$C$9:$S$159,8, FALSE)/$E$266</f>
        <v>3.2181600955794489E-5</v>
      </c>
      <c r="K138" s="574">
        <f>$C136*$E$133*VLOOKUP($B138,'Standard values'!$C$9:$S$159,9, FALSE)/$E$266</f>
        <v>1.2872640382317794E-5</v>
      </c>
      <c r="L138" s="575">
        <f>I138*'Standard values'!$D$10+J138*'Standard values'!$D$11+K138*'Standard values'!$D$12</f>
        <v>4.6405868578255653E-3</v>
      </c>
      <c r="M138" s="379"/>
      <c r="N138" s="561">
        <f>L138/$E$134</f>
        <v>0.17060106172839495</v>
      </c>
      <c r="O138" s="379"/>
    </row>
    <row r="139" spans="1:15" ht="14.25" x14ac:dyDescent="0.25">
      <c r="A139" s="503"/>
      <c r="B139" s="582" t="s">
        <v>828</v>
      </c>
      <c r="C139" s="536">
        <f>1/0.9</f>
        <v>1.1111111111111112</v>
      </c>
      <c r="D139" s="568" t="s">
        <v>419</v>
      </c>
      <c r="E139" s="567"/>
      <c r="F139" s="568"/>
      <c r="G139" s="568"/>
      <c r="H139" s="568"/>
      <c r="I139" s="574"/>
      <c r="J139" s="581"/>
      <c r="K139" s="581"/>
      <c r="L139" s="575"/>
      <c r="M139" s="379"/>
      <c r="N139" s="561"/>
      <c r="O139" s="379"/>
    </row>
    <row r="140" spans="1:15" ht="29.25" customHeight="1" x14ac:dyDescent="0.3">
      <c r="A140" s="503"/>
      <c r="B140" s="680" t="s">
        <v>158</v>
      </c>
      <c r="C140" s="573">
        <f>C139*C136</f>
        <v>1.2790123456790118E-2</v>
      </c>
      <c r="D140" s="568" t="s">
        <v>644</v>
      </c>
      <c r="E140" s="567"/>
      <c r="F140" s="568"/>
      <c r="G140" s="568"/>
      <c r="H140" s="568"/>
      <c r="I140" s="574">
        <f>$C140*$E$133*VLOOKUP($B140,'Standard values'!$C$9:$S$162,7, FALSE)/$E$266</f>
        <v>0.81051292903225758</v>
      </c>
      <c r="J140" s="574">
        <f>$C140*$E$133*VLOOKUP($B140,'Standard values'!$C$9:$S$162,8, FALSE)/$E$266</f>
        <v>2.5505706624186896E-3</v>
      </c>
      <c r="K140" s="574">
        <f>$C140*$E$133*VLOOKUP($B140,'Standard values'!$C$9:$S$162,9, FALSE)/$E$266</f>
        <v>2.8605867516261768E-6</v>
      </c>
      <c r="L140" s="575">
        <f>I140*'Standard values'!$D$10+J140*'Standard values'!$D$11+K140*'Standard values'!$D$12</f>
        <v>0.87512965044470947</v>
      </c>
      <c r="M140" s="379"/>
      <c r="N140" s="561">
        <f>L140/$E$134</f>
        <v>32.172234264746209</v>
      </c>
      <c r="O140" s="379"/>
    </row>
    <row r="141" spans="1:15" ht="14.25" x14ac:dyDescent="0.25">
      <c r="A141" s="503"/>
      <c r="B141" s="582" t="s">
        <v>829</v>
      </c>
      <c r="C141" s="536">
        <v>0.02</v>
      </c>
      <c r="D141" s="568" t="s">
        <v>419</v>
      </c>
      <c r="E141" s="567"/>
      <c r="F141" s="568"/>
      <c r="G141" s="568"/>
      <c r="H141" s="568"/>
      <c r="I141" s="574"/>
      <c r="J141" s="581"/>
      <c r="K141" s="581"/>
      <c r="L141" s="575"/>
      <c r="M141" s="379"/>
      <c r="N141" s="561"/>
      <c r="O141" s="379"/>
    </row>
    <row r="142" spans="1:15" ht="15.75" x14ac:dyDescent="0.3">
      <c r="A142" s="503"/>
      <c r="B142" s="1301" t="s">
        <v>50</v>
      </c>
      <c r="C142" s="573">
        <f>C141*C136</f>
        <v>2.3022222222222213E-4</v>
      </c>
      <c r="D142" s="568" t="s">
        <v>644</v>
      </c>
      <c r="E142" s="567"/>
      <c r="F142" s="568"/>
      <c r="G142" s="568"/>
      <c r="H142" s="568"/>
      <c r="I142" s="574">
        <f>$C142*$E$133*VLOOKUP($B142,'Standard values'!$C$9:$S$162,7, FALSE)/$E$266</f>
        <v>2.7657112441577047E-2</v>
      </c>
      <c r="J142" s="574">
        <f>$C142*$E$133*VLOOKUP($B142,'Standard values'!$C$9:$S$162,8, FALSE)/$E$266</f>
        <v>6.7446199283154097E-5</v>
      </c>
      <c r="K142" s="574">
        <f>$C142*$E$133*VLOOKUP($B142,'Standard values'!$C$9:$S$162,9, FALSE)/$E$266</f>
        <v>1.2486461170848262E-6</v>
      </c>
      <c r="L142" s="575">
        <f>I142*'Standard values'!$D$10+J142*'Standard values'!$D$11+K142*'Standard values'!$D$12</f>
        <v>2.9715363966547177E-2</v>
      </c>
      <c r="M142" s="379"/>
      <c r="N142" s="561">
        <f>L142/$E$134</f>
        <v>1.0924205919753078</v>
      </c>
      <c r="O142" s="379"/>
    </row>
    <row r="143" spans="1:15" x14ac:dyDescent="0.2">
      <c r="A143" s="503"/>
      <c r="B143" s="495"/>
      <c r="C143" s="499"/>
      <c r="D143" s="495"/>
      <c r="E143" s="503"/>
      <c r="F143" s="495"/>
      <c r="G143" s="495"/>
      <c r="H143" s="495"/>
      <c r="I143" s="544"/>
      <c r="J143" s="544"/>
      <c r="K143" s="544"/>
      <c r="L143" s="419"/>
      <c r="M143" s="379"/>
      <c r="N143" s="561"/>
      <c r="O143" s="379"/>
    </row>
    <row r="144" spans="1:15" x14ac:dyDescent="0.2">
      <c r="A144" s="503"/>
      <c r="B144" s="511" t="s">
        <v>641</v>
      </c>
      <c r="C144" s="499"/>
      <c r="D144" s="495"/>
      <c r="E144" s="503"/>
      <c r="F144" s="495"/>
      <c r="G144" s="495"/>
      <c r="H144" s="495"/>
      <c r="I144" s="544"/>
      <c r="J144" s="544"/>
      <c r="K144" s="544"/>
      <c r="L144" s="419"/>
      <c r="M144" s="379"/>
      <c r="N144" s="561"/>
      <c r="O144" s="379"/>
    </row>
    <row r="145" spans="1:15" ht="15.75" x14ac:dyDescent="0.3">
      <c r="A145" s="503"/>
      <c r="B145" s="674" t="s">
        <v>142</v>
      </c>
      <c r="C145" s="675">
        <f>1.4*0.000166666666666667</f>
        <v>2.3333333333333379E-4</v>
      </c>
      <c r="D145" s="495" t="s">
        <v>646</v>
      </c>
      <c r="E145" s="503"/>
      <c r="F145" s="495"/>
      <c r="G145" s="495"/>
      <c r="H145" s="495"/>
      <c r="I145" s="544">
        <f>$C145*$E$133*VLOOKUP($B145,'Standard values'!$C$9:$S$162,3, FALSE)/$E$266</f>
        <v>4.6263225806451695E-2</v>
      </c>
      <c r="J145" s="544">
        <f>$C145*$E$133*VLOOKUP($B145,'Standard values'!$C$9:$S$162,4, FALSE)/$E$266</f>
        <v>8.759483870967757E-6</v>
      </c>
      <c r="K145" s="544">
        <f>$C145*$E$133*VLOOKUP($B145,'Standard values'!$C$9:$S$162,5, FALSE)/$E$266</f>
        <v>1.4794838709677448E-6</v>
      </c>
      <c r="L145" s="419">
        <f>I145*'Standard values'!$D$10+J145*'Standard values'!$D$11+K145*'Standard values'!$D$12</f>
        <v>4.6923099096774279E-2</v>
      </c>
      <c r="M145" s="379"/>
      <c r="N145" s="561">
        <f>L145/$E$134</f>
        <v>1.7250254700000029</v>
      </c>
      <c r="O145" s="379"/>
    </row>
    <row r="146" spans="1:15" x14ac:dyDescent="0.2">
      <c r="A146" s="503"/>
      <c r="B146" s="682"/>
      <c r="C146" s="499"/>
      <c r="D146" s="499"/>
      <c r="E146" s="681"/>
      <c r="F146" s="495"/>
      <c r="G146" s="495"/>
      <c r="H146" s="514" t="s">
        <v>1047</v>
      </c>
      <c r="I146" s="583">
        <f>SUM(I133:I145)</f>
        <v>0.98534435321577019</v>
      </c>
      <c r="J146" s="583">
        <f>SUM(J133:J145)</f>
        <v>2.9050454303995738E-3</v>
      </c>
      <c r="K146" s="583">
        <f>SUM(K133:K145)</f>
        <v>2.3017228089738479E-5</v>
      </c>
      <c r="L146" s="516">
        <f>I146*'Standard values'!$D$10+J146*'Standard values'!$D$11+K146*'Standard values'!$D$12</f>
        <v>1.0648296229465015</v>
      </c>
      <c r="M146" s="379"/>
      <c r="N146" s="545">
        <f>L146/$E$134</f>
        <v>39.146140305116575</v>
      </c>
      <c r="O146" s="379"/>
    </row>
    <row r="147" spans="1:15" x14ac:dyDescent="0.2">
      <c r="A147" s="503"/>
      <c r="B147" s="682"/>
      <c r="C147" s="499"/>
      <c r="D147" s="499"/>
      <c r="E147" s="503"/>
      <c r="F147" s="495"/>
      <c r="G147" s="495"/>
      <c r="H147" s="495"/>
      <c r="I147" s="495"/>
      <c r="J147" s="495"/>
      <c r="K147" s="495"/>
      <c r="L147" s="541"/>
      <c r="M147" s="379"/>
      <c r="N147" s="390"/>
      <c r="O147" s="379"/>
    </row>
    <row r="148" spans="1:15" ht="14.25" x14ac:dyDescent="0.25">
      <c r="A148" s="519"/>
      <c r="B148" s="520"/>
      <c r="C148" s="520"/>
      <c r="D148" s="520"/>
      <c r="E148" s="519"/>
      <c r="F148" s="521"/>
      <c r="G148" s="521"/>
      <c r="H148" s="521" t="s">
        <v>534</v>
      </c>
      <c r="I148" s="520"/>
      <c r="J148" s="523" t="s">
        <v>747</v>
      </c>
      <c r="K148" s="549"/>
      <c r="L148" s="525">
        <f>L146</f>
        <v>1.0648296229465015</v>
      </c>
      <c r="M148" s="379"/>
      <c r="N148" s="642"/>
      <c r="O148" s="379"/>
    </row>
    <row r="149" spans="1:15" x14ac:dyDescent="0.2">
      <c r="A149" s="390"/>
      <c r="B149" s="390"/>
      <c r="C149" s="390"/>
      <c r="D149" s="379"/>
      <c r="E149" s="379"/>
      <c r="F149" s="551"/>
      <c r="G149" s="551"/>
      <c r="H149" s="437"/>
      <c r="I149" s="378"/>
      <c r="J149" s="379"/>
      <c r="K149" s="379"/>
      <c r="L149" s="586"/>
      <c r="M149" s="379"/>
      <c r="N149" s="379"/>
      <c r="O149" s="379"/>
    </row>
    <row r="150" spans="1:15" x14ac:dyDescent="0.2">
      <c r="A150" s="390"/>
      <c r="B150" s="390"/>
      <c r="C150" s="390"/>
      <c r="D150" s="390"/>
      <c r="E150" s="390"/>
      <c r="F150" s="390"/>
      <c r="G150" s="390"/>
      <c r="H150" s="390"/>
      <c r="I150" s="529"/>
      <c r="J150" s="529"/>
      <c r="K150" s="529"/>
      <c r="L150" s="529"/>
      <c r="M150" s="379"/>
      <c r="N150" s="390"/>
      <c r="O150" s="379"/>
    </row>
    <row r="151" spans="1:15" ht="15.75" x14ac:dyDescent="0.25">
      <c r="A151" s="530" t="s">
        <v>1212</v>
      </c>
      <c r="B151" s="531"/>
      <c r="C151" s="531"/>
      <c r="D151" s="531"/>
      <c r="E151" s="530" t="s">
        <v>513</v>
      </c>
      <c r="F151" s="532"/>
      <c r="G151" s="532"/>
      <c r="H151" s="531"/>
      <c r="I151" s="532" t="s">
        <v>532</v>
      </c>
      <c r="J151" s="533"/>
      <c r="K151" s="533"/>
      <c r="L151" s="534"/>
      <c r="M151" s="379"/>
      <c r="N151" s="535" t="s">
        <v>162</v>
      </c>
      <c r="O151" s="379"/>
    </row>
    <row r="152" spans="1:15" ht="15.75" x14ac:dyDescent="0.3">
      <c r="A152" s="503"/>
      <c r="B152" s="511" t="s">
        <v>1043</v>
      </c>
      <c r="C152" s="593">
        <v>1</v>
      </c>
      <c r="D152" s="495" t="s">
        <v>645</v>
      </c>
      <c r="E152" s="553">
        <f>E132*C152</f>
        <v>150065.87903999997</v>
      </c>
      <c r="F152" s="499" t="s">
        <v>654</v>
      </c>
      <c r="G152" s="499"/>
      <c r="H152" s="495"/>
      <c r="I152" s="492" t="s">
        <v>746</v>
      </c>
      <c r="J152" s="514"/>
      <c r="K152" s="514"/>
      <c r="L152" s="537"/>
      <c r="M152" s="379"/>
      <c r="N152" s="554" t="s">
        <v>976</v>
      </c>
      <c r="O152" s="379"/>
    </row>
    <row r="153" spans="1:15" ht="15.75" x14ac:dyDescent="0.3">
      <c r="A153" s="503"/>
      <c r="B153" s="495"/>
      <c r="C153" s="495"/>
      <c r="D153" s="495"/>
      <c r="E153" s="505">
        <f>E133*C152</f>
        <v>0.49862399999999996</v>
      </c>
      <c r="F153" s="506" t="s">
        <v>200</v>
      </c>
      <c r="G153" s="506"/>
      <c r="H153" s="495"/>
      <c r="I153" s="539" t="s">
        <v>1053</v>
      </c>
      <c r="J153" s="539" t="s">
        <v>1054</v>
      </c>
      <c r="K153" s="539" t="s">
        <v>1055</v>
      </c>
      <c r="L153" s="540" t="s">
        <v>1056</v>
      </c>
      <c r="M153" s="379"/>
      <c r="N153" s="540" t="s">
        <v>1056</v>
      </c>
      <c r="O153" s="379"/>
    </row>
    <row r="154" spans="1:15" x14ac:dyDescent="0.2">
      <c r="A154" s="503"/>
      <c r="B154" s="511" t="s">
        <v>498</v>
      </c>
      <c r="C154" s="495"/>
      <c r="D154" s="495"/>
      <c r="E154" s="505"/>
      <c r="F154" s="506"/>
      <c r="G154" s="506"/>
      <c r="H154" s="495"/>
      <c r="I154" s="539"/>
      <c r="J154" s="539"/>
      <c r="K154" s="539"/>
      <c r="L154" s="540"/>
      <c r="M154" s="379"/>
      <c r="N154" s="541"/>
      <c r="O154" s="379"/>
    </row>
    <row r="155" spans="1:15" ht="15.75" x14ac:dyDescent="0.3">
      <c r="A155" s="503"/>
      <c r="B155" s="495" t="s">
        <v>159</v>
      </c>
      <c r="C155" s="595">
        <v>0</v>
      </c>
      <c r="D155" s="495" t="s">
        <v>510</v>
      </c>
      <c r="E155" s="543">
        <f>(C155*E153)/(VLOOKUP($B152,'Standard values'!$C$9:$S$162,14, FALSE))/1000</f>
        <v>0</v>
      </c>
      <c r="F155" s="495" t="s">
        <v>245</v>
      </c>
      <c r="G155" s="495"/>
      <c r="H155" s="495"/>
      <c r="I155" s="544">
        <f>$E155*VLOOKUP($B155,'Standard values'!$C$9:$S$162,15, FALSE)*VLOOKUP(C156,'Standard values'!$C$9:$S$162,7, FALSE)/$E$266</f>
        <v>0</v>
      </c>
      <c r="J155" s="544">
        <f>$E155*((VLOOKUP($B155,'Standard values'!$C$9:$S$162,15, FALSE)*VLOOKUP(C156,'Standard values'!$C$9:$S$162,8, FALSE))+VLOOKUP($B155,'Standard values'!$C$9:$S$162,16, FALSE))/$E$266</f>
        <v>0</v>
      </c>
      <c r="K155" s="544">
        <f>$E155*((VLOOKUP($B155,'Standard values'!$C$9:$S$162,15, FALSE)*VLOOKUP(C156,'Standard values'!$C$9:$S$162,9, FALSE))+VLOOKUP($B155,'Standard values'!$C$9:$S$162,17, FALSE))/$E$266</f>
        <v>0</v>
      </c>
      <c r="L155" s="516">
        <f>I155*'Standard values'!$D$10+J155*'Standard values'!$D$11+K155*'Standard values'!$D$12</f>
        <v>0</v>
      </c>
      <c r="M155" s="379"/>
      <c r="N155" s="545">
        <f>L155/$E$134</f>
        <v>0</v>
      </c>
      <c r="O155" s="379"/>
    </row>
    <row r="156" spans="1:15" x14ac:dyDescent="0.2">
      <c r="A156" s="503"/>
      <c r="B156" s="546" t="s">
        <v>54</v>
      </c>
      <c r="C156" s="673" t="s">
        <v>509</v>
      </c>
      <c r="D156" s="495"/>
      <c r="E156" s="543"/>
      <c r="F156" s="495"/>
      <c r="G156" s="495"/>
      <c r="H156" s="495"/>
      <c r="I156" s="544"/>
      <c r="J156" s="544"/>
      <c r="K156" s="544"/>
      <c r="L156" s="516"/>
      <c r="M156" s="379"/>
      <c r="N156" s="379"/>
      <c r="O156" s="379"/>
    </row>
    <row r="157" spans="1:15" x14ac:dyDescent="0.2">
      <c r="A157" s="503"/>
      <c r="B157" s="495"/>
      <c r="C157" s="495"/>
      <c r="D157" s="495"/>
      <c r="E157" s="503"/>
      <c r="F157" s="495"/>
      <c r="G157" s="495"/>
      <c r="H157" s="548"/>
      <c r="I157" s="544"/>
      <c r="J157" s="544"/>
      <c r="K157" s="544"/>
      <c r="L157" s="516"/>
      <c r="M157" s="379"/>
      <c r="N157" s="390"/>
      <c r="O157" s="379"/>
    </row>
    <row r="158" spans="1:15" ht="14.25" x14ac:dyDescent="0.25">
      <c r="A158" s="519"/>
      <c r="B158" s="520"/>
      <c r="C158" s="520"/>
      <c r="D158" s="520"/>
      <c r="E158" s="519"/>
      <c r="F158" s="521"/>
      <c r="G158" s="521"/>
      <c r="H158" s="521" t="s">
        <v>534</v>
      </c>
      <c r="I158" s="520"/>
      <c r="J158" s="523" t="s">
        <v>747</v>
      </c>
      <c r="K158" s="549"/>
      <c r="L158" s="525">
        <f>L155</f>
        <v>0</v>
      </c>
      <c r="M158" s="379"/>
      <c r="N158" s="390"/>
      <c r="O158" s="379"/>
    </row>
    <row r="159" spans="1:15" x14ac:dyDescent="0.2">
      <c r="A159" s="390"/>
      <c r="B159" s="390"/>
      <c r="C159" s="390"/>
      <c r="D159" s="390"/>
      <c r="E159" s="390"/>
      <c r="F159" s="376"/>
      <c r="G159" s="376"/>
      <c r="H159" s="376"/>
      <c r="I159" s="390"/>
      <c r="J159" s="550"/>
      <c r="K159" s="551"/>
      <c r="L159" s="552"/>
      <c r="M159" s="379"/>
      <c r="N159" s="379"/>
      <c r="O159" s="379"/>
    </row>
    <row r="160" spans="1:15" x14ac:dyDescent="0.2">
      <c r="A160" s="390"/>
      <c r="B160" s="390"/>
      <c r="C160" s="390"/>
      <c r="D160" s="379"/>
      <c r="E160" s="379"/>
      <c r="F160" s="551"/>
      <c r="G160" s="551"/>
      <c r="H160" s="437"/>
      <c r="I160" s="378"/>
      <c r="J160" s="379"/>
      <c r="K160" s="379"/>
      <c r="L160" s="586"/>
      <c r="M160" s="379"/>
      <c r="N160" s="379"/>
      <c r="O160" s="379"/>
    </row>
    <row r="161" spans="1:15" ht="15.75" x14ac:dyDescent="0.25">
      <c r="A161" s="530" t="s">
        <v>647</v>
      </c>
      <c r="B161" s="531"/>
      <c r="C161" s="531"/>
      <c r="D161" s="531"/>
      <c r="E161" s="530" t="s">
        <v>513</v>
      </c>
      <c r="F161" s="532"/>
      <c r="G161" s="532"/>
      <c r="H161" s="531"/>
      <c r="I161" s="532" t="s">
        <v>532</v>
      </c>
      <c r="J161" s="533"/>
      <c r="K161" s="533"/>
      <c r="L161" s="534"/>
      <c r="M161" s="379"/>
      <c r="N161" s="535" t="s">
        <v>162</v>
      </c>
      <c r="O161" s="379"/>
    </row>
    <row r="162" spans="1:15" x14ac:dyDescent="0.2">
      <c r="A162" s="503"/>
      <c r="B162" s="511" t="s">
        <v>524</v>
      </c>
      <c r="C162" s="495"/>
      <c r="D162" s="495"/>
      <c r="E162" s="553"/>
      <c r="F162" s="499"/>
      <c r="G162" s="499"/>
      <c r="H162" s="495"/>
      <c r="I162" s="492" t="s">
        <v>746</v>
      </c>
      <c r="J162" s="514"/>
      <c r="K162" s="514"/>
      <c r="L162" s="537"/>
      <c r="M162" s="379"/>
      <c r="N162" s="554" t="s">
        <v>977</v>
      </c>
      <c r="O162" s="379"/>
    </row>
    <row r="163" spans="1:15" ht="15.75" x14ac:dyDescent="0.3">
      <c r="A163" s="503"/>
      <c r="B163" s="495" t="s">
        <v>1094</v>
      </c>
      <c r="C163" s="675">
        <v>0.99358974358974361</v>
      </c>
      <c r="D163" s="495" t="s">
        <v>649</v>
      </c>
      <c r="E163" s="553">
        <f>E152*C163</f>
        <v>149103.91827692304</v>
      </c>
      <c r="F163" s="499" t="s">
        <v>655</v>
      </c>
      <c r="G163" s="499"/>
      <c r="H163" s="495"/>
      <c r="I163" s="539" t="s">
        <v>1053</v>
      </c>
      <c r="J163" s="539" t="s">
        <v>1054</v>
      </c>
      <c r="K163" s="539" t="s">
        <v>1055</v>
      </c>
      <c r="L163" s="540" t="s">
        <v>1056</v>
      </c>
      <c r="M163" s="379"/>
      <c r="N163" s="540" t="s">
        <v>1056</v>
      </c>
      <c r="O163" s="379"/>
    </row>
    <row r="164" spans="1:15" ht="15.75" x14ac:dyDescent="0.3">
      <c r="A164" s="563"/>
      <c r="B164" s="495" t="s">
        <v>128</v>
      </c>
      <c r="C164" s="664">
        <v>105.6</v>
      </c>
      <c r="D164" s="674" t="s">
        <v>650</v>
      </c>
      <c r="E164" s="505">
        <f>E153*C163</f>
        <v>0.49542769230769229</v>
      </c>
      <c r="F164" s="506" t="s">
        <v>417</v>
      </c>
      <c r="G164" s="506"/>
      <c r="H164" s="495"/>
      <c r="I164" s="495"/>
      <c r="J164" s="495"/>
      <c r="K164" s="495"/>
      <c r="L164" s="541"/>
      <c r="M164" s="379"/>
      <c r="N164" s="541"/>
      <c r="O164" s="379"/>
    </row>
    <row r="165" spans="1:15" ht="15.75" x14ac:dyDescent="0.3">
      <c r="A165" s="563"/>
      <c r="B165" s="506"/>
      <c r="C165" s="564"/>
      <c r="D165" s="506"/>
      <c r="E165" s="557">
        <f>E163/$E$265/VLOOKUP($B163,'Standard values'!$C$9:$S$162,14, FALSE)</f>
        <v>2.6881720430107524E-2</v>
      </c>
      <c r="F165" s="499" t="s">
        <v>587</v>
      </c>
      <c r="G165" s="499"/>
      <c r="H165" s="495"/>
      <c r="I165" s="495"/>
      <c r="J165" s="495"/>
      <c r="K165" s="495"/>
      <c r="L165" s="541"/>
      <c r="M165" s="379"/>
      <c r="N165" s="562"/>
      <c r="O165" s="379"/>
    </row>
    <row r="166" spans="1:15" x14ac:dyDescent="0.2">
      <c r="A166" s="503"/>
      <c r="B166" s="511" t="s">
        <v>525</v>
      </c>
      <c r="C166" s="495"/>
      <c r="D166" s="495"/>
      <c r="E166" s="513"/>
      <c r="F166" s="495"/>
      <c r="G166" s="495"/>
      <c r="H166" s="495"/>
      <c r="I166" s="495"/>
      <c r="J166" s="495"/>
      <c r="K166" s="495"/>
      <c r="L166" s="541"/>
      <c r="M166" s="379"/>
      <c r="N166" s="562"/>
      <c r="O166" s="379"/>
    </row>
    <row r="167" spans="1:15" ht="15.75" x14ac:dyDescent="0.3">
      <c r="A167" s="503"/>
      <c r="B167" s="1301" t="s">
        <v>50</v>
      </c>
      <c r="C167" s="676">
        <f>1.4*0.00290322580645161</f>
        <v>4.0645161290322543E-3</v>
      </c>
      <c r="D167" s="495" t="s">
        <v>651</v>
      </c>
      <c r="E167" s="503"/>
      <c r="F167" s="495"/>
      <c r="G167" s="495"/>
      <c r="H167" s="495"/>
      <c r="I167" s="544">
        <f>$C167*$E$164*VLOOKUP($B167,'Standard values'!$C$9:$S$162,7, FALSE)/$E$266</f>
        <v>0.48514945161290274</v>
      </c>
      <c r="J167" s="544">
        <f>$C167*$E$164*VLOOKUP($B167,'Standard values'!$C$9:$S$162,8, FALSE)/$E$266</f>
        <v>1.1831129032258054E-3</v>
      </c>
      <c r="K167" s="544">
        <f>$C167*$E$164*VLOOKUP($B167,'Standard values'!$C$9:$S$162,9, FALSE)/$E$266</f>
        <v>2.1903225806451594E-5</v>
      </c>
      <c r="L167" s="419">
        <f>I167*'Standard values'!$D$10+J167*'Standard values'!$D$11+K167*'Standard values'!$D$12</f>
        <v>0.52125443548387052</v>
      </c>
      <c r="M167" s="379"/>
      <c r="N167" s="561">
        <f>L167/$E$165</f>
        <v>19.390664999999984</v>
      </c>
      <c r="O167" s="379"/>
    </row>
    <row r="168" spans="1:15" ht="15.75" x14ac:dyDescent="0.3">
      <c r="A168" s="503"/>
      <c r="B168" s="495" t="s">
        <v>827</v>
      </c>
      <c r="C168" s="675">
        <f>1.4*0.0718477788639079</f>
        <v>0.10058689040947107</v>
      </c>
      <c r="D168" s="495" t="s">
        <v>651</v>
      </c>
      <c r="E168" s="503"/>
      <c r="F168" s="495"/>
      <c r="G168" s="495"/>
      <c r="H168" s="495"/>
      <c r="I168" s="544"/>
      <c r="J168" s="544"/>
      <c r="K168" s="544"/>
      <c r="L168" s="419"/>
      <c r="M168" s="379"/>
      <c r="N168" s="562"/>
      <c r="O168" s="379"/>
    </row>
    <row r="169" spans="1:15" x14ac:dyDescent="0.2">
      <c r="A169" s="503"/>
      <c r="B169" s="571" t="s">
        <v>729</v>
      </c>
      <c r="C169" s="566"/>
      <c r="D169" s="566"/>
      <c r="E169" s="567"/>
      <c r="F169" s="568"/>
      <c r="G169" s="568"/>
      <c r="H169" s="568"/>
      <c r="I169" s="569" t="s">
        <v>830</v>
      </c>
      <c r="J169" s="568"/>
      <c r="K169" s="568"/>
      <c r="L169" s="688"/>
      <c r="M169" s="379"/>
      <c r="N169" s="562"/>
      <c r="O169" s="379"/>
    </row>
    <row r="170" spans="1:15" ht="15.75" x14ac:dyDescent="0.3">
      <c r="A170" s="503"/>
      <c r="B170" s="679" t="s">
        <v>826</v>
      </c>
      <c r="C170" s="573"/>
      <c r="D170" s="566"/>
      <c r="E170" s="567"/>
      <c r="F170" s="568"/>
      <c r="G170" s="568"/>
      <c r="H170" s="568"/>
      <c r="I170" s="574">
        <f>$C168*$E$164*VLOOKUP($B170,'Standard values'!$C$9:$S$159,7, FALSE)/$E$266</f>
        <v>0</v>
      </c>
      <c r="J170" s="574">
        <f>$C168*$E$164*VLOOKUP($B170,'Standard values'!$C$9:$S$159,8, FALSE)/$E$266</f>
        <v>2.7940802891519747E-4</v>
      </c>
      <c r="K170" s="574">
        <f>$C168*$E$164*VLOOKUP($B170,'Standard values'!$C$9:$S$159,9, FALSE)/$E$266</f>
        <v>1.1176321156607897E-4</v>
      </c>
      <c r="L170" s="575">
        <f>I170*'Standard values'!$D$10+J170*'Standard values'!$D$11+K170*'Standard values'!$D$12</f>
        <v>4.0290637769571466E-2</v>
      </c>
      <c r="M170" s="379"/>
      <c r="N170" s="561">
        <f>L170/$E$165</f>
        <v>1.4988117250280588</v>
      </c>
      <c r="O170" s="379"/>
    </row>
    <row r="171" spans="1:15" ht="14.25" x14ac:dyDescent="0.25">
      <c r="A171" s="503"/>
      <c r="B171" s="582" t="s">
        <v>828</v>
      </c>
      <c r="C171" s="536">
        <f>1/0.9</f>
        <v>1.1111111111111112</v>
      </c>
      <c r="D171" s="568" t="s">
        <v>419</v>
      </c>
      <c r="E171" s="567"/>
      <c r="F171" s="568"/>
      <c r="G171" s="568"/>
      <c r="H171" s="568"/>
      <c r="I171" s="574"/>
      <c r="J171" s="581"/>
      <c r="K171" s="581"/>
      <c r="L171" s="575"/>
      <c r="M171" s="379"/>
      <c r="N171" s="562"/>
      <c r="O171" s="379"/>
    </row>
    <row r="172" spans="1:15" ht="29.25" customHeight="1" x14ac:dyDescent="0.3">
      <c r="A172" s="503"/>
      <c r="B172" s="680" t="s">
        <v>158</v>
      </c>
      <c r="C172" s="573">
        <f>C171*C168</f>
        <v>0.11176321156607896</v>
      </c>
      <c r="D172" s="568" t="s">
        <v>651</v>
      </c>
      <c r="E172" s="567"/>
      <c r="F172" s="568"/>
      <c r="G172" s="568"/>
      <c r="H172" s="568"/>
      <c r="I172" s="574">
        <f>$C172*$E$164*VLOOKUP($B172,'Standard values'!$C$9:$S$162,7, FALSE)/$E$266</f>
        <v>7.0370588530465952</v>
      </c>
      <c r="J172" s="574">
        <f>$C172*$E$164*VLOOKUP($B172,'Standard values'!$C$9:$S$162,8, FALSE)/$E$266</f>
        <v>2.2144638558356699E-2</v>
      </c>
      <c r="K172" s="574">
        <f>$C172*$E$164*VLOOKUP($B172,'Standard values'!$C$9:$S$162,9, FALSE)/$E$266</f>
        <v>2.4836269236906438E-5</v>
      </c>
      <c r="L172" s="575">
        <f>I172*'Standard values'!$D$10+J172*'Standard values'!$D$11+K172*'Standard values'!$D$12</f>
        <v>7.598076025238111</v>
      </c>
      <c r="M172" s="379"/>
      <c r="N172" s="561">
        <f>L172/$E$165</f>
        <v>282.64842813885775</v>
      </c>
      <c r="O172" s="379"/>
    </row>
    <row r="173" spans="1:15" ht="14.25" x14ac:dyDescent="0.25">
      <c r="A173" s="503"/>
      <c r="B173" s="582" t="s">
        <v>829</v>
      </c>
      <c r="C173" s="536">
        <v>0.02</v>
      </c>
      <c r="D173" s="568" t="s">
        <v>419</v>
      </c>
      <c r="E173" s="567"/>
      <c r="F173" s="568"/>
      <c r="G173" s="568"/>
      <c r="H173" s="568"/>
      <c r="I173" s="574"/>
      <c r="J173" s="581"/>
      <c r="K173" s="581"/>
      <c r="L173" s="575"/>
      <c r="M173" s="379"/>
      <c r="N173" s="562"/>
      <c r="O173" s="379"/>
    </row>
    <row r="174" spans="1:15" ht="15.75" x14ac:dyDescent="0.3">
      <c r="A174" s="503"/>
      <c r="B174" s="1301" t="s">
        <v>50</v>
      </c>
      <c r="C174" s="573">
        <f>C173*C168</f>
        <v>2.0117378081894212E-3</v>
      </c>
      <c r="D174" s="568" t="s">
        <v>651</v>
      </c>
      <c r="E174" s="567"/>
      <c r="F174" s="568"/>
      <c r="G174" s="568"/>
      <c r="H174" s="568"/>
      <c r="I174" s="574">
        <f>$C174*$E$164*VLOOKUP($B174,'Standard values'!$C$9:$S$162,7, FALSE)/$E$266</f>
        <v>0.2401253835507404</v>
      </c>
      <c r="J174" s="574">
        <f>$C174*$E$164*VLOOKUP($B174,'Standard values'!$C$9:$S$162,8, FALSE)/$E$266</f>
        <v>5.8558334700047076E-4</v>
      </c>
      <c r="K174" s="574">
        <f>$C174*$E$164*VLOOKUP($B174,'Standard values'!$C$9:$S$162,9, FALSE)/$E$266</f>
        <v>1.0841031521909659E-5</v>
      </c>
      <c r="L174" s="575">
        <f>I174*'Standard values'!$D$10+J174*'Standard values'!$D$11+K174*'Standard values'!$D$12</f>
        <v>0.25799559461928123</v>
      </c>
      <c r="M174" s="379"/>
      <c r="N174" s="561">
        <f>L174/$E$165</f>
        <v>9.5974361198372637</v>
      </c>
      <c r="O174" s="379"/>
    </row>
    <row r="175" spans="1:15" x14ac:dyDescent="0.2">
      <c r="A175" s="503"/>
      <c r="B175" s="495"/>
      <c r="C175" s="499"/>
      <c r="D175" s="495"/>
      <c r="E175" s="503"/>
      <c r="F175" s="495"/>
      <c r="G175" s="495"/>
      <c r="H175" s="495"/>
      <c r="I175" s="544"/>
      <c r="J175" s="544"/>
      <c r="K175" s="544"/>
      <c r="L175" s="419"/>
      <c r="M175" s="379"/>
      <c r="N175" s="562"/>
      <c r="O175" s="379"/>
    </row>
    <row r="176" spans="1:15" x14ac:dyDescent="0.2">
      <c r="A176" s="503"/>
      <c r="B176" s="511" t="s">
        <v>641</v>
      </c>
      <c r="C176" s="499"/>
      <c r="D176" s="495"/>
      <c r="E176" s="503"/>
      <c r="F176" s="495"/>
      <c r="G176" s="495"/>
      <c r="H176" s="495"/>
      <c r="I176" s="544"/>
      <c r="J176" s="544"/>
      <c r="K176" s="544"/>
      <c r="L176" s="419"/>
      <c r="M176" s="379"/>
      <c r="N176" s="562"/>
      <c r="O176" s="379"/>
    </row>
    <row r="177" spans="1:15" ht="15.75" x14ac:dyDescent="0.3">
      <c r="A177" s="503"/>
      <c r="B177" s="674" t="s">
        <v>241</v>
      </c>
      <c r="C177" s="738">
        <f>1.4*0.0000456989247311828</f>
        <v>6.3978494623655906E-5</v>
      </c>
      <c r="D177" s="495" t="s">
        <v>652</v>
      </c>
      <c r="E177" s="503"/>
      <c r="F177" s="495"/>
      <c r="G177" s="495"/>
      <c r="H177" s="495"/>
      <c r="I177" s="544">
        <f>$C177*$E$164*VLOOKUP($B177,'Standard values'!$C$9:$S$162,3, FALSE)/$E$266</f>
        <v>0.17760430107526878</v>
      </c>
      <c r="J177" s="544">
        <f>$C177*$E$164*VLOOKUP($B177,'Standard values'!$C$9:$S$162,4, FALSE)/$E$266</f>
        <v>5.7112322580645154E-4</v>
      </c>
      <c r="K177" s="544">
        <f>$C177*$E$164*VLOOKUP($B177,'Standard values'!$C$9:$S$162,5, FALSE)/$E$266</f>
        <v>6.5769892473118271E-6</v>
      </c>
      <c r="L177" s="419">
        <f>I177*'Standard values'!$D$10+J177*'Standard values'!$D$11+K177*'Standard values'!$D$12</f>
        <v>0.19384232451612898</v>
      </c>
      <c r="M177" s="379"/>
      <c r="N177" s="561">
        <f t="shared" ref="N177:N182" si="3">L177/$E$165</f>
        <v>7.210934471999999</v>
      </c>
      <c r="O177" s="379"/>
    </row>
    <row r="178" spans="1:15" ht="15.75" x14ac:dyDescent="0.3">
      <c r="A178" s="503"/>
      <c r="B178" s="674" t="s">
        <v>237</v>
      </c>
      <c r="C178" s="738">
        <f>1.4*0.000537634408602151</f>
        <v>7.5268817204301129E-4</v>
      </c>
      <c r="D178" s="495" t="s">
        <v>652</v>
      </c>
      <c r="E178" s="503"/>
      <c r="F178" s="495"/>
      <c r="G178" s="495"/>
      <c r="H178" s="495"/>
      <c r="I178" s="544">
        <f>$C178*$E$164*VLOOKUP($B178,'Standard values'!$C$9:$S$162,3, FALSE)/$E$266</f>
        <v>0.53996193548387139</v>
      </c>
      <c r="J178" s="544">
        <f>$C178*$E$164*VLOOKUP($B178,'Standard values'!$C$9:$S$162,4, FALSE)/$E$266</f>
        <v>8.4978494623655972E-4</v>
      </c>
      <c r="K178" s="544">
        <f>$C178*$E$164*VLOOKUP($B178,'Standard values'!$C$9:$S$162,5, FALSE)/$E$266</f>
        <v>1.9118279569892487E-5</v>
      </c>
      <c r="L178" s="419">
        <f>I178*'Standard values'!$D$10+J178*'Standard values'!$D$11+K178*'Standard values'!$D$12</f>
        <v>0.56690380645161331</v>
      </c>
      <c r="M178" s="379"/>
      <c r="N178" s="561">
        <f t="shared" si="3"/>
        <v>21.088821600000017</v>
      </c>
      <c r="O178" s="379"/>
    </row>
    <row r="179" spans="1:15" ht="15.75" x14ac:dyDescent="0.3">
      <c r="A179" s="503"/>
      <c r="B179" s="674" t="s">
        <v>648</v>
      </c>
      <c r="C179" s="738">
        <f>1.4*0.0000672043010752688</f>
        <v>9.4086021505376317E-5</v>
      </c>
      <c r="D179" s="495" t="s">
        <v>652</v>
      </c>
      <c r="E179" s="503"/>
      <c r="F179" s="495"/>
      <c r="G179" s="495"/>
      <c r="H179" s="495"/>
      <c r="I179" s="544">
        <f>$C179*$E$164*VLOOKUP($B179,'Standard values'!$C$9:$S$162,3, FALSE)/$E$266</f>
        <v>9.8413978494623619E-2</v>
      </c>
      <c r="J179" s="544">
        <f>$C179*$E$164*VLOOKUP($B179,'Standard values'!$C$9:$S$162,4, FALSE)/$E$266</f>
        <v>5.8333333333333316E-4</v>
      </c>
      <c r="K179" s="544">
        <f>$C179*$E$164*VLOOKUP($B179,'Standard values'!$C$9:$S$162,5, FALSE)/$E$266</f>
        <v>5.174731182795697E-7</v>
      </c>
      <c r="L179" s="419">
        <f>I179*'Standard values'!$D$10+J179*'Standard values'!$D$11+K179*'Standard values'!$D$12</f>
        <v>0.11315151881720426</v>
      </c>
      <c r="M179" s="379"/>
      <c r="N179" s="561">
        <f t="shared" si="3"/>
        <v>4.2092364999999985</v>
      </c>
      <c r="O179" s="379"/>
    </row>
    <row r="180" spans="1:15" ht="15.75" x14ac:dyDescent="0.3">
      <c r="A180" s="503"/>
      <c r="B180" s="674" t="s">
        <v>1107</v>
      </c>
      <c r="C180" s="738">
        <f>1.4*0.000180645161290323</f>
        <v>2.5290322580645222E-4</v>
      </c>
      <c r="D180" s="495" t="s">
        <v>652</v>
      </c>
      <c r="E180" s="503"/>
      <c r="F180" s="495"/>
      <c r="G180" s="495"/>
      <c r="H180" s="495"/>
      <c r="I180" s="544">
        <f>$C180*$E$164*VLOOKUP($B180,'Standard values'!$C$9:$S$162,3, FALSE)/$E$266</f>
        <v>0.1108963447741938</v>
      </c>
      <c r="J180" s="544">
        <f>$C180*$E$164*VLOOKUP($B180,'Standard values'!$C$9:$S$162,4, FALSE)/$E$266</f>
        <v>2.6051561290322639E-4</v>
      </c>
      <c r="K180" s="544">
        <f>$C180*$E$164*VLOOKUP($B180,'Standard values'!$C$9:$S$162,5, FALSE)/$E$266</f>
        <v>6.0696774193548535E-6</v>
      </c>
      <c r="L180" s="419">
        <f>I180*'Standard values'!$D$10+J180*'Standard values'!$D$11+K180*'Standard values'!$D$12</f>
        <v>0.11921799896774221</v>
      </c>
      <c r="M180" s="379"/>
      <c r="N180" s="561">
        <f t="shared" si="3"/>
        <v>4.4349095616000112</v>
      </c>
      <c r="O180" s="379"/>
    </row>
    <row r="181" spans="1:15" ht="15.75" x14ac:dyDescent="0.3">
      <c r="A181" s="503"/>
      <c r="B181" s="674" t="s">
        <v>500</v>
      </c>
      <c r="C181" s="675">
        <f>1.4*0.0584556451612903</f>
        <v>8.1837903225806419E-2</v>
      </c>
      <c r="D181" s="495" t="s">
        <v>651</v>
      </c>
      <c r="E181" s="503"/>
      <c r="F181" s="495"/>
      <c r="G181" s="495"/>
      <c r="H181" s="495"/>
      <c r="I181" s="544">
        <f>$C181*$E$164*VLOOKUP($B181,'Standard values'!$C$9:$S$162,7, FALSE)/$E$266</f>
        <v>7.594348278046593</v>
      </c>
      <c r="J181" s="544">
        <f>$C181*$E$164*VLOOKUP($B181,'Standard values'!$C$9:$S$162,8, FALSE)/$E$266</f>
        <v>2.3735265210573467E-2</v>
      </c>
      <c r="K181" s="544">
        <f>$C181*$E$164*VLOOKUP($B181,'Standard values'!$C$9:$S$162,9, FALSE)/$E$266</f>
        <v>2.7279301075268806E-5</v>
      </c>
      <c r="L181" s="419">
        <f>I181*'Standard values'!$D$10+J181*'Standard values'!$D$11+K181*'Standard values'!$D$12</f>
        <v>8.1958591400313594</v>
      </c>
      <c r="M181" s="379"/>
      <c r="N181" s="561">
        <f t="shared" si="3"/>
        <v>304.88596000916658</v>
      </c>
      <c r="O181" s="379"/>
    </row>
    <row r="182" spans="1:15" x14ac:dyDescent="0.2">
      <c r="A182" s="503"/>
      <c r="B182" s="682"/>
      <c r="C182" s="499"/>
      <c r="D182" s="499"/>
      <c r="E182" s="681"/>
      <c r="F182" s="495"/>
      <c r="G182" s="495"/>
      <c r="H182" s="514" t="s">
        <v>1047</v>
      </c>
      <c r="I182" s="583">
        <f>SUM(I164:I181)</f>
        <v>16.283558526084786</v>
      </c>
      <c r="J182" s="583">
        <f>SUM(J164:J181)</f>
        <v>5.0192765166351211E-2</v>
      </c>
      <c r="K182" s="583">
        <f>SUM(K164:K181)</f>
        <v>2.2890545856145419E-4</v>
      </c>
      <c r="L182" s="516">
        <f>I182*'Standard values'!$D$10+J182*'Standard values'!$D$11+K182*'Standard values'!$D$12</f>
        <v>17.606591481894878</v>
      </c>
      <c r="M182" s="379"/>
      <c r="N182" s="545">
        <f t="shared" si="3"/>
        <v>654.96520312648954</v>
      </c>
      <c r="O182" s="379"/>
    </row>
    <row r="183" spans="1:15" x14ac:dyDescent="0.2">
      <c r="A183" s="503"/>
      <c r="B183" s="682"/>
      <c r="C183" s="499"/>
      <c r="D183" s="499"/>
      <c r="E183" s="503"/>
      <c r="F183" s="495"/>
      <c r="G183" s="495"/>
      <c r="H183" s="495"/>
      <c r="I183" s="495"/>
      <c r="J183" s="495"/>
      <c r="K183" s="495"/>
      <c r="L183" s="541"/>
      <c r="M183" s="379"/>
      <c r="N183" s="390"/>
      <c r="O183" s="379"/>
    </row>
    <row r="184" spans="1:15" ht="14.25" x14ac:dyDescent="0.25">
      <c r="A184" s="519"/>
      <c r="B184" s="520"/>
      <c r="C184" s="520"/>
      <c r="D184" s="520"/>
      <c r="E184" s="519"/>
      <c r="F184" s="521"/>
      <c r="G184" s="521"/>
      <c r="H184" s="521" t="s">
        <v>534</v>
      </c>
      <c r="I184" s="520"/>
      <c r="J184" s="523" t="s">
        <v>747</v>
      </c>
      <c r="K184" s="549"/>
      <c r="L184" s="525">
        <f>L182</f>
        <v>17.606591481894878</v>
      </c>
      <c r="M184" s="379"/>
      <c r="N184" s="642"/>
      <c r="O184" s="379"/>
    </row>
    <row r="185" spans="1:15" x14ac:dyDescent="0.2">
      <c r="A185" s="390"/>
      <c r="B185" s="390"/>
      <c r="C185" s="390"/>
      <c r="D185" s="379"/>
      <c r="E185" s="379"/>
      <c r="F185" s="551"/>
      <c r="G185" s="551"/>
      <c r="H185" s="437"/>
      <c r="I185" s="378"/>
      <c r="J185" s="379"/>
      <c r="K185" s="379"/>
      <c r="L185" s="586"/>
      <c r="M185" s="379"/>
      <c r="N185" s="379"/>
      <c r="O185" s="379"/>
    </row>
    <row r="186" spans="1:15" x14ac:dyDescent="0.2">
      <c r="A186" s="390"/>
      <c r="B186" s="390"/>
      <c r="C186" s="390"/>
      <c r="D186" s="379"/>
      <c r="E186" s="379"/>
      <c r="F186" s="551"/>
      <c r="G186" s="551"/>
      <c r="H186" s="437"/>
      <c r="I186" s="378"/>
      <c r="J186" s="379"/>
      <c r="K186" s="379"/>
      <c r="L186" s="586"/>
      <c r="M186" s="379"/>
      <c r="N186" s="379"/>
      <c r="O186" s="379"/>
    </row>
    <row r="187" spans="1:15" ht="15.75" x14ac:dyDescent="0.25">
      <c r="A187" s="530" t="s">
        <v>1057</v>
      </c>
      <c r="B187" s="531"/>
      <c r="C187" s="531"/>
      <c r="D187" s="531"/>
      <c r="E187" s="608" t="s">
        <v>526</v>
      </c>
      <c r="F187" s="606"/>
      <c r="G187" s="606"/>
      <c r="H187" s="606"/>
      <c r="I187" s="607"/>
      <c r="J187" s="608" t="s">
        <v>747</v>
      </c>
      <c r="K187" s="607"/>
      <c r="L187" s="609">
        <f>L110+L127+L148+L158+L184</f>
        <v>70.474533906743929</v>
      </c>
      <c r="M187" s="379"/>
      <c r="N187" s="390"/>
      <c r="O187" s="390"/>
    </row>
    <row r="188" spans="1:15" ht="15.75" x14ac:dyDescent="0.25">
      <c r="A188" s="610" t="s">
        <v>937</v>
      </c>
      <c r="B188" s="611"/>
      <c r="C188" s="611"/>
      <c r="D188" s="611"/>
      <c r="E188" s="613"/>
      <c r="F188" s="613"/>
      <c r="G188" s="613"/>
      <c r="H188" s="613"/>
      <c r="I188" s="613"/>
      <c r="J188" s="613"/>
      <c r="K188" s="613"/>
      <c r="L188" s="614"/>
      <c r="M188" s="379"/>
      <c r="N188" s="535" t="s">
        <v>162</v>
      </c>
      <c r="O188" s="390"/>
    </row>
    <row r="189" spans="1:15" ht="15.75" x14ac:dyDescent="0.3">
      <c r="A189" s="567"/>
      <c r="B189" s="568"/>
      <c r="C189" s="568"/>
      <c r="D189" s="683"/>
      <c r="E189" s="683"/>
      <c r="F189" s="683"/>
      <c r="G189" s="683"/>
      <c r="H189" s="683" t="s">
        <v>667</v>
      </c>
      <c r="I189" s="684">
        <f>L187</f>
        <v>70.474533906743929</v>
      </c>
      <c r="J189" s="568" t="s">
        <v>321</v>
      </c>
      <c r="K189" s="568"/>
      <c r="L189" s="685"/>
      <c r="M189" s="379"/>
      <c r="N189" s="554" t="s">
        <v>977</v>
      </c>
      <c r="O189" s="390"/>
    </row>
    <row r="190" spans="1:15" ht="15.75" x14ac:dyDescent="0.3">
      <c r="A190" s="567"/>
      <c r="B190" s="568" t="s">
        <v>51</v>
      </c>
      <c r="C190" s="568" t="s">
        <v>1094</v>
      </c>
      <c r="D190" s="568"/>
      <c r="E190" s="683" t="s">
        <v>135</v>
      </c>
      <c r="F190" s="747">
        <f>1*1000*VLOOKUP($C190,'Standard values'!$C$9:$S$162,14, FALSE)</f>
        <v>37200</v>
      </c>
      <c r="G190" s="747"/>
      <c r="H190" s="568" t="s">
        <v>501</v>
      </c>
      <c r="I190" s="574">
        <f>$I$189*F190/F$192</f>
        <v>67.412692887838247</v>
      </c>
      <c r="J190" s="568" t="s">
        <v>321</v>
      </c>
      <c r="K190" s="568"/>
      <c r="L190" s="685"/>
      <c r="M190" s="379"/>
      <c r="N190" s="501" t="s">
        <v>1056</v>
      </c>
      <c r="O190" s="390"/>
    </row>
    <row r="191" spans="1:15" ht="15.75" x14ac:dyDescent="0.3">
      <c r="A191" s="567"/>
      <c r="B191" s="568" t="s">
        <v>123</v>
      </c>
      <c r="C191" s="568" t="s">
        <v>1037</v>
      </c>
      <c r="D191" s="568"/>
      <c r="E191" s="683" t="s">
        <v>663</v>
      </c>
      <c r="F191" s="747">
        <f>C164*VLOOKUP($C191,'Standard values'!$C$9:$S$162,14, FALSE)</f>
        <v>1689.6</v>
      </c>
      <c r="G191" s="747"/>
      <c r="H191" s="568" t="s">
        <v>501</v>
      </c>
      <c r="I191" s="574">
        <f>$I$189*F191/F$192</f>
        <v>3.0618410189056853</v>
      </c>
      <c r="J191" s="568" t="s">
        <v>321</v>
      </c>
      <c r="K191" s="568"/>
      <c r="L191" s="685"/>
      <c r="M191" s="379"/>
      <c r="N191" s="541"/>
      <c r="O191" s="390"/>
    </row>
    <row r="192" spans="1:15" x14ac:dyDescent="0.2">
      <c r="A192" s="567"/>
      <c r="B192" s="568"/>
      <c r="C192" s="568" t="s">
        <v>316</v>
      </c>
      <c r="D192" s="568"/>
      <c r="E192" s="568" t="s">
        <v>533</v>
      </c>
      <c r="F192" s="747">
        <f>SUM(F190:F191)</f>
        <v>38889.599999999999</v>
      </c>
      <c r="G192" s="747"/>
      <c r="H192" s="568" t="s">
        <v>501</v>
      </c>
      <c r="I192" s="568"/>
      <c r="J192" s="568"/>
      <c r="K192" s="568"/>
      <c r="L192" s="685"/>
      <c r="M192" s="379"/>
      <c r="N192" s="562"/>
      <c r="O192" s="390"/>
    </row>
    <row r="193" spans="1:15" ht="14.25" x14ac:dyDescent="0.25">
      <c r="A193" s="519"/>
      <c r="B193" s="520"/>
      <c r="C193" s="520"/>
      <c r="D193" s="520"/>
      <c r="E193" s="523" t="s">
        <v>1058</v>
      </c>
      <c r="F193" s="521"/>
      <c r="G193" s="521"/>
      <c r="H193" s="687"/>
      <c r="I193" s="520"/>
      <c r="J193" s="523" t="s">
        <v>747</v>
      </c>
      <c r="K193" s="687"/>
      <c r="L193" s="525">
        <f>I190</f>
        <v>67.412692887838247</v>
      </c>
      <c r="M193" s="379"/>
      <c r="N193" s="545">
        <f>L193/$E$165</f>
        <v>2507.7521754275831</v>
      </c>
      <c r="O193" s="379"/>
    </row>
    <row r="194" spans="1:15" x14ac:dyDescent="0.2">
      <c r="A194" s="390"/>
      <c r="B194" s="390"/>
      <c r="C194" s="390"/>
      <c r="D194" s="379"/>
      <c r="E194" s="379"/>
      <c r="F194" s="551"/>
      <c r="G194" s="551"/>
      <c r="H194" s="437"/>
      <c r="I194" s="378"/>
      <c r="J194" s="379"/>
      <c r="K194" s="379"/>
      <c r="L194" s="586"/>
      <c r="M194" s="379"/>
      <c r="N194" s="379"/>
      <c r="O194" s="379"/>
    </row>
    <row r="195" spans="1:15" x14ac:dyDescent="0.2">
      <c r="A195" s="375"/>
      <c r="B195" s="585"/>
      <c r="C195" s="386"/>
      <c r="D195" s="390"/>
      <c r="E195" s="379"/>
      <c r="F195" s="379"/>
      <c r="G195" s="379"/>
      <c r="H195" s="379"/>
      <c r="I195" s="379"/>
      <c r="J195" s="591"/>
      <c r="K195" s="379"/>
      <c r="L195" s="379"/>
      <c r="M195" s="379"/>
      <c r="N195" s="379"/>
      <c r="O195" s="379"/>
    </row>
    <row r="196" spans="1:15" ht="15.75" x14ac:dyDescent="0.25">
      <c r="A196" s="530" t="s">
        <v>812</v>
      </c>
      <c r="B196" s="532"/>
      <c r="C196" s="531"/>
      <c r="D196" s="531"/>
      <c r="E196" s="530" t="s">
        <v>513</v>
      </c>
      <c r="F196" s="532"/>
      <c r="G196" s="532"/>
      <c r="H196" s="531"/>
      <c r="I196" s="532" t="s">
        <v>532</v>
      </c>
      <c r="J196" s="533"/>
      <c r="K196" s="533"/>
      <c r="L196" s="534"/>
      <c r="M196" s="379"/>
      <c r="N196" s="535" t="s">
        <v>162</v>
      </c>
      <c r="O196" s="379"/>
    </row>
    <row r="197" spans="1:15" ht="15.75" x14ac:dyDescent="0.3">
      <c r="A197" s="503"/>
      <c r="B197" s="511" t="s">
        <v>1094</v>
      </c>
      <c r="C197" s="593">
        <v>1</v>
      </c>
      <c r="D197" s="495" t="s">
        <v>653</v>
      </c>
      <c r="E197" s="513">
        <f>E163*C197</f>
        <v>149103.91827692304</v>
      </c>
      <c r="F197" s="499" t="s">
        <v>655</v>
      </c>
      <c r="G197" s="499"/>
      <c r="H197" s="594"/>
      <c r="I197" s="492" t="s">
        <v>746</v>
      </c>
      <c r="J197" s="514"/>
      <c r="K197" s="514"/>
      <c r="L197" s="537"/>
      <c r="M197" s="379"/>
      <c r="N197" s="554" t="s">
        <v>977</v>
      </c>
      <c r="O197" s="379"/>
    </row>
    <row r="198" spans="1:15" ht="15.75" x14ac:dyDescent="0.3">
      <c r="A198" s="503"/>
      <c r="B198" s="495"/>
      <c r="C198" s="689"/>
      <c r="D198" s="495"/>
      <c r="E198" s="505">
        <f>E164*C197</f>
        <v>0.49542769230769229</v>
      </c>
      <c r="F198" s="506" t="s">
        <v>417</v>
      </c>
      <c r="G198" s="506"/>
      <c r="H198" s="594"/>
      <c r="I198" s="539" t="s">
        <v>1053</v>
      </c>
      <c r="J198" s="539" t="s">
        <v>1054</v>
      </c>
      <c r="K198" s="539" t="s">
        <v>1055</v>
      </c>
      <c r="L198" s="540" t="s">
        <v>1056</v>
      </c>
      <c r="M198" s="379"/>
      <c r="N198" s="540" t="s">
        <v>1056</v>
      </c>
      <c r="O198" s="379"/>
    </row>
    <row r="199" spans="1:15" x14ac:dyDescent="0.2">
      <c r="A199" s="503"/>
      <c r="B199" s="511" t="s">
        <v>498</v>
      </c>
      <c r="C199" s="689"/>
      <c r="D199" s="495"/>
      <c r="E199" s="513"/>
      <c r="F199" s="495"/>
      <c r="G199" s="495"/>
      <c r="H199" s="495"/>
      <c r="I199" s="495"/>
      <c r="J199" s="495"/>
      <c r="K199" s="495"/>
      <c r="L199" s="541"/>
      <c r="M199" s="379"/>
      <c r="N199" s="541"/>
      <c r="O199" s="379"/>
    </row>
    <row r="200" spans="1:15" ht="15.75" x14ac:dyDescent="0.3">
      <c r="A200" s="503"/>
      <c r="B200" s="495" t="s">
        <v>159</v>
      </c>
      <c r="C200" s="595">
        <v>150</v>
      </c>
      <c r="D200" s="495" t="s">
        <v>510</v>
      </c>
      <c r="E200" s="543">
        <f>(C200*E198/VLOOKUP($B197,'Standard values'!$C$9:$S$162,14, FALSE))/1000</f>
        <v>1.9976923076923075E-3</v>
      </c>
      <c r="F200" s="495" t="s">
        <v>245</v>
      </c>
      <c r="G200" s="495"/>
      <c r="H200" s="495"/>
      <c r="I200" s="544">
        <f>$E200*VLOOKUP($B200,'Standard values'!$C$9:$S$162,15, FALSE)*VLOOKUP(C201,'Standard values'!$C$9:$S$162,7, FALSE)/$E$266</f>
        <v>0.35620967741935478</v>
      </c>
      <c r="J200" s="544">
        <f>$E200*((VLOOKUP($B200,'Standard values'!$C$9:$S$162,15, FALSE)*VLOOKUP(C201,'Standard values'!$C$9:$S$162,8, FALSE))+VLOOKUP($B200,'Standard values'!$C$9:$S$162,16, FALSE))/$E$266</f>
        <v>2.0161290322580645E-5</v>
      </c>
      <c r="K200" s="544">
        <f>$E200*((VLOOKUP($B200,'Standard values'!$C$9:$S$162,15, FALSE)*VLOOKUP(C201,'Standard values'!$C$9:$S$162,9, FALSE))+VLOOKUP($B200,'Standard values'!$C$9:$S$162,17, FALSE))/$E$266</f>
        <v>0</v>
      </c>
      <c r="L200" s="516">
        <f>I200*'Standard values'!$D$10+J200*'Standard values'!$D$11+K200*'Standard values'!$D$12</f>
        <v>0.35671370967741928</v>
      </c>
      <c r="M200" s="379"/>
      <c r="N200" s="562">
        <f>L200/$E$165</f>
        <v>13.269749999999998</v>
      </c>
      <c r="O200" s="379"/>
    </row>
    <row r="201" spans="1:15" x14ac:dyDescent="0.2">
      <c r="A201" s="503"/>
      <c r="B201" s="546" t="s">
        <v>54</v>
      </c>
      <c r="C201" s="673" t="s">
        <v>509</v>
      </c>
      <c r="D201" s="495"/>
      <c r="E201" s="503"/>
      <c r="F201" s="495"/>
      <c r="G201" s="495"/>
      <c r="H201" s="495"/>
      <c r="I201" s="544"/>
      <c r="J201" s="544"/>
      <c r="K201" s="544"/>
      <c r="L201" s="516"/>
      <c r="M201" s="379"/>
      <c r="N201" s="562"/>
      <c r="O201" s="379"/>
    </row>
    <row r="202" spans="1:15" x14ac:dyDescent="0.2">
      <c r="A202" s="503"/>
      <c r="B202" s="495"/>
      <c r="C202" s="689"/>
      <c r="D202" s="495"/>
      <c r="E202" s="543"/>
      <c r="F202" s="495"/>
      <c r="G202" s="495"/>
      <c r="H202" s="495"/>
      <c r="I202" s="544"/>
      <c r="J202" s="544"/>
      <c r="K202" s="544"/>
      <c r="L202" s="516"/>
      <c r="M202" s="379"/>
      <c r="N202" s="562"/>
      <c r="O202" s="379"/>
    </row>
    <row r="203" spans="1:15" x14ac:dyDescent="0.2">
      <c r="A203" s="503"/>
      <c r="B203" s="511" t="s">
        <v>444</v>
      </c>
      <c r="C203" s="689"/>
      <c r="D203" s="495"/>
      <c r="E203" s="503"/>
      <c r="F203" s="495"/>
      <c r="G203" s="495"/>
      <c r="H203" s="495"/>
      <c r="I203" s="544"/>
      <c r="J203" s="544"/>
      <c r="K203" s="544"/>
      <c r="L203" s="584"/>
      <c r="M203" s="379"/>
      <c r="N203" s="562"/>
      <c r="O203" s="379"/>
    </row>
    <row r="204" spans="1:15" ht="15.75" x14ac:dyDescent="0.3">
      <c r="A204" s="590"/>
      <c r="B204" s="1301" t="s">
        <v>49</v>
      </c>
      <c r="C204" s="542">
        <v>8.4000000000000003E-4</v>
      </c>
      <c r="D204" s="495" t="s">
        <v>651</v>
      </c>
      <c r="E204" s="503"/>
      <c r="F204" s="495"/>
      <c r="G204" s="495"/>
      <c r="H204" s="495"/>
      <c r="I204" s="544">
        <f>$C204*$E$198*VLOOKUP($B204,'Standard values'!$C$9:$S$162,7, FALSE)/$E$266</f>
        <v>0.10146738000000001</v>
      </c>
      <c r="J204" s="544">
        <f>$C204*$E$198*VLOOKUP($B204,'Standard values'!$C$9:$S$162,8, FALSE)/$E$266</f>
        <v>2.4744999999999997E-4</v>
      </c>
      <c r="K204" s="544">
        <f>$C204*$E$198*VLOOKUP($B204,'Standard values'!$C$9:$S$162,9, FALSE)/$E$266</f>
        <v>4.5966666666666661E-6</v>
      </c>
      <c r="L204" s="516">
        <f>I204*'Standard values'!$D$10+J204*'Standard values'!$D$11+K204*'Standard values'!$D$12</f>
        <v>0.10902343666666668</v>
      </c>
      <c r="M204" s="379"/>
      <c r="N204" s="562">
        <f>L204/$E$165</f>
        <v>4.0556718440000008</v>
      </c>
      <c r="O204" s="379"/>
    </row>
    <row r="205" spans="1:15" ht="14.25" x14ac:dyDescent="0.25">
      <c r="A205" s="519"/>
      <c r="B205" s="520"/>
      <c r="C205" s="520"/>
      <c r="D205" s="520"/>
      <c r="E205" s="519"/>
      <c r="F205" s="521"/>
      <c r="G205" s="521"/>
      <c r="H205" s="521" t="s">
        <v>534</v>
      </c>
      <c r="I205" s="520"/>
      <c r="J205" s="523" t="s">
        <v>747</v>
      </c>
      <c r="K205" s="549"/>
      <c r="L205" s="525">
        <f>L204+L200</f>
        <v>0.46573714634408597</v>
      </c>
      <c r="M205" s="379"/>
      <c r="N205" s="545">
        <f>L205/$E$165</f>
        <v>17.325421844000001</v>
      </c>
      <c r="O205" s="379"/>
    </row>
    <row r="206" spans="1:15" x14ac:dyDescent="0.2">
      <c r="A206" s="390"/>
      <c r="B206" s="390"/>
      <c r="C206" s="390"/>
      <c r="D206" s="390"/>
      <c r="E206" s="390"/>
      <c r="F206" s="376"/>
      <c r="G206" s="376"/>
      <c r="H206" s="376"/>
      <c r="I206" s="390"/>
      <c r="J206" s="550"/>
      <c r="K206" s="551"/>
      <c r="L206" s="552"/>
      <c r="M206" s="379"/>
      <c r="N206" s="379"/>
      <c r="O206" s="379"/>
    </row>
    <row r="207" spans="1:15" x14ac:dyDescent="0.2">
      <c r="A207" s="390"/>
      <c r="B207" s="390"/>
      <c r="C207" s="390"/>
      <c r="D207" s="390"/>
      <c r="E207" s="390"/>
      <c r="F207" s="376"/>
      <c r="G207" s="376"/>
      <c r="H207" s="376"/>
      <c r="I207" s="390"/>
      <c r="J207" s="550"/>
      <c r="K207" s="551"/>
      <c r="L207" s="552"/>
      <c r="M207" s="379"/>
      <c r="N207" s="379"/>
      <c r="O207" s="379"/>
    </row>
    <row r="208" spans="1:15" ht="15.75" x14ac:dyDescent="0.25">
      <c r="A208" s="530" t="s">
        <v>810</v>
      </c>
      <c r="B208" s="531"/>
      <c r="C208" s="531"/>
      <c r="D208" s="531"/>
      <c r="E208" s="530" t="s">
        <v>513</v>
      </c>
      <c r="F208" s="531"/>
      <c r="G208" s="531"/>
      <c r="H208" s="531"/>
      <c r="I208" s="531"/>
      <c r="J208" s="531"/>
      <c r="K208" s="531"/>
      <c r="L208" s="596"/>
      <c r="M208" s="379"/>
      <c r="N208" s="535" t="s">
        <v>162</v>
      </c>
      <c r="O208" s="379"/>
    </row>
    <row r="209" spans="1:15" ht="15.75" x14ac:dyDescent="0.3">
      <c r="A209" s="503"/>
      <c r="B209" s="511" t="s">
        <v>1094</v>
      </c>
      <c r="C209" s="593">
        <v>1</v>
      </c>
      <c r="D209" s="495" t="s">
        <v>653</v>
      </c>
      <c r="E209" s="513">
        <f>E197*C209</f>
        <v>149103.91827692304</v>
      </c>
      <c r="F209" s="499" t="s">
        <v>655</v>
      </c>
      <c r="G209" s="499"/>
      <c r="H209" s="495"/>
      <c r="I209" s="492" t="s">
        <v>746</v>
      </c>
      <c r="J209" s="514"/>
      <c r="K209" s="514"/>
      <c r="L209" s="537"/>
      <c r="M209" s="379"/>
      <c r="N209" s="554" t="s">
        <v>977</v>
      </c>
      <c r="O209" s="379"/>
    </row>
    <row r="210" spans="1:15" ht="15.75" x14ac:dyDescent="0.3">
      <c r="A210" s="503"/>
      <c r="B210" s="495"/>
      <c r="C210" s="689"/>
      <c r="D210" s="495"/>
      <c r="E210" s="505">
        <f>E198*C209</f>
        <v>0.49542769230769229</v>
      </c>
      <c r="F210" s="506" t="s">
        <v>417</v>
      </c>
      <c r="G210" s="506"/>
      <c r="H210" s="495"/>
      <c r="I210" s="539" t="s">
        <v>1053</v>
      </c>
      <c r="J210" s="539" t="s">
        <v>1054</v>
      </c>
      <c r="K210" s="539" t="s">
        <v>1055</v>
      </c>
      <c r="L210" s="540" t="s">
        <v>1056</v>
      </c>
      <c r="M210" s="379"/>
      <c r="N210" s="540" t="s">
        <v>1056</v>
      </c>
      <c r="O210" s="379"/>
    </row>
    <row r="211" spans="1:15" x14ac:dyDescent="0.2">
      <c r="A211" s="503"/>
      <c r="B211" s="511" t="s">
        <v>498</v>
      </c>
      <c r="C211" s="689"/>
      <c r="D211" s="495"/>
      <c r="E211" s="513"/>
      <c r="F211" s="495"/>
      <c r="G211" s="495"/>
      <c r="H211" s="495"/>
      <c r="I211" s="495"/>
      <c r="J211" s="495"/>
      <c r="K211" s="495"/>
      <c r="L211" s="541"/>
      <c r="M211" s="379"/>
      <c r="N211" s="541"/>
      <c r="O211" s="379"/>
    </row>
    <row r="212" spans="1:15" ht="15.75" x14ac:dyDescent="0.3">
      <c r="A212" s="503"/>
      <c r="B212" s="495" t="s">
        <v>159</v>
      </c>
      <c r="C212" s="595">
        <v>150</v>
      </c>
      <c r="D212" s="495" t="s">
        <v>510</v>
      </c>
      <c r="E212" s="543">
        <f>(C212*E210/VLOOKUP($B209,'Standard values'!$C$9:$S$162,14, FALSE))/1000</f>
        <v>1.9976923076923075E-3</v>
      </c>
      <c r="F212" s="495" t="s">
        <v>245</v>
      </c>
      <c r="G212" s="495"/>
      <c r="H212" s="495"/>
      <c r="I212" s="544">
        <f>$E212*VLOOKUP($B212,'Standard values'!$C$9:$S$162,15, FALSE)*VLOOKUP(C213,'Standard values'!$C$9:$S$162,7, FALSE)/$E$266</f>
        <v>0.35620967741935478</v>
      </c>
      <c r="J212" s="544">
        <f>$E212*((VLOOKUP($B212,'Standard values'!$C$9:$S$162,15, FALSE)*VLOOKUP(C213,'Standard values'!$C$9:$S$162,8, FALSE))+VLOOKUP($B212,'Standard values'!$C$9:$S$162,16, FALSE))/$E$266</f>
        <v>2.0161290322580645E-5</v>
      </c>
      <c r="K212" s="544">
        <f>$E212*((VLOOKUP($B212,'Standard values'!$C$9:$S$162,15, FALSE)*VLOOKUP(C213,'Standard values'!$C$9:$S$162,9, FALSE))+VLOOKUP($B212,'Standard values'!$C$9:$S$162,17, FALSE))/$E$266</f>
        <v>0</v>
      </c>
      <c r="L212" s="516">
        <f>I212*'Standard values'!$D$10+J212*'Standard values'!$D$11+K212*'Standard values'!$D$12</f>
        <v>0.35671370967741928</v>
      </c>
      <c r="M212" s="379"/>
      <c r="N212" s="562">
        <f>L212/$E$165</f>
        <v>13.269749999999998</v>
      </c>
      <c r="O212" s="379"/>
    </row>
    <row r="213" spans="1:15" x14ac:dyDescent="0.2">
      <c r="A213" s="503"/>
      <c r="B213" s="546" t="s">
        <v>54</v>
      </c>
      <c r="C213" s="673" t="s">
        <v>509</v>
      </c>
      <c r="D213" s="495"/>
      <c r="E213" s="503"/>
      <c r="F213" s="495"/>
      <c r="G213" s="495"/>
      <c r="H213" s="495"/>
      <c r="I213" s="544"/>
      <c r="J213" s="544"/>
      <c r="K213" s="544"/>
      <c r="L213" s="516"/>
      <c r="M213" s="379"/>
      <c r="N213" s="562"/>
      <c r="O213" s="379"/>
    </row>
    <row r="214" spans="1:15" x14ac:dyDescent="0.2">
      <c r="A214" s="503"/>
      <c r="B214" s="495"/>
      <c r="C214" s="689"/>
      <c r="D214" s="495"/>
      <c r="E214" s="505"/>
      <c r="F214" s="506"/>
      <c r="G214" s="506"/>
      <c r="H214" s="495"/>
      <c r="I214" s="539"/>
      <c r="J214" s="539"/>
      <c r="K214" s="539"/>
      <c r="L214" s="690"/>
      <c r="M214" s="379"/>
      <c r="N214" s="540"/>
      <c r="O214" s="379"/>
    </row>
    <row r="215" spans="1:15" x14ac:dyDescent="0.2">
      <c r="A215" s="503"/>
      <c r="B215" s="511" t="s">
        <v>441</v>
      </c>
      <c r="C215" s="689"/>
      <c r="D215" s="495"/>
      <c r="E215" s="503"/>
      <c r="F215" s="495"/>
      <c r="G215" s="495"/>
      <c r="H215" s="495"/>
      <c r="I215" s="544"/>
      <c r="J215" s="544"/>
      <c r="K215" s="544"/>
      <c r="L215" s="584"/>
      <c r="M215" s="379"/>
      <c r="N215" s="541"/>
      <c r="O215" s="379"/>
    </row>
    <row r="216" spans="1:15" ht="15.75" x14ac:dyDescent="0.3">
      <c r="A216" s="503"/>
      <c r="B216" s="1301" t="s">
        <v>49</v>
      </c>
      <c r="C216" s="542">
        <v>3.3999999999999998E-3</v>
      </c>
      <c r="D216" s="495" t="s">
        <v>651</v>
      </c>
      <c r="E216" s="503"/>
      <c r="F216" s="495"/>
      <c r="G216" s="495"/>
      <c r="H216" s="495"/>
      <c r="I216" s="544">
        <f>$C216*$E$210*VLOOKUP($B216,'Standard values'!$C$9:$S$162,7, FALSE)/$E$266</f>
        <v>0.41070129999999994</v>
      </c>
      <c r="J216" s="544">
        <f>$C216*$E$210*VLOOKUP($B216,'Standard values'!$C$9:$S$162,8, FALSE)/$E$266</f>
        <v>1.0015833333333331E-3</v>
      </c>
      <c r="K216" s="544">
        <f>$C216*$E$210*VLOOKUP($B216,'Standard values'!$C$9:$S$162,9, FALSE)/$E$266</f>
        <v>1.8605555555555555E-5</v>
      </c>
      <c r="L216" s="516">
        <f>I216*'Standard values'!$D$10+J216*'Standard values'!$D$11+K216*'Standard values'!$D$12</f>
        <v>0.44128533888888882</v>
      </c>
      <c r="M216" s="379"/>
      <c r="N216" s="562">
        <f>L216/$E$165</f>
        <v>16.415814606666665</v>
      </c>
      <c r="O216" s="379"/>
    </row>
    <row r="217" spans="1:15" ht="14.25" x14ac:dyDescent="0.25">
      <c r="A217" s="519"/>
      <c r="B217" s="520"/>
      <c r="C217" s="520"/>
      <c r="D217" s="520"/>
      <c r="E217" s="519"/>
      <c r="F217" s="521"/>
      <c r="G217" s="521"/>
      <c r="H217" s="521" t="s">
        <v>534</v>
      </c>
      <c r="I217" s="520"/>
      <c r="J217" s="523" t="s">
        <v>747</v>
      </c>
      <c r="K217" s="549"/>
      <c r="L217" s="525">
        <f>L212+L216</f>
        <v>0.7979990485663081</v>
      </c>
      <c r="M217" s="379"/>
      <c r="N217" s="545">
        <f>L217/$E$165</f>
        <v>29.685564606666663</v>
      </c>
      <c r="O217" s="379"/>
    </row>
    <row r="218" spans="1:15" x14ac:dyDescent="0.2">
      <c r="A218" s="390"/>
      <c r="B218" s="390"/>
      <c r="C218" s="390"/>
      <c r="D218" s="390"/>
      <c r="E218" s="390"/>
      <c r="F218" s="376"/>
      <c r="G218" s="376"/>
      <c r="H218" s="376"/>
      <c r="I218" s="390"/>
      <c r="J218" s="550"/>
      <c r="K218" s="551"/>
      <c r="L218" s="597"/>
      <c r="M218" s="379"/>
      <c r="N218" s="642"/>
      <c r="O218" s="379"/>
    </row>
    <row r="219" spans="1:15" x14ac:dyDescent="0.2">
      <c r="A219" s="390"/>
      <c r="B219" s="390"/>
      <c r="C219" s="390"/>
      <c r="D219" s="390"/>
      <c r="E219" s="390"/>
      <c r="F219" s="376"/>
      <c r="G219" s="376"/>
      <c r="H219" s="376"/>
      <c r="I219" s="390"/>
      <c r="J219" s="550"/>
      <c r="K219" s="551"/>
      <c r="L219" s="597"/>
      <c r="M219" s="379"/>
      <c r="N219" s="379"/>
      <c r="O219" s="379"/>
    </row>
    <row r="220" spans="1:15" ht="15.75" x14ac:dyDescent="0.25">
      <c r="A220" s="530" t="s">
        <v>546</v>
      </c>
      <c r="B220" s="598"/>
      <c r="C220" s="599"/>
      <c r="D220" s="531"/>
      <c r="E220" s="600"/>
      <c r="F220" s="531"/>
      <c r="G220" s="531"/>
      <c r="H220" s="531"/>
      <c r="I220" s="531"/>
      <c r="J220" s="531"/>
      <c r="K220" s="531"/>
      <c r="L220" s="601"/>
      <c r="M220" s="379"/>
      <c r="N220" s="379"/>
      <c r="O220" s="379"/>
    </row>
    <row r="221" spans="1:15" ht="15.75" x14ac:dyDescent="0.25">
      <c r="A221" s="602"/>
      <c r="B221" s="603" t="s">
        <v>549</v>
      </c>
      <c r="C221" s="511" t="s">
        <v>908</v>
      </c>
      <c r="D221" s="495"/>
      <c r="E221" s="503"/>
      <c r="F221" s="495"/>
      <c r="G221" s="495"/>
      <c r="H221" s="495"/>
      <c r="I221" s="495"/>
      <c r="J221" s="495"/>
      <c r="K221" s="495"/>
      <c r="L221" s="537"/>
      <c r="M221" s="379"/>
      <c r="N221" s="379"/>
      <c r="O221" s="390"/>
    </row>
    <row r="222" spans="1:15" ht="15.75" customHeight="1" x14ac:dyDescent="0.25">
      <c r="A222" s="602"/>
      <c r="B222" s="511"/>
      <c r="C222" s="668"/>
      <c r="D222" s="691" t="s">
        <v>431</v>
      </c>
      <c r="E222" s="692" t="str">
        <f>IF(D224="Yes","From :  ", " ")</f>
        <v xml:space="preserve"> </v>
      </c>
      <c r="F222" s="1422" t="str">
        <f>IF(D224="Yes",LUC!H$35 &amp; " ; " &amp; LUC!H$36 &amp; " ; " &amp; LUC!H$39 &amp; " ; " &amp; LUC!H$40 &amp; " ; " &amp; LUC!H$45 &amp; " ; " &amp; LUC!H$46 &amp; " ; " &amp; LUC!H$47, " ")</f>
        <v xml:space="preserve"> </v>
      </c>
      <c r="G222" s="1422"/>
      <c r="H222" s="1422"/>
      <c r="I222" s="1422"/>
      <c r="J222" s="1422"/>
      <c r="K222" s="1422"/>
      <c r="L222" s="1423"/>
      <c r="M222" s="379"/>
      <c r="N222" s="379"/>
      <c r="O222" s="390"/>
    </row>
    <row r="223" spans="1:15" ht="15.75" x14ac:dyDescent="0.25">
      <c r="A223" s="602"/>
      <c r="B223" s="539" t="s">
        <v>450</v>
      </c>
      <c r="C223" s="693" t="s">
        <v>431</v>
      </c>
      <c r="D223" s="691" t="s">
        <v>432</v>
      </c>
      <c r="E223" s="513"/>
      <c r="F223" s="1422"/>
      <c r="G223" s="1422"/>
      <c r="H223" s="1422"/>
      <c r="I223" s="1422"/>
      <c r="J223" s="1422"/>
      <c r="K223" s="1422"/>
      <c r="L223" s="1423"/>
      <c r="M223" s="379"/>
      <c r="N223" s="379"/>
      <c r="O223" s="390"/>
    </row>
    <row r="224" spans="1:15" ht="15.75" customHeight="1" x14ac:dyDescent="0.25">
      <c r="A224" s="602"/>
      <c r="B224" s="511"/>
      <c r="C224" s="670" t="str">
        <f>IF(D224="Yes","Go to", " ")</f>
        <v xml:space="preserve"> </v>
      </c>
      <c r="D224" s="691" t="s">
        <v>432</v>
      </c>
      <c r="E224" s="692" t="str">
        <f>IF(D224="Yes","To    :   ", " ")</f>
        <v xml:space="preserve"> </v>
      </c>
      <c r="F224" s="1424" t="str">
        <f>IF(D224="Yes", LUC!D$35 &amp; " ; " &amp; LUC!D$36 &amp; " ; " &amp; LUC!D$39 &amp; " ; " &amp; LUC!D$40 &amp; " ; " &amp; LUC!D$45 &amp; " ; " &amp; LUC!D$46 &amp; " ; " &amp; LUC!D$47, " ")</f>
        <v xml:space="preserve"> </v>
      </c>
      <c r="G224" s="1424"/>
      <c r="H224" s="1424"/>
      <c r="I224" s="1424"/>
      <c r="J224" s="1424"/>
      <c r="K224" s="1424"/>
      <c r="L224" s="1425"/>
      <c r="M224" s="379"/>
      <c r="N224" s="379"/>
      <c r="O224" s="390"/>
    </row>
    <row r="225" spans="1:15" ht="15.75" x14ac:dyDescent="0.25">
      <c r="A225" s="602"/>
      <c r="B225" s="416"/>
      <c r="C225" s="671" t="str">
        <f>IF(D224="Yes","sheet 'LUC' ", " ")</f>
        <v xml:space="preserve"> </v>
      </c>
      <c r="D225" s="495"/>
      <c r="E225" s="696"/>
      <c r="F225" s="1424"/>
      <c r="G225" s="1424"/>
      <c r="H225" s="1424"/>
      <c r="I225" s="1424"/>
      <c r="J225" s="1424"/>
      <c r="K225" s="1424"/>
      <c r="L225" s="1425"/>
      <c r="M225" s="379"/>
      <c r="N225" s="379"/>
      <c r="O225" s="390"/>
    </row>
    <row r="226" spans="1:15" ht="15.75" x14ac:dyDescent="0.25">
      <c r="A226" s="602"/>
      <c r="B226" s="416"/>
      <c r="C226" s="670" t="str">
        <f>IF(D224="Yes","to calculate the land use change", " ")</f>
        <v xml:space="preserve"> </v>
      </c>
      <c r="D226" s="495"/>
      <c r="E226" s="696"/>
      <c r="F226" s="694"/>
      <c r="G226" s="694"/>
      <c r="H226" s="694"/>
      <c r="I226" s="492" t="s">
        <v>746</v>
      </c>
      <c r="J226" s="514"/>
      <c r="K226" s="694"/>
      <c r="L226" s="695"/>
      <c r="M226" s="379"/>
      <c r="N226" s="379"/>
      <c r="O226" s="390"/>
    </row>
    <row r="227" spans="1:15" ht="16.5" x14ac:dyDescent="0.3">
      <c r="A227" s="602"/>
      <c r="B227" s="416"/>
      <c r="C227" s="670"/>
      <c r="D227" s="495"/>
      <c r="E227" s="696"/>
      <c r="F227" s="694"/>
      <c r="G227" s="694"/>
      <c r="H227" s="694"/>
      <c r="I227" s="539" t="s">
        <v>1053</v>
      </c>
      <c r="J227" s="539" t="s">
        <v>1054</v>
      </c>
      <c r="K227" s="539" t="s">
        <v>1055</v>
      </c>
      <c r="L227" s="540" t="s">
        <v>1056</v>
      </c>
      <c r="M227" s="379"/>
      <c r="N227" s="379"/>
      <c r="O227" s="390"/>
    </row>
    <row r="228" spans="1:15" ht="16.5" x14ac:dyDescent="0.3">
      <c r="A228" s="602"/>
      <c r="B228" s="507" t="s">
        <v>451</v>
      </c>
      <c r="C228" s="697">
        <f>IF(D224="Yes",LUC!$J$86,0)</f>
        <v>0</v>
      </c>
      <c r="D228" s="497" t="s">
        <v>449</v>
      </c>
      <c r="E228" s="503"/>
      <c r="F228" s="495"/>
      <c r="G228" s="495"/>
      <c r="H228" s="495"/>
      <c r="I228" s="544">
        <f>$C228*1000000/$E$265</f>
        <v>0</v>
      </c>
      <c r="J228" s="544">
        <v>0</v>
      </c>
      <c r="K228" s="544">
        <v>0</v>
      </c>
      <c r="L228" s="419">
        <f>I228*'Standard values'!$D$10+J228*'Standard values'!$D$11+K228*'Standard values'!$D$12</f>
        <v>0</v>
      </c>
      <c r="M228" s="379"/>
      <c r="N228" s="379"/>
      <c r="O228" s="390"/>
    </row>
    <row r="229" spans="1:15" ht="15.75" x14ac:dyDescent="0.25">
      <c r="A229" s="602"/>
      <c r="B229" s="507"/>
      <c r="C229" s="698"/>
      <c r="D229" s="497"/>
      <c r="E229" s="503"/>
      <c r="F229" s="495"/>
      <c r="G229" s="495"/>
      <c r="H229" s="495"/>
      <c r="I229" s="544"/>
      <c r="J229" s="544"/>
      <c r="K229" s="544"/>
      <c r="L229" s="516">
        <f>SUM(L228:L228)</f>
        <v>0</v>
      </c>
      <c r="M229" s="379"/>
      <c r="N229" s="379"/>
      <c r="O229" s="390"/>
    </row>
    <row r="230" spans="1:15" ht="15.75" x14ac:dyDescent="0.25">
      <c r="A230" s="602"/>
      <c r="B230" s="416"/>
      <c r="C230" s="492"/>
      <c r="D230" s="495"/>
      <c r="E230" s="503"/>
      <c r="F230" s="495"/>
      <c r="G230" s="495"/>
      <c r="H230" s="495"/>
      <c r="I230" s="544"/>
      <c r="J230" s="544"/>
      <c r="K230" s="544"/>
      <c r="L230" s="516"/>
      <c r="M230" s="379"/>
      <c r="N230" s="379"/>
      <c r="O230" s="390"/>
    </row>
    <row r="231" spans="1:15" ht="15.75" x14ac:dyDescent="0.3">
      <c r="A231" s="503"/>
      <c r="B231" s="539" t="s">
        <v>452</v>
      </c>
      <c r="C231" s="595">
        <v>0</v>
      </c>
      <c r="D231" s="605" t="s">
        <v>672</v>
      </c>
      <c r="E231" s="699"/>
      <c r="F231" s="495"/>
      <c r="G231" s="495"/>
      <c r="H231" s="495"/>
      <c r="I231" s="544">
        <f>-C231</f>
        <v>0</v>
      </c>
      <c r="J231" s="544">
        <v>0</v>
      </c>
      <c r="K231" s="544">
        <v>0</v>
      </c>
      <c r="L231" s="419">
        <f>I231*'Standard values'!$D$10+J231*'Standard values'!$D$11+K231*'Standard values'!$D$12</f>
        <v>0</v>
      </c>
      <c r="M231" s="379"/>
      <c r="N231" s="379"/>
      <c r="O231" s="390"/>
    </row>
    <row r="232" spans="1:15" x14ac:dyDescent="0.2">
      <c r="A232" s="503"/>
      <c r="B232" s="539" t="str">
        <f>IF(C231=-29,"Year of conversion:","")</f>
        <v/>
      </c>
      <c r="C232" s="539" t="str">
        <f>IF(D231=-29,"Year of conversion:","")</f>
        <v/>
      </c>
      <c r="D232" s="605" t="str">
        <f>IF(C231=-29,"Fill in the year of conversion","")</f>
        <v/>
      </c>
      <c r="E232" s="503"/>
      <c r="F232" s="495"/>
      <c r="G232" s="495"/>
      <c r="H232" s="495"/>
      <c r="I232" s="495"/>
      <c r="J232" s="495"/>
      <c r="K232" s="544"/>
      <c r="L232" s="516">
        <f>SUM(L231:L231)</f>
        <v>0</v>
      </c>
      <c r="M232" s="379"/>
      <c r="N232" s="379"/>
      <c r="O232" s="390"/>
    </row>
    <row r="233" spans="1:15" x14ac:dyDescent="0.2">
      <c r="A233" s="503"/>
      <c r="B233" s="539"/>
      <c r="C233" s="539"/>
      <c r="D233" s="605"/>
      <c r="E233" s="503"/>
      <c r="F233" s="495"/>
      <c r="G233" s="495"/>
      <c r="H233" s="495"/>
      <c r="I233" s="495"/>
      <c r="J233" s="495"/>
      <c r="K233" s="544"/>
      <c r="L233" s="700"/>
      <c r="M233" s="379"/>
      <c r="N233" s="379"/>
      <c r="O233" s="390"/>
    </row>
    <row r="234" spans="1:15" ht="14.25" x14ac:dyDescent="0.25">
      <c r="A234" s="519"/>
      <c r="B234" s="520"/>
      <c r="C234" s="520"/>
      <c r="D234" s="520"/>
      <c r="E234" s="519"/>
      <c r="F234" s="521"/>
      <c r="G234" s="521"/>
      <c r="H234" s="521" t="s">
        <v>534</v>
      </c>
      <c r="I234" s="520"/>
      <c r="J234" s="523" t="s">
        <v>747</v>
      </c>
      <c r="K234" s="549"/>
      <c r="L234" s="525">
        <f>L229+L232</f>
        <v>0</v>
      </c>
      <c r="M234" s="379"/>
      <c r="N234" s="379"/>
      <c r="O234" s="390"/>
    </row>
    <row r="235" spans="1:15" x14ac:dyDescent="0.2">
      <c r="A235" s="390"/>
      <c r="B235" s="390"/>
      <c r="C235" s="390"/>
      <c r="D235" s="390"/>
      <c r="E235" s="390"/>
      <c r="F235" s="376"/>
      <c r="G235" s="376"/>
      <c r="H235" s="376"/>
      <c r="I235" s="390"/>
      <c r="J235" s="550"/>
      <c r="K235" s="551"/>
      <c r="L235" s="604"/>
      <c r="M235" s="379"/>
      <c r="N235" s="379"/>
      <c r="O235" s="390"/>
    </row>
    <row r="236" spans="1:15" x14ac:dyDescent="0.2">
      <c r="A236" s="390"/>
      <c r="B236" s="390"/>
      <c r="C236" s="390"/>
      <c r="D236" s="390"/>
      <c r="E236" s="390"/>
      <c r="F236" s="376"/>
      <c r="G236" s="376"/>
      <c r="H236" s="376"/>
      <c r="I236" s="390"/>
      <c r="J236" s="550"/>
      <c r="K236" s="551"/>
      <c r="L236" s="604"/>
      <c r="M236" s="379"/>
      <c r="N236" s="379"/>
      <c r="O236" s="390"/>
    </row>
    <row r="237" spans="1:15" ht="15.75" x14ac:dyDescent="0.25">
      <c r="A237" s="530" t="s">
        <v>547</v>
      </c>
      <c r="B237" s="598"/>
      <c r="C237" s="599"/>
      <c r="D237" s="531"/>
      <c r="E237" s="600"/>
      <c r="F237" s="531"/>
      <c r="G237" s="531"/>
      <c r="H237" s="531"/>
      <c r="I237" s="531"/>
      <c r="J237" s="531"/>
      <c r="K237" s="531"/>
      <c r="L237" s="601"/>
      <c r="M237" s="379"/>
      <c r="N237" s="390"/>
      <c r="O237" s="390"/>
    </row>
    <row r="238" spans="1:15" ht="15.75" x14ac:dyDescent="0.25">
      <c r="A238" s="602"/>
      <c r="B238" s="416" t="s">
        <v>548</v>
      </c>
      <c r="C238" s="492" t="s">
        <v>429</v>
      </c>
      <c r="D238" s="616"/>
      <c r="E238" s="503"/>
      <c r="F238" s="495"/>
      <c r="G238" s="495"/>
      <c r="H238" s="495"/>
      <c r="I238" s="492" t="s">
        <v>746</v>
      </c>
      <c r="J238" s="514"/>
      <c r="K238" s="514"/>
      <c r="L238" s="537"/>
      <c r="M238" s="379"/>
      <c r="N238" s="390"/>
      <c r="O238" s="390"/>
    </row>
    <row r="239" spans="1:15" ht="15.75" customHeight="1" x14ac:dyDescent="0.25">
      <c r="A239" s="602"/>
      <c r="B239" s="511"/>
      <c r="C239" s="668"/>
      <c r="D239" s="691" t="s">
        <v>431</v>
      </c>
      <c r="E239" s="692" t="str">
        <f>IF(D241="Yes","From :  ", " ")</f>
        <v xml:space="preserve"> </v>
      </c>
      <c r="F239" s="1422" t="str">
        <f>IF(D241="Yes",Esca!H$42 &amp; ", " &amp; Esca!H$43 &amp; " input ","")</f>
        <v/>
      </c>
      <c r="G239" s="1422"/>
      <c r="H239" s="1422"/>
      <c r="I239" s="1422"/>
      <c r="J239" s="1422"/>
      <c r="K239" s="1422"/>
      <c r="L239" s="1423"/>
      <c r="M239" s="379"/>
      <c r="N239" s="390"/>
      <c r="O239" s="390"/>
    </row>
    <row r="240" spans="1:15" ht="15.75" x14ac:dyDescent="0.25">
      <c r="A240" s="602"/>
      <c r="B240" s="539" t="s">
        <v>430</v>
      </c>
      <c r="C240" s="668"/>
      <c r="D240" s="691" t="s">
        <v>432</v>
      </c>
      <c r="E240" s="513"/>
      <c r="F240" s="1422"/>
      <c r="G240" s="1422"/>
      <c r="H240" s="1422"/>
      <c r="I240" s="1422"/>
      <c r="J240" s="1422"/>
      <c r="K240" s="1422"/>
      <c r="L240" s="1423"/>
      <c r="M240" s="379"/>
      <c r="N240" s="390"/>
      <c r="O240" s="390"/>
    </row>
    <row r="241" spans="1:15" ht="15.75" customHeight="1" x14ac:dyDescent="0.25">
      <c r="A241" s="602"/>
      <c r="B241" s="511"/>
      <c r="C241" s="670" t="str">
        <f>IF(D241="Yes","Go to", " ")</f>
        <v xml:space="preserve"> </v>
      </c>
      <c r="D241" s="691" t="s">
        <v>432</v>
      </c>
      <c r="E241" s="692" t="str">
        <f>IF(D241="Yes","To    :   ", " ")</f>
        <v xml:space="preserve"> </v>
      </c>
      <c r="F241" s="1422" t="str">
        <f>IF(D241="Yes",Esca!D$42 &amp; ", " &amp; Esca!D$43 &amp; " input ","")</f>
        <v/>
      </c>
      <c r="G241" s="1422"/>
      <c r="H241" s="1422"/>
      <c r="I241" s="1422"/>
      <c r="J241" s="1422"/>
      <c r="K241" s="1422"/>
      <c r="L241" s="1423"/>
      <c r="M241" s="379"/>
      <c r="N241" s="390"/>
      <c r="O241" s="390"/>
    </row>
    <row r="242" spans="1:15" ht="15.75" x14ac:dyDescent="0.25">
      <c r="A242" s="602"/>
      <c r="B242" s="416"/>
      <c r="C242" s="671" t="str">
        <f>IF(D241="Yes","sheet 'Esca' ", " ")</f>
        <v xml:space="preserve"> </v>
      </c>
      <c r="D242" s="495"/>
      <c r="E242" s="696"/>
      <c r="F242" s="1422"/>
      <c r="G242" s="1422"/>
      <c r="H242" s="1422"/>
      <c r="I242" s="1422"/>
      <c r="J242" s="1422"/>
      <c r="K242" s="1422"/>
      <c r="L242" s="1423"/>
      <c r="M242" s="379"/>
      <c r="N242" s="390"/>
      <c r="O242" s="390"/>
    </row>
    <row r="243" spans="1:15" ht="15.75" x14ac:dyDescent="0.25">
      <c r="A243" s="602"/>
      <c r="B243" s="416"/>
      <c r="C243" s="670" t="str">
        <f>IF(D241="Yes","to calculate the soil carbon accumulation", " ")</f>
        <v xml:space="preserve"> </v>
      </c>
      <c r="D243" s="495"/>
      <c r="E243" s="696"/>
      <c r="F243" s="694"/>
      <c r="G243" s="694"/>
      <c r="H243" s="694"/>
      <c r="I243" s="492" t="s">
        <v>746</v>
      </c>
      <c r="J243" s="514"/>
      <c r="K243" s="694"/>
      <c r="L243" s="695"/>
      <c r="M243" s="379"/>
      <c r="N243" s="390"/>
      <c r="O243" s="390"/>
    </row>
    <row r="244" spans="1:15" ht="16.5" x14ac:dyDescent="0.3">
      <c r="A244" s="602"/>
      <c r="B244" s="416"/>
      <c r="C244" s="670"/>
      <c r="D244" s="495"/>
      <c r="E244" s="696"/>
      <c r="F244" s="694"/>
      <c r="G244" s="694"/>
      <c r="H244" s="694"/>
      <c r="I244" s="539" t="s">
        <v>1053</v>
      </c>
      <c r="J244" s="539" t="s">
        <v>1054</v>
      </c>
      <c r="K244" s="539" t="s">
        <v>1055</v>
      </c>
      <c r="L244" s="540" t="s">
        <v>1056</v>
      </c>
      <c r="M244" s="379"/>
      <c r="N244" s="390"/>
      <c r="O244" s="390"/>
    </row>
    <row r="245" spans="1:15" ht="16.5" x14ac:dyDescent="0.3">
      <c r="A245" s="602"/>
      <c r="B245" s="507" t="s">
        <v>807</v>
      </c>
      <c r="C245" s="697">
        <f>IF(D241="yes",Esca!$J$81,0)</f>
        <v>0</v>
      </c>
      <c r="D245" s="497" t="s">
        <v>449</v>
      </c>
      <c r="E245" s="503"/>
      <c r="F245" s="495"/>
      <c r="G245" s="495"/>
      <c r="H245" s="495"/>
      <c r="I245" s="544">
        <f>$C245*1000000/$E$265</f>
        <v>0</v>
      </c>
      <c r="J245" s="544">
        <v>0</v>
      </c>
      <c r="K245" s="544">
        <v>0</v>
      </c>
      <c r="L245" s="419">
        <f>I245*'Standard values'!$D$10+J245*'Standard values'!$D$11+K245*'Standard values'!$D$12</f>
        <v>0</v>
      </c>
      <c r="M245" s="379"/>
      <c r="N245" s="390"/>
      <c r="O245" s="390"/>
    </row>
    <row r="246" spans="1:15" x14ac:dyDescent="0.2">
      <c r="A246" s="503"/>
      <c r="B246" s="539"/>
      <c r="C246" s="539"/>
      <c r="D246" s="605"/>
      <c r="E246" s="503"/>
      <c r="F246" s="495"/>
      <c r="G246" s="495"/>
      <c r="H246" s="495"/>
      <c r="I246" s="495"/>
      <c r="J246" s="495"/>
      <c r="K246" s="544"/>
      <c r="L246" s="516">
        <f>SUM(L245:L245)</f>
        <v>0</v>
      </c>
      <c r="M246" s="379"/>
      <c r="N246" s="390"/>
      <c r="O246" s="390"/>
    </row>
    <row r="247" spans="1:15" x14ac:dyDescent="0.2">
      <c r="A247" s="503"/>
      <c r="B247" s="539"/>
      <c r="C247" s="539"/>
      <c r="D247" s="605"/>
      <c r="E247" s="503"/>
      <c r="F247" s="495"/>
      <c r="G247" s="495"/>
      <c r="H247" s="495"/>
      <c r="I247" s="495"/>
      <c r="J247" s="495"/>
      <c r="K247" s="544"/>
      <c r="L247" s="700"/>
      <c r="M247" s="379"/>
      <c r="N247" s="390"/>
      <c r="O247" s="390"/>
    </row>
    <row r="248" spans="1:15" ht="14.25" x14ac:dyDescent="0.25">
      <c r="A248" s="519"/>
      <c r="B248" s="520"/>
      <c r="C248" s="520"/>
      <c r="D248" s="520"/>
      <c r="E248" s="519"/>
      <c r="F248" s="521"/>
      <c r="G248" s="521"/>
      <c r="H248" s="521" t="s">
        <v>534</v>
      </c>
      <c r="I248" s="520"/>
      <c r="J248" s="523" t="s">
        <v>747</v>
      </c>
      <c r="K248" s="549"/>
      <c r="L248" s="525">
        <f>L246</f>
        <v>0</v>
      </c>
      <c r="M248" s="379"/>
      <c r="N248" s="390"/>
      <c r="O248" s="390"/>
    </row>
    <row r="249" spans="1:15" x14ac:dyDescent="0.2">
      <c r="A249" s="390"/>
      <c r="B249" s="390"/>
      <c r="C249" s="390"/>
      <c r="D249" s="390"/>
      <c r="E249" s="390"/>
      <c r="F249" s="376"/>
      <c r="G249" s="376"/>
      <c r="H249" s="376"/>
      <c r="I249" s="390"/>
      <c r="J249" s="550"/>
      <c r="K249" s="551"/>
      <c r="L249" s="604"/>
      <c r="M249" s="379"/>
      <c r="N249" s="390"/>
      <c r="O249" s="390"/>
    </row>
    <row r="250" spans="1:15" x14ac:dyDescent="0.2">
      <c r="A250" s="390"/>
      <c r="B250" s="390"/>
      <c r="C250" s="390"/>
      <c r="D250" s="390"/>
      <c r="E250" s="390"/>
      <c r="F250" s="376"/>
      <c r="G250" s="376"/>
      <c r="H250" s="376"/>
      <c r="I250" s="390"/>
      <c r="J250" s="550"/>
      <c r="K250" s="551"/>
      <c r="L250" s="604"/>
      <c r="M250" s="379"/>
      <c r="N250" s="390"/>
      <c r="O250" s="390"/>
    </row>
    <row r="251" spans="1:15" ht="18.75" x14ac:dyDescent="0.35">
      <c r="A251" s="530" t="s">
        <v>168</v>
      </c>
      <c r="B251" s="598"/>
      <c r="C251" s="599"/>
      <c r="D251" s="531"/>
      <c r="E251" s="600"/>
      <c r="F251" s="531"/>
      <c r="G251" s="531"/>
      <c r="H251" s="531"/>
      <c r="I251" s="531"/>
      <c r="J251" s="531"/>
      <c r="K251" s="531"/>
      <c r="L251" s="601"/>
      <c r="M251" s="379"/>
      <c r="N251" s="390"/>
      <c r="O251" s="390"/>
    </row>
    <row r="252" spans="1:15" ht="15.75" x14ac:dyDescent="0.25">
      <c r="A252" s="602"/>
      <c r="B252" s="416" t="s">
        <v>166</v>
      </c>
      <c r="C252" s="492"/>
      <c r="D252" s="495"/>
      <c r="E252" s="503"/>
      <c r="F252" s="495"/>
      <c r="G252" s="495"/>
      <c r="H252" s="495"/>
      <c r="I252" s="492" t="s">
        <v>746</v>
      </c>
      <c r="J252" s="514"/>
      <c r="K252" s="514"/>
      <c r="L252" s="537"/>
      <c r="M252" s="379"/>
      <c r="N252" s="390"/>
      <c r="O252" s="390"/>
    </row>
    <row r="253" spans="1:15" ht="15.75" x14ac:dyDescent="0.3">
      <c r="A253" s="503"/>
      <c r="B253" s="539"/>
      <c r="C253" s="595">
        <v>0</v>
      </c>
      <c r="D253" s="605" t="s">
        <v>672</v>
      </c>
      <c r="E253" s="503"/>
      <c r="F253" s="495"/>
      <c r="G253" s="495"/>
      <c r="H253" s="495"/>
      <c r="I253" s="495"/>
      <c r="J253" s="495"/>
      <c r="K253" s="544"/>
      <c r="L253" s="516">
        <f>C253</f>
        <v>0</v>
      </c>
      <c r="M253" s="379"/>
      <c r="N253" s="390"/>
      <c r="O253" s="390"/>
    </row>
    <row r="254" spans="1:15" ht="14.25" x14ac:dyDescent="0.25">
      <c r="A254" s="519"/>
      <c r="B254" s="520"/>
      <c r="C254" s="701"/>
      <c r="D254" s="520"/>
      <c r="E254" s="519"/>
      <c r="F254" s="521"/>
      <c r="G254" s="521"/>
      <c r="H254" s="521" t="s">
        <v>534</v>
      </c>
      <c r="I254" s="520"/>
      <c r="J254" s="523" t="s">
        <v>747</v>
      </c>
      <c r="K254" s="549"/>
      <c r="L254" s="525">
        <f>C253</f>
        <v>0</v>
      </c>
      <c r="M254" s="379"/>
      <c r="N254" s="390"/>
      <c r="O254" s="390"/>
    </row>
    <row r="255" spans="1:15" x14ac:dyDescent="0.2">
      <c r="A255" s="390"/>
      <c r="B255" s="390"/>
      <c r="C255" s="390"/>
      <c r="D255" s="390"/>
      <c r="E255" s="390"/>
      <c r="F255" s="376"/>
      <c r="G255" s="376"/>
      <c r="H255" s="376"/>
      <c r="I255" s="390"/>
      <c r="J255" s="550"/>
      <c r="K255" s="551"/>
      <c r="L255" s="604"/>
      <c r="M255" s="379"/>
      <c r="N255" s="390"/>
      <c r="O255" s="390"/>
    </row>
    <row r="256" spans="1:15" x14ac:dyDescent="0.2">
      <c r="A256" s="390"/>
      <c r="B256" s="390"/>
      <c r="C256" s="390"/>
      <c r="D256" s="390"/>
      <c r="E256" s="390"/>
      <c r="F256" s="376"/>
      <c r="G256" s="376"/>
      <c r="H256" s="376"/>
      <c r="I256" s="390"/>
      <c r="J256" s="550"/>
      <c r="K256" s="551"/>
      <c r="L256" s="604"/>
      <c r="M256" s="379"/>
      <c r="N256" s="390"/>
      <c r="O256" s="390"/>
    </row>
    <row r="257" spans="1:15" ht="18.75" x14ac:dyDescent="0.35">
      <c r="A257" s="530" t="s">
        <v>169</v>
      </c>
      <c r="B257" s="598"/>
      <c r="C257" s="599"/>
      <c r="D257" s="531"/>
      <c r="E257" s="600"/>
      <c r="F257" s="531"/>
      <c r="G257" s="531"/>
      <c r="H257" s="531"/>
      <c r="I257" s="531"/>
      <c r="J257" s="531"/>
      <c r="K257" s="531"/>
      <c r="L257" s="601"/>
      <c r="M257" s="379"/>
      <c r="N257" s="390"/>
      <c r="O257" s="390"/>
    </row>
    <row r="258" spans="1:15" ht="15.75" x14ac:dyDescent="0.25">
      <c r="A258" s="602"/>
      <c r="B258" s="416" t="s">
        <v>167</v>
      </c>
      <c r="C258" s="492"/>
      <c r="D258" s="495"/>
      <c r="E258" s="503"/>
      <c r="F258" s="495"/>
      <c r="G258" s="495"/>
      <c r="H258" s="495"/>
      <c r="I258" s="492" t="s">
        <v>746</v>
      </c>
      <c r="J258" s="514"/>
      <c r="K258" s="514"/>
      <c r="L258" s="537"/>
      <c r="M258" s="379"/>
      <c r="N258" s="390"/>
      <c r="O258" s="390"/>
    </row>
    <row r="259" spans="1:15" ht="15.75" x14ac:dyDescent="0.3">
      <c r="A259" s="503"/>
      <c r="B259" s="539"/>
      <c r="C259" s="595">
        <v>0</v>
      </c>
      <c r="D259" s="605" t="s">
        <v>672</v>
      </c>
      <c r="E259" s="503"/>
      <c r="F259" s="495"/>
      <c r="G259" s="495"/>
      <c r="H259" s="495"/>
      <c r="I259" s="495"/>
      <c r="J259" s="495"/>
      <c r="K259" s="544"/>
      <c r="L259" s="516">
        <f>C259</f>
        <v>0</v>
      </c>
      <c r="M259" s="379"/>
      <c r="N259" s="390"/>
      <c r="O259" s="390"/>
    </row>
    <row r="260" spans="1:15" ht="14.25" x14ac:dyDescent="0.25">
      <c r="A260" s="519"/>
      <c r="B260" s="520"/>
      <c r="C260" s="520"/>
      <c r="D260" s="520"/>
      <c r="E260" s="519"/>
      <c r="F260" s="521"/>
      <c r="G260" s="521"/>
      <c r="H260" s="521" t="s">
        <v>534</v>
      </c>
      <c r="I260" s="520"/>
      <c r="J260" s="523" t="s">
        <v>747</v>
      </c>
      <c r="K260" s="549"/>
      <c r="L260" s="525">
        <f>C259</f>
        <v>0</v>
      </c>
      <c r="M260" s="379"/>
      <c r="N260" s="390"/>
      <c r="O260" s="390"/>
    </row>
    <row r="261" spans="1:15" x14ac:dyDescent="0.2">
      <c r="A261" s="390"/>
      <c r="B261" s="390"/>
      <c r="C261" s="390"/>
      <c r="D261" s="390"/>
      <c r="E261" s="390"/>
      <c r="F261" s="376"/>
      <c r="G261" s="376"/>
      <c r="H261" s="376"/>
      <c r="I261" s="390"/>
      <c r="J261" s="550"/>
      <c r="K261" s="551"/>
      <c r="L261" s="604"/>
      <c r="M261" s="379"/>
      <c r="N261" s="390"/>
      <c r="O261" s="390"/>
    </row>
    <row r="262" spans="1:15" x14ac:dyDescent="0.2">
      <c r="A262" s="390"/>
      <c r="B262" s="390"/>
      <c r="C262" s="390"/>
      <c r="D262" s="390"/>
      <c r="E262" s="390"/>
      <c r="F262" s="376"/>
      <c r="G262" s="376"/>
      <c r="H262" s="376"/>
      <c r="I262" s="390"/>
      <c r="J262" s="550"/>
      <c r="K262" s="551"/>
      <c r="L262" s="604"/>
      <c r="M262" s="379"/>
      <c r="N262" s="390"/>
      <c r="O262" s="390"/>
    </row>
    <row r="263" spans="1:15" ht="15.75" x14ac:dyDescent="0.25">
      <c r="A263" s="530" t="s">
        <v>457</v>
      </c>
      <c r="B263" s="531"/>
      <c r="C263" s="531"/>
      <c r="D263" s="531"/>
      <c r="E263" s="532"/>
      <c r="F263" s="606"/>
      <c r="G263" s="606"/>
      <c r="H263" s="606"/>
      <c r="I263" s="607"/>
      <c r="J263" s="608"/>
      <c r="K263" s="607"/>
      <c r="L263" s="609"/>
      <c r="M263" s="379"/>
      <c r="N263" s="390"/>
      <c r="O263" s="390"/>
    </row>
    <row r="264" spans="1:15" ht="15.75" x14ac:dyDescent="0.25">
      <c r="A264" s="610"/>
      <c r="B264" s="611"/>
      <c r="C264" s="611"/>
      <c r="D264" s="611"/>
      <c r="E264" s="612"/>
      <c r="F264" s="613"/>
      <c r="G264" s="613"/>
      <c r="H264" s="613"/>
      <c r="I264" s="613"/>
      <c r="J264" s="613"/>
      <c r="K264" s="613"/>
      <c r="L264" s="614"/>
      <c r="M264" s="379"/>
      <c r="N264" s="390"/>
      <c r="O264" s="390"/>
    </row>
    <row r="265" spans="1:15" ht="15.75" x14ac:dyDescent="0.3">
      <c r="A265" s="503"/>
      <c r="B265" s="495"/>
      <c r="C265" s="495"/>
      <c r="D265" s="546" t="s">
        <v>300</v>
      </c>
      <c r="E265" s="702">
        <f>E27*C59*C49*C71*C132*C152*C163*C197*C209</f>
        <v>149103.91827692304</v>
      </c>
      <c r="F265" s="499" t="s">
        <v>655</v>
      </c>
      <c r="G265" s="499"/>
      <c r="H265" s="495"/>
      <c r="I265" s="495"/>
      <c r="J265" s="495"/>
      <c r="K265" s="495"/>
      <c r="L265" s="616"/>
      <c r="M265" s="379"/>
      <c r="N265" s="390"/>
      <c r="O265" s="390"/>
    </row>
    <row r="266" spans="1:15" ht="15.75" x14ac:dyDescent="0.3">
      <c r="A266" s="503"/>
      <c r="B266" s="495"/>
      <c r="C266" s="495"/>
      <c r="D266" s="546" t="s">
        <v>299</v>
      </c>
      <c r="E266" s="615">
        <f>E265/E27</f>
        <v>0.49542769230769229</v>
      </c>
      <c r="F266" s="495" t="s">
        <v>418</v>
      </c>
      <c r="G266" s="495"/>
      <c r="H266" s="495"/>
      <c r="I266" s="544"/>
      <c r="J266" s="495"/>
      <c r="K266" s="495"/>
      <c r="L266" s="616"/>
      <c r="M266" s="379"/>
      <c r="N266" s="390"/>
      <c r="O266" s="390"/>
    </row>
    <row r="267" spans="1:15" x14ac:dyDescent="0.2">
      <c r="A267" s="503"/>
      <c r="B267" s="495"/>
      <c r="C267" s="495"/>
      <c r="D267" s="495"/>
      <c r="E267" s="495"/>
      <c r="F267" s="617"/>
      <c r="G267" s="617"/>
      <c r="H267" s="495"/>
      <c r="I267" s="544"/>
      <c r="J267" s="495"/>
      <c r="K267" s="495"/>
      <c r="L267" s="616"/>
      <c r="M267" s="379"/>
      <c r="N267" s="390"/>
      <c r="O267" s="390"/>
    </row>
    <row r="268" spans="1:15" x14ac:dyDescent="0.2">
      <c r="A268" s="503"/>
      <c r="B268" s="495"/>
      <c r="C268" s="495"/>
      <c r="D268" s="495"/>
      <c r="E268" s="495"/>
      <c r="F268" s="617"/>
      <c r="G268" s="617"/>
      <c r="H268" s="495"/>
      <c r="I268" s="495"/>
      <c r="J268" s="495"/>
      <c r="K268" s="495"/>
      <c r="L268" s="616"/>
      <c r="M268" s="379"/>
      <c r="N268" s="390"/>
      <c r="O268" s="390"/>
    </row>
    <row r="269" spans="1:15" ht="14.25" x14ac:dyDescent="0.25">
      <c r="A269" s="703"/>
      <c r="B269" s="404"/>
      <c r="C269" s="404"/>
      <c r="D269" s="404"/>
      <c r="E269" s="704" t="s">
        <v>1059</v>
      </c>
      <c r="F269" s="705"/>
      <c r="G269" s="705"/>
      <c r="H269" s="423"/>
      <c r="I269" s="404"/>
      <c r="J269" s="704" t="s">
        <v>747</v>
      </c>
      <c r="K269" s="423"/>
      <c r="L269" s="706">
        <f>L45+L55+L66+L101+L127+L148+L158+L184+L205+L217+L234-L248-L254-L260</f>
        <v>74.173100828481225</v>
      </c>
      <c r="M269" s="379"/>
      <c r="N269" s="390"/>
      <c r="O269" s="390"/>
    </row>
    <row r="270" spans="1:15" ht="14.25" x14ac:dyDescent="0.25">
      <c r="A270" s="707"/>
      <c r="B270" s="708"/>
      <c r="C270" s="709"/>
      <c r="D270" s="404"/>
      <c r="E270" s="704" t="s">
        <v>1060</v>
      </c>
      <c r="F270" s="404"/>
      <c r="G270" s="404"/>
      <c r="H270" s="404"/>
      <c r="I270" s="404"/>
      <c r="J270" s="704" t="s">
        <v>747</v>
      </c>
      <c r="K270" s="404"/>
      <c r="L270" s="710">
        <f>L193+L205+L217+(L229*J6*J9)+L232-L248-L254-L260</f>
        <v>68.676429082748641</v>
      </c>
      <c r="M270" s="379"/>
      <c r="N270" s="390"/>
      <c r="O270" s="390"/>
    </row>
    <row r="271" spans="1:15" x14ac:dyDescent="0.2">
      <c r="A271" s="703"/>
      <c r="B271" s="404"/>
      <c r="C271" s="404"/>
      <c r="D271" s="404"/>
      <c r="E271" s="404"/>
      <c r="F271" s="711"/>
      <c r="G271" s="711"/>
      <c r="H271" s="404"/>
      <c r="I271" s="404"/>
      <c r="J271" s="404"/>
      <c r="K271" s="404"/>
      <c r="L271" s="712"/>
      <c r="M271" s="379"/>
      <c r="N271" s="390"/>
      <c r="O271" s="390"/>
    </row>
    <row r="272" spans="1:15" x14ac:dyDescent="0.2">
      <c r="A272" s="519"/>
      <c r="B272" s="520"/>
      <c r="C272" s="520"/>
      <c r="D272" s="520"/>
      <c r="E272" s="713" t="s">
        <v>1061</v>
      </c>
      <c r="F272" s="632"/>
      <c r="G272" s="632"/>
      <c r="H272" s="632"/>
      <c r="I272" s="632"/>
      <c r="J272" s="632"/>
      <c r="K272" s="632"/>
      <c r="L272" s="633">
        <f>(83.8-L270)/83.8</f>
        <v>0.18047220664977753</v>
      </c>
      <c r="M272" s="379"/>
      <c r="N272" s="390"/>
      <c r="O272" s="390"/>
    </row>
    <row r="273" spans="5:14" x14ac:dyDescent="0.2">
      <c r="M273" s="361"/>
    </row>
    <row r="274" spans="5:14" x14ac:dyDescent="0.2">
      <c r="E274" s="634"/>
      <c r="F274" s="634"/>
      <c r="G274" s="634"/>
      <c r="H274" s="635"/>
      <c r="I274" s="634"/>
      <c r="J274" s="634"/>
      <c r="K274" s="634"/>
      <c r="L274" s="636"/>
      <c r="M274" s="361"/>
    </row>
    <row r="275" spans="5:14" x14ac:dyDescent="0.2">
      <c r="F275" s="634"/>
      <c r="G275" s="634"/>
      <c r="H275" s="634"/>
      <c r="I275" s="637"/>
      <c r="J275" s="634"/>
      <c r="K275" s="634"/>
      <c r="L275" s="638"/>
      <c r="M275" s="639"/>
      <c r="N275" s="361"/>
    </row>
    <row r="276" spans="5:14" x14ac:dyDescent="0.2">
      <c r="F276" s="634"/>
      <c r="G276" s="634"/>
      <c r="H276" s="634"/>
      <c r="I276" s="637"/>
      <c r="J276" s="634"/>
      <c r="K276" s="634"/>
      <c r="L276" s="638"/>
      <c r="M276" s="639"/>
      <c r="N276" s="361"/>
    </row>
    <row r="277" spans="5:14" ht="15.75" x14ac:dyDescent="0.25">
      <c r="F277" s="640"/>
      <c r="G277" s="640"/>
      <c r="H277" s="634"/>
      <c r="I277" s="634"/>
      <c r="J277" s="634"/>
      <c r="K277" s="634"/>
      <c r="L277" s="634"/>
      <c r="M277" s="634"/>
      <c r="N277" s="361"/>
    </row>
    <row r="278" spans="5:14" x14ac:dyDescent="0.2">
      <c r="F278" s="634"/>
      <c r="G278" s="634"/>
      <c r="H278" s="637"/>
      <c r="I278" s="634"/>
      <c r="J278" s="634"/>
      <c r="K278" s="634"/>
      <c r="L278" s="634"/>
      <c r="M278" s="634"/>
      <c r="N278" s="634"/>
    </row>
    <row r="279" spans="5:14" x14ac:dyDescent="0.2">
      <c r="F279" s="637"/>
      <c r="G279" s="637"/>
      <c r="H279" s="634"/>
      <c r="I279" s="641"/>
      <c r="J279" s="634"/>
      <c r="K279" s="634"/>
      <c r="L279" s="634"/>
      <c r="M279" s="634"/>
      <c r="N279" s="634"/>
    </row>
    <row r="280" spans="5:14" x14ac:dyDescent="0.2">
      <c r="F280" s="637"/>
      <c r="G280" s="637"/>
      <c r="H280" s="634"/>
      <c r="I280" s="641"/>
      <c r="J280" s="634"/>
      <c r="K280" s="634"/>
      <c r="L280" s="634"/>
      <c r="M280" s="634"/>
      <c r="N280" s="634"/>
    </row>
    <row r="281" spans="5:14" x14ac:dyDescent="0.2">
      <c r="F281" s="634"/>
      <c r="G281" s="634"/>
      <c r="H281" s="639"/>
      <c r="I281" s="634"/>
      <c r="J281" s="634"/>
      <c r="K281" s="634"/>
      <c r="L281" s="634"/>
      <c r="M281" s="634"/>
      <c r="N281" s="634"/>
    </row>
    <row r="282" spans="5:14" x14ac:dyDescent="0.2">
      <c r="F282" s="634"/>
      <c r="G282" s="634"/>
      <c r="H282" s="634"/>
      <c r="I282" s="634"/>
      <c r="J282" s="634"/>
      <c r="K282" s="634"/>
      <c r="L282" s="634"/>
      <c r="M282" s="634"/>
      <c r="N282" s="634"/>
    </row>
    <row r="283" spans="5:14" x14ac:dyDescent="0.2">
      <c r="F283" s="634"/>
      <c r="G283" s="634"/>
      <c r="H283" s="634"/>
      <c r="I283" s="634"/>
      <c r="J283" s="634"/>
      <c r="K283" s="634"/>
      <c r="L283" s="634"/>
      <c r="M283" s="634"/>
      <c r="N283" s="634"/>
    </row>
    <row r="284" spans="5:14" x14ac:dyDescent="0.2">
      <c r="F284" s="634"/>
      <c r="G284" s="634"/>
      <c r="H284" s="634"/>
      <c r="I284" s="634"/>
      <c r="J284" s="634"/>
      <c r="K284" s="634"/>
      <c r="L284" s="634"/>
      <c r="M284" s="634"/>
      <c r="N284" s="634"/>
    </row>
    <row r="285" spans="5:14" x14ac:dyDescent="0.2">
      <c r="F285" s="634"/>
      <c r="G285" s="634"/>
      <c r="H285" s="634"/>
      <c r="I285" s="634"/>
      <c r="J285" s="634"/>
      <c r="K285" s="634"/>
      <c r="L285" s="634"/>
      <c r="M285" s="634"/>
      <c r="N285" s="634"/>
    </row>
    <row r="286" spans="5:14" x14ac:dyDescent="0.2">
      <c r="F286" s="634"/>
      <c r="G286" s="634"/>
      <c r="H286" s="634"/>
      <c r="I286" s="634"/>
      <c r="J286" s="634"/>
      <c r="K286" s="634"/>
      <c r="L286" s="634"/>
      <c r="M286" s="634"/>
      <c r="N286" s="634"/>
    </row>
    <row r="287" spans="5:14" x14ac:dyDescent="0.2">
      <c r="F287" s="634"/>
      <c r="G287" s="634"/>
      <c r="H287" s="634"/>
      <c r="I287" s="634"/>
      <c r="J287" s="634"/>
      <c r="K287" s="634"/>
      <c r="L287" s="634"/>
      <c r="M287" s="634"/>
      <c r="N287" s="634"/>
    </row>
    <row r="288" spans="5:14" x14ac:dyDescent="0.2">
      <c r="F288" s="634"/>
      <c r="G288" s="634"/>
      <c r="H288" s="634"/>
      <c r="I288" s="634"/>
      <c r="J288" s="634"/>
      <c r="K288" s="634"/>
      <c r="L288" s="634"/>
      <c r="M288" s="634"/>
      <c r="N288" s="634"/>
    </row>
    <row r="289" spans="6:14" x14ac:dyDescent="0.2">
      <c r="F289" s="634"/>
      <c r="G289" s="634"/>
      <c r="H289" s="634"/>
      <c r="I289" s="634"/>
      <c r="J289" s="634"/>
      <c r="K289" s="634"/>
      <c r="L289" s="634"/>
      <c r="M289" s="634"/>
      <c r="N289" s="634"/>
    </row>
    <row r="290" spans="6:14" x14ac:dyDescent="0.2">
      <c r="F290" s="634"/>
      <c r="G290" s="634"/>
      <c r="H290" s="634"/>
      <c r="I290" s="634"/>
      <c r="J290" s="634"/>
      <c r="K290" s="634"/>
      <c r="L290" s="634"/>
      <c r="M290" s="634"/>
      <c r="N290" s="634"/>
    </row>
    <row r="291" spans="6:14" x14ac:dyDescent="0.2">
      <c r="F291" s="634"/>
      <c r="G291" s="634"/>
      <c r="H291" s="634"/>
      <c r="I291" s="634"/>
      <c r="J291" s="634"/>
      <c r="K291" s="634"/>
      <c r="L291" s="634"/>
      <c r="M291" s="634"/>
      <c r="N291" s="634"/>
    </row>
    <row r="292" spans="6:14" x14ac:dyDescent="0.2">
      <c r="F292" s="634"/>
      <c r="G292" s="634"/>
      <c r="H292" s="634"/>
      <c r="I292" s="634"/>
      <c r="J292" s="634"/>
      <c r="K292" s="634"/>
      <c r="L292" s="634"/>
      <c r="M292" s="634"/>
      <c r="N292" s="634"/>
    </row>
    <row r="293" spans="6:14" x14ac:dyDescent="0.2">
      <c r="F293" s="634"/>
      <c r="G293" s="634"/>
      <c r="H293" s="634"/>
      <c r="I293" s="634"/>
      <c r="J293" s="634"/>
      <c r="K293" s="634"/>
      <c r="L293" s="634"/>
      <c r="M293" s="634"/>
      <c r="N293" s="634"/>
    </row>
  </sheetData>
  <sheetProtection insertColumns="0" insertRows="0" deleteColumns="0" deleteRows="0"/>
  <customSheetViews>
    <customSheetView guid="{AD88818B-9F97-4B1E-9426-0DECE603685E}" scale="80" showGridLines="0" fitToPage="1" showRuler="0">
      <pane ySplit="22" topLeftCell="A23" activePane="bottomLeft" state="frozen"/>
      <selection pane="bottomLeft" activeCell="E3" sqref="E3"/>
      <pageMargins left="0.75" right="0.75" top="1" bottom="1" header="0.5" footer="0.5"/>
      <pageSetup paperSize="8" fitToHeight="0" orientation="landscape"/>
      <headerFooter alignWithMargins="0">
        <oddFooter>&amp;L&amp;8&amp;F&amp;C&amp;8&amp;A&amp;R&amp;8page&amp;P</oddFooter>
      </headerFooter>
    </customSheetView>
    <customSheetView guid="{7EB5D807-CE20-46E2-AEE6-2C193E010EA4}" scale="80" showGridLines="0" fitToPage="1" showRuler="0">
      <pane ySplit="22" topLeftCell="A23" activePane="bottomLeft" state="frozen"/>
      <selection pane="bottomLeft" activeCell="E3" sqref="E3"/>
      <pageMargins left="0.75" right="0.75" top="1" bottom="1" header="0.5" footer="0.5"/>
      <pageSetup paperSize="8" fitToHeight="0" orientation="landscape"/>
      <headerFooter alignWithMargins="0">
        <oddFooter>&amp;L&amp;8&amp;F&amp;C&amp;8&amp;A&amp;R&amp;8page&amp;P</oddFooter>
      </headerFooter>
    </customSheetView>
  </customSheetViews>
  <mergeCells count="6">
    <mergeCell ref="F239:L240"/>
    <mergeCell ref="F241:L242"/>
    <mergeCell ref="H11:H12"/>
    <mergeCell ref="O11:O12"/>
    <mergeCell ref="F222:L223"/>
    <mergeCell ref="F224:L225"/>
  </mergeCells>
  <phoneticPr fontId="0" type="noConversion"/>
  <conditionalFormatting sqref="O9:O23">
    <cfRule type="cellIs" dxfId="59" priority="2" stopIfTrue="1" operator="notBetween">
      <formula>-0.05</formula>
      <formula>0.05</formula>
    </cfRule>
  </conditionalFormatting>
  <conditionalFormatting sqref="E19">
    <cfRule type="expression" dxfId="58" priority="4" stopIfTrue="1">
      <formula>($E19="Combined result of previous calculation")</formula>
    </cfRule>
  </conditionalFormatting>
  <conditionalFormatting sqref="A19:D19 F19:G19">
    <cfRule type="expression" dxfId="57" priority="5" stopIfTrue="1">
      <formula>($E19="Combined result of previous calculation")</formula>
    </cfRule>
  </conditionalFormatting>
  <conditionalFormatting sqref="A10:G10 A7:G8 A14:G15">
    <cfRule type="expression" dxfId="56" priority="6" stopIfTrue="1">
      <formula>($E7&lt;&gt;"")</formula>
    </cfRule>
  </conditionalFormatting>
  <conditionalFormatting sqref="A20:D20 F20:G20">
    <cfRule type="expression" dxfId="55" priority="7" stopIfTrue="1">
      <formula>($E20="Esca included in combined result of previous calculation")</formula>
    </cfRule>
  </conditionalFormatting>
  <conditionalFormatting sqref="E20">
    <cfRule type="expression" dxfId="54" priority="8" stopIfTrue="1">
      <formula>($E20="Esca included in combined result of previous calculation")</formula>
    </cfRule>
  </conditionalFormatting>
  <conditionalFormatting sqref="A16:G16">
    <cfRule type="expression" dxfId="53" priority="1" stopIfTrue="1">
      <formula>($E16&lt;&gt;"")</formula>
    </cfRule>
  </conditionalFormatting>
  <dataValidations count="9">
    <dataValidation type="list" allowBlank="1" showInputMessage="1" showErrorMessage="1" sqref="F6 F9 F13" xr:uid="{00000000-0002-0000-1400-000000000000}">
      <formula1>"A,D"</formula1>
    </dataValidation>
    <dataValidation type="list" showDropDown="1" showInputMessage="1" showErrorMessage="1" errorTitle="Wrong input" error="Only values &quot;0&quot; and &quot;29&quot; are allowed_x000a_" sqref="C231" xr:uid="{00000000-0002-0000-1400-000001000000}">
      <formula1>"0,29"</formula1>
    </dataValidation>
    <dataValidation allowBlank="1" showInputMessage="1" showErrorMessage="1" promptTitle="Input value for manure" prompt="Use of manure will not lead to direct GHG emissions as the emission coeffient is 0 g CO2,eq/MJ._x000a_Use of manure will indirectly lead to GHG emissions. When using actual inputs, field N2O emissions must be calculated which increase due to use of manure." sqref="C35" xr:uid="{00000000-0002-0000-1400-000002000000}"/>
    <dataValidation type="list" allowBlank="1" showInputMessage="1" showErrorMessage="1" sqref="E19" xr:uid="{00000000-0002-0000-1400-000003000000}">
      <formula1>"- , Combined result of previous calculation"</formula1>
    </dataValidation>
    <dataValidation type="list" allowBlank="1" showInputMessage="1" showErrorMessage="1" sqref="E7:E8 E10 E14:E16" xr:uid="{00000000-0002-0000-1400-000004000000}">
      <formula1>"- ,Individual result of previous calculation, Combined result of previous calculation"</formula1>
    </dataValidation>
    <dataValidation type="list" allowBlank="1" showInputMessage="1" showErrorMessage="1" sqref="E20" xr:uid="{00000000-0002-0000-1400-000005000000}">
      <formula1>"- , Esca included in combined result of previous calculation"</formula1>
    </dataValidation>
    <dataValidation allowBlank="1" showInputMessage="1" showErrorMessage="1" promptTitle="Please note !" prompt="When changing the value in this cell, you must indicate in column E under &quot;overview results&quot; that you have used the result of a previous calculation. Please refer to paragraph 4.2 of the user manual for further instructions and examples." sqref="N43 N52 N64 N99" xr:uid="{00000000-0002-0000-1400-000006000000}"/>
    <dataValidation allowBlank="1" showInputMessage="1" showErrorMessage="1" promptTitle="Electricity mix" sqref="B204 B216 B174 B167 B142 B135 B63 B122 B124" xr:uid="{00000000-0002-0000-1400-000007000000}"/>
    <dataValidation type="list" allowBlank="1" showInputMessage="1" showErrorMessage="1" sqref="C74" xr:uid="{00000000-0002-0000-1400-000008000000}">
      <mc:AlternateContent xmlns:x12ac="http://schemas.microsoft.com/office/spreadsheetml/2011/1/ac" xmlns:mc="http://schemas.openxmlformats.org/markup-compatibility/2006">
        <mc:Choice Requires="x12ac">
          <x12ac:list>1,"1,4"</x12ac:list>
        </mc:Choice>
        <mc:Fallback>
          <formula1>"1,1,4"</formula1>
        </mc:Fallback>
      </mc:AlternateContent>
    </dataValidation>
  </dataValidations>
  <hyperlinks>
    <hyperlink ref="O51" location="Menu!A6" display="Back to menu" xr:uid="{00000000-0004-0000-1400-000000000000}"/>
    <hyperlink ref="O198" location="Menu!A6" display="Back to menu" xr:uid="{00000000-0004-0000-1400-000001000000}"/>
    <hyperlink ref="O50" location="Menu!A6" display="Back to menu" xr:uid="{00000000-0004-0000-1400-000002000000}"/>
    <hyperlink ref="O197" location="Menu!A6" display="Back to menu" xr:uid="{00000000-0004-0000-1400-000003000000}"/>
    <hyperlink ref="O116" location="Menu!A6" display="Back to menu" xr:uid="{00000000-0004-0000-1400-000004000000}"/>
    <hyperlink ref="O115" location="Menu!A6" display="Back to menu" xr:uid="{00000000-0004-0000-1400-000005000000}"/>
    <hyperlink ref="C242" location="Esca!A1" display="Esca!A1" xr:uid="{00000000-0004-0000-1400-000006000000}"/>
    <hyperlink ref="C225" location="LUC!A1" display="LUC!A1" xr:uid="{00000000-0004-0000-1400-000007000000}"/>
    <hyperlink ref="C44" location="'N2O emissions IPCC '!A1" display="N2O emissions IPCC" xr:uid="{00000000-0004-0000-1400-000008000000}"/>
  </hyperlinks>
  <pageMargins left="0.75" right="0.75" top="1" bottom="1" header="0.5" footer="0.5"/>
  <pageSetup paperSize="8" fitToHeight="0" orientation="landscape"/>
  <headerFooter alignWithMargins="0">
    <oddFooter>&amp;L&amp;8&amp;F&amp;C&amp;8&amp;A&amp;R&amp;8page&amp;P</oddFooter>
  </headerFooter>
  <drawing r:id="rId1"/>
  <legacyDrawing r:id="rId2"/>
  <controls>
    <mc:AlternateContent xmlns:mc="http://schemas.openxmlformats.org/markup-compatibility/2006">
      <mc:Choice Requires="x14">
        <control shapeId="14340" r:id="rId3" name="CheckBox2">
          <controlPr autoLine="0" linkedCell="About!N86" r:id="rId4">
            <anchor moveWithCells="1">
              <from>
                <xdr:col>9</xdr:col>
                <xdr:colOff>38100</xdr:colOff>
                <xdr:row>18</xdr:row>
                <xdr:rowOff>47625</xdr:rowOff>
              </from>
              <to>
                <xdr:col>13</xdr:col>
                <xdr:colOff>885825</xdr:colOff>
                <xdr:row>20</xdr:row>
                <xdr:rowOff>85725</xdr:rowOff>
              </to>
            </anchor>
          </controlPr>
        </control>
      </mc:Choice>
      <mc:Fallback>
        <control shapeId="14340" r:id="rId3" name="CheckBox2"/>
      </mc:Fallback>
    </mc:AlternateContent>
    <mc:AlternateContent xmlns:mc="http://schemas.openxmlformats.org/markup-compatibility/2006">
      <mc:Choice Requires="x14">
        <control shapeId="14341" r:id="rId5" name="CheckBox1">
          <controlPr autoLine="0" linkedCell="About!N88" r:id="rId6">
            <anchor moveWithCells="1">
              <from>
                <xdr:col>9</xdr:col>
                <xdr:colOff>38100</xdr:colOff>
                <xdr:row>16</xdr:row>
                <xdr:rowOff>0</xdr:rowOff>
              </from>
              <to>
                <xdr:col>13</xdr:col>
                <xdr:colOff>866775</xdr:colOff>
                <xdr:row>18</xdr:row>
                <xdr:rowOff>161925</xdr:rowOff>
              </to>
            </anchor>
          </controlPr>
        </control>
      </mc:Choice>
      <mc:Fallback>
        <control shapeId="14341" r:id="rId5" name="CheckBox1"/>
      </mc:Fallback>
    </mc:AlternateContent>
    <mc:AlternateContent xmlns:mc="http://schemas.openxmlformats.org/markup-compatibility/2006">
      <mc:Choice Requires="x14">
        <control shapeId="14539" r:id="rId7" name="ComboBox1">
          <controlPr locked="0" defaultSize="0" autoLine="0" linkedCell="D224" listFillRange="D222:D223" r:id="rId8">
            <anchor moveWithCells="1">
              <from>
                <xdr:col>2</xdr:col>
                <xdr:colOff>9525</xdr:colOff>
                <xdr:row>222</xdr:row>
                <xdr:rowOff>0</xdr:rowOff>
              </from>
              <to>
                <xdr:col>3</xdr:col>
                <xdr:colOff>38100</xdr:colOff>
                <xdr:row>223</xdr:row>
                <xdr:rowOff>9525</xdr:rowOff>
              </to>
            </anchor>
          </controlPr>
        </control>
      </mc:Choice>
      <mc:Fallback>
        <control shapeId="14539" r:id="rId7" name="ComboBox1"/>
      </mc:Fallback>
    </mc:AlternateContent>
    <mc:AlternateContent xmlns:mc="http://schemas.openxmlformats.org/markup-compatibility/2006">
      <mc:Choice Requires="x14">
        <control shapeId="14810" r:id="rId9" name="ComboBox2">
          <controlPr locked="0" defaultSize="0" autoLine="0" linkedCell="D241" listFillRange="D239:D240" r:id="rId10">
            <anchor moveWithCells="1">
              <from>
                <xdr:col>2</xdr:col>
                <xdr:colOff>0</xdr:colOff>
                <xdr:row>239</xdr:row>
                <xdr:rowOff>9525</xdr:rowOff>
              </from>
              <to>
                <xdr:col>3</xdr:col>
                <xdr:colOff>9525</xdr:colOff>
                <xdr:row>240</xdr:row>
                <xdr:rowOff>19050</xdr:rowOff>
              </to>
            </anchor>
          </controlPr>
        </control>
      </mc:Choice>
      <mc:Fallback>
        <control shapeId="14810" r:id="rId9" name="ComboBox2"/>
      </mc:Fallback>
    </mc:AlternateContent>
    <mc:AlternateContent xmlns:mc="http://schemas.openxmlformats.org/markup-compatibility/2006">
      <mc:Choice Requires="x14">
        <control shapeId="15138" r:id="rId11" name="cmdTrackChanges">
          <controlPr defaultSize="0" autoLine="0" r:id="rId12">
            <anchor moveWithCells="1">
              <from>
                <xdr:col>1</xdr:col>
                <xdr:colOff>1276350</xdr:colOff>
                <xdr:row>22</xdr:row>
                <xdr:rowOff>104775</xdr:rowOff>
              </from>
              <to>
                <xdr:col>3</xdr:col>
                <xdr:colOff>447675</xdr:colOff>
                <xdr:row>23</xdr:row>
                <xdr:rowOff>228600</xdr:rowOff>
              </to>
            </anchor>
          </controlPr>
        </control>
      </mc:Choice>
      <mc:Fallback>
        <control shapeId="15138" r:id="rId11" name="cmdTrackChanges"/>
      </mc:Fallback>
    </mc:AlternateContent>
    <mc:AlternateContent xmlns:mc="http://schemas.openxmlformats.org/markup-compatibility/2006">
      <mc:Choice Requires="x14">
        <control shapeId="15214" r:id="rId13" name="Label 878">
          <controlPr defaultSize="0" autoFill="0" autoLine="0" autoPict="0" macro="[0]!GoToAbout">
            <anchor moveWithCells="1" sizeWithCells="1">
              <from>
                <xdr:col>10</xdr:col>
                <xdr:colOff>438150</xdr:colOff>
                <xdr:row>0</xdr:row>
                <xdr:rowOff>800100</xdr:rowOff>
              </from>
              <to>
                <xdr:col>12</xdr:col>
                <xdr:colOff>85725</xdr:colOff>
                <xdr:row>1</xdr:row>
                <xdr:rowOff>0</xdr:rowOff>
              </to>
            </anchor>
          </controlPr>
        </control>
      </mc:Choice>
    </mc:AlternateContent>
    <mc:AlternateContent xmlns:mc="http://schemas.openxmlformats.org/markup-compatibility/2006">
      <mc:Choice Requires="x14">
        <control shapeId="15215" r:id="rId14" name="Label 879">
          <controlPr defaultSize="0" autoFill="0" autoLine="0" autoPict="0" macro="[0]!GoToDirectory">
            <anchor moveWithCells="1" sizeWithCells="1">
              <from>
                <xdr:col>12</xdr:col>
                <xdr:colOff>161925</xdr:colOff>
                <xdr:row>0</xdr:row>
                <xdr:rowOff>800100</xdr:rowOff>
              </from>
              <to>
                <xdr:col>13</xdr:col>
                <xdr:colOff>990600</xdr:colOff>
                <xdr:row>1</xdr:row>
                <xdr:rowOff>0</xdr:rowOff>
              </to>
            </anchor>
          </controlPr>
        </control>
      </mc:Choice>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F5">
    <pageSetUpPr fitToPage="1"/>
  </sheetPr>
  <dimension ref="A1:O292"/>
  <sheetViews>
    <sheetView showGridLines="0" zoomScale="80" workbookViewId="0">
      <selection activeCell="A2" sqref="A2"/>
    </sheetView>
  </sheetViews>
  <sheetFormatPr baseColWidth="10" defaultColWidth="8.85546875" defaultRowHeight="12.75" x14ac:dyDescent="0.2"/>
  <cols>
    <col min="1" max="1" width="22.5703125" style="360" customWidth="1"/>
    <col min="2" max="2" width="25.85546875" style="360" customWidth="1"/>
    <col min="3" max="3" width="9.7109375" style="360" customWidth="1"/>
    <col min="4" max="4" width="20.140625" style="360" customWidth="1"/>
    <col min="5" max="5" width="14.85546875" style="360" customWidth="1"/>
    <col min="6" max="6" width="8.5703125" style="360" customWidth="1"/>
    <col min="7" max="7" width="2.85546875" style="360" customWidth="1"/>
    <col min="8" max="8" width="19.5703125" style="360" customWidth="1"/>
    <col min="9" max="12" width="9.140625" style="360" customWidth="1"/>
    <col min="13" max="13" width="2.5703125" style="360" customWidth="1"/>
    <col min="14" max="14" width="16.7109375" style="360" customWidth="1"/>
    <col min="15" max="15" width="13.7109375" style="360" customWidth="1"/>
    <col min="16" max="16384" width="8.85546875" style="361"/>
  </cols>
  <sheetData>
    <row r="1" spans="1:15" ht="102" customHeight="1" x14ac:dyDescent="0.2"/>
    <row r="2" spans="1:15" ht="27.75" customHeight="1" x14ac:dyDescent="0.25">
      <c r="A2" s="362" t="s">
        <v>371</v>
      </c>
      <c r="B2" s="363"/>
      <c r="C2" s="364"/>
      <c r="D2" s="364"/>
      <c r="E2" s="364"/>
      <c r="F2" s="365"/>
      <c r="G2" s="365"/>
      <c r="H2" s="366"/>
      <c r="I2" s="367"/>
      <c r="J2" s="368"/>
      <c r="K2" s="369"/>
      <c r="L2" s="370"/>
      <c r="M2" s="367"/>
      <c r="N2" s="367"/>
      <c r="O2" s="371" t="str">
        <f>About!D2</f>
        <v>Version 4d for Testing</v>
      </c>
    </row>
    <row r="3" spans="1:15" ht="27.75" customHeight="1" x14ac:dyDescent="0.25">
      <c r="A3" s="372" t="s">
        <v>1050</v>
      </c>
      <c r="B3" s="373"/>
      <c r="C3" s="374"/>
      <c r="D3" s="374"/>
      <c r="E3" s="373"/>
      <c r="F3" s="373"/>
      <c r="G3" s="373"/>
      <c r="H3" s="375"/>
      <c r="I3" s="376"/>
      <c r="J3" s="377"/>
      <c r="K3" s="378"/>
      <c r="L3" s="377"/>
      <c r="M3" s="377"/>
      <c r="N3" s="379"/>
      <c r="O3" s="378"/>
    </row>
    <row r="4" spans="1:15" ht="16.5" customHeight="1" x14ac:dyDescent="0.25">
      <c r="A4" s="380" t="s">
        <v>861</v>
      </c>
      <c r="B4" s="381" t="s">
        <v>854</v>
      </c>
      <c r="C4" s="381" t="s">
        <v>1057</v>
      </c>
      <c r="D4" s="381" t="s">
        <v>852</v>
      </c>
      <c r="E4" s="382" t="s">
        <v>1047</v>
      </c>
      <c r="F4" s="383" t="s">
        <v>1125</v>
      </c>
      <c r="G4" s="384"/>
      <c r="H4" s="385" t="s">
        <v>869</v>
      </c>
      <c r="I4" s="386"/>
      <c r="J4" s="387" t="s">
        <v>1063</v>
      </c>
      <c r="K4" s="388"/>
      <c r="L4" s="389"/>
      <c r="M4" s="390"/>
      <c r="N4" s="387" t="s">
        <v>391</v>
      </c>
      <c r="O4" s="391"/>
    </row>
    <row r="5" spans="1:15" ht="16.5" customHeight="1" x14ac:dyDescent="0.25">
      <c r="A5" s="392" t="s">
        <v>862</v>
      </c>
      <c r="B5" s="393" t="s">
        <v>853</v>
      </c>
      <c r="C5" s="393" t="s">
        <v>1062</v>
      </c>
      <c r="D5" s="393" t="s">
        <v>853</v>
      </c>
      <c r="E5" s="394"/>
      <c r="F5" s="395" t="s">
        <v>1126</v>
      </c>
      <c r="G5" s="396"/>
      <c r="H5" s="397" t="s">
        <v>866</v>
      </c>
      <c r="I5" s="390"/>
      <c r="J5" s="398" t="str">
        <f>A69</f>
        <v>Extraction of oil</v>
      </c>
      <c r="K5" s="399"/>
      <c r="L5" s="400"/>
      <c r="M5" s="390"/>
      <c r="N5" s="398" t="s">
        <v>395</v>
      </c>
      <c r="O5" s="400"/>
    </row>
    <row r="6" spans="1:15" ht="16.5" customHeight="1" x14ac:dyDescent="0.35">
      <c r="A6" s="401" t="s">
        <v>170</v>
      </c>
      <c r="B6" s="402"/>
      <c r="C6" s="403"/>
      <c r="D6" s="404"/>
      <c r="E6" s="405">
        <f>IF(F6="A",D7+D8,H6)</f>
        <v>14.27503378635854</v>
      </c>
      <c r="F6" s="406" t="s">
        <v>1127</v>
      </c>
      <c r="G6" s="407"/>
      <c r="H6" s="408">
        <v>14</v>
      </c>
      <c r="I6" s="390"/>
      <c r="J6" s="409">
        <f>F106/F108</f>
        <v>0.95181515158386443</v>
      </c>
      <c r="K6" s="410" t="s">
        <v>213</v>
      </c>
      <c r="L6" s="411"/>
      <c r="M6" s="390"/>
      <c r="N6" s="412">
        <v>83.8</v>
      </c>
      <c r="O6" s="413" t="s">
        <v>394</v>
      </c>
    </row>
    <row r="7" spans="1:15" ht="12" customHeight="1" x14ac:dyDescent="0.2">
      <c r="A7" s="398" t="str">
        <f>A25</f>
        <v>Cultivation of FFBs</v>
      </c>
      <c r="B7" s="414">
        <f>L45</f>
        <v>15.678881121405249</v>
      </c>
      <c r="C7" s="415">
        <f>J6*J9</f>
        <v>0.91046253082880146</v>
      </c>
      <c r="D7" s="416">
        <f>C7*B7</f>
        <v>14.27503378635854</v>
      </c>
      <c r="E7" s="1215"/>
      <c r="F7" s="418"/>
      <c r="G7" s="418"/>
      <c r="H7" s="419">
        <v>14.26</v>
      </c>
      <c r="I7" s="390"/>
      <c r="J7" s="744">
        <f>1-J6</f>
        <v>4.8184848416135573E-2</v>
      </c>
      <c r="K7" s="733" t="s">
        <v>214</v>
      </c>
      <c r="L7" s="411"/>
      <c r="M7" s="390"/>
      <c r="N7" s="398" t="s">
        <v>393</v>
      </c>
      <c r="O7" s="400"/>
    </row>
    <row r="8" spans="1:15" ht="12" customHeight="1" x14ac:dyDescent="0.2">
      <c r="A8" s="398" t="str">
        <f>A58</f>
        <v>Storage of FFB</v>
      </c>
      <c r="B8" s="414">
        <f>L66</f>
        <v>0</v>
      </c>
      <c r="C8" s="415">
        <f>J6*J9</f>
        <v>0.91046253082880146</v>
      </c>
      <c r="D8" s="416">
        <f>C8*B8</f>
        <v>0</v>
      </c>
      <c r="E8" s="1215"/>
      <c r="F8" s="418"/>
      <c r="G8" s="418"/>
      <c r="H8" s="419">
        <v>0</v>
      </c>
      <c r="I8" s="390"/>
      <c r="J8" s="398" t="str">
        <f>A160</f>
        <v>Esterification</v>
      </c>
      <c r="K8" s="399"/>
      <c r="L8" s="400"/>
      <c r="M8" s="390"/>
      <c r="N8" s="426">
        <f>(N6-E22)/N6</f>
        <v>0.55685596904550216</v>
      </c>
      <c r="O8" s="427"/>
    </row>
    <row r="9" spans="1:15" ht="16.5" customHeight="1" x14ac:dyDescent="0.35">
      <c r="A9" s="401" t="s">
        <v>544</v>
      </c>
      <c r="B9" s="423"/>
      <c r="C9" s="423"/>
      <c r="D9" s="424"/>
      <c r="E9" s="425">
        <f>IF(F9="A",D10+D11+D12, H9)</f>
        <v>17.86022137281174</v>
      </c>
      <c r="F9" s="406" t="s">
        <v>1127</v>
      </c>
      <c r="G9" s="407"/>
      <c r="H9" s="408">
        <v>18</v>
      </c>
      <c r="I9" s="390"/>
      <c r="J9" s="409">
        <f>F189/F191</f>
        <v>0.95655393729943228</v>
      </c>
      <c r="K9" s="410" t="s">
        <v>662</v>
      </c>
      <c r="L9" s="411"/>
      <c r="M9" s="390"/>
      <c r="N9" s="390"/>
      <c r="O9" s="430"/>
    </row>
    <row r="10" spans="1:15" ht="12" customHeight="1" x14ac:dyDescent="0.2">
      <c r="A10" s="398" t="str">
        <f>A69</f>
        <v>Extraction of oil</v>
      </c>
      <c r="B10" s="414">
        <f>L100</f>
        <v>0</v>
      </c>
      <c r="C10" s="415">
        <f>J6*J9</f>
        <v>0.91046253082880146</v>
      </c>
      <c r="D10" s="416">
        <f>C10*B10</f>
        <v>0</v>
      </c>
      <c r="E10" s="1215"/>
      <c r="F10" s="418"/>
      <c r="G10" s="418"/>
      <c r="H10" s="419">
        <v>0</v>
      </c>
      <c r="I10" s="390"/>
      <c r="J10" s="420">
        <f>1-J9</f>
        <v>4.3446062700567722E-2</v>
      </c>
      <c r="K10" s="421" t="s">
        <v>317</v>
      </c>
      <c r="L10" s="422"/>
      <c r="M10" s="390"/>
      <c r="N10" s="390"/>
      <c r="O10" s="441"/>
    </row>
    <row r="11" spans="1:15" ht="12" customHeight="1" x14ac:dyDescent="0.2">
      <c r="A11" s="398" t="str">
        <f>A129</f>
        <v>Refining of vegetable oil</v>
      </c>
      <c r="B11" s="414">
        <f>L147</f>
        <v>1.0648296229465015</v>
      </c>
      <c r="C11" s="415">
        <f>J9</f>
        <v>0.95655393729943228</v>
      </c>
      <c r="D11" s="416">
        <f>C11*B11</f>
        <v>1.018566968382546</v>
      </c>
      <c r="E11" s="417"/>
      <c r="F11" s="418"/>
      <c r="G11" s="418"/>
      <c r="H11" s="1429">
        <v>17.88</v>
      </c>
      <c r="I11" s="390"/>
      <c r="J11" s="390"/>
      <c r="K11" s="390"/>
      <c r="L11" s="390"/>
      <c r="M11" s="390"/>
      <c r="N11" s="390"/>
      <c r="O11" s="1428"/>
    </row>
    <row r="12" spans="1:15" ht="12" customHeight="1" x14ac:dyDescent="0.2">
      <c r="A12" s="398" t="str">
        <f>A160</f>
        <v>Esterification</v>
      </c>
      <c r="B12" s="414">
        <f>L183</f>
        <v>17.606591481894878</v>
      </c>
      <c r="C12" s="415">
        <f>J9</f>
        <v>0.95655393729943228</v>
      </c>
      <c r="D12" s="416">
        <f>C12*B12</f>
        <v>16.841654404429192</v>
      </c>
      <c r="E12" s="417"/>
      <c r="F12" s="418"/>
      <c r="G12" s="418"/>
      <c r="H12" s="1431"/>
      <c r="I12" s="390"/>
      <c r="J12" s="390"/>
      <c r="K12" s="390"/>
      <c r="L12" s="390"/>
      <c r="M12" s="390"/>
      <c r="N12" s="390"/>
      <c r="O12" s="1428"/>
    </row>
    <row r="13" spans="1:15" ht="16.5" customHeight="1" x14ac:dyDescent="0.35">
      <c r="A13" s="401" t="s">
        <v>545</v>
      </c>
      <c r="B13" s="423"/>
      <c r="C13" s="423"/>
      <c r="D13" s="424"/>
      <c r="E13" s="425">
        <f>IF(F13="A",D14+D15+D16+D17+D18, H13)</f>
        <v>5.0002146348166443</v>
      </c>
      <c r="F13" s="406" t="s">
        <v>1127</v>
      </c>
      <c r="G13" s="407"/>
      <c r="H13" s="648">
        <v>5</v>
      </c>
      <c r="I13" s="390"/>
      <c r="J13" s="390"/>
      <c r="K13" s="390"/>
      <c r="L13" s="390"/>
      <c r="M13" s="390"/>
      <c r="N13" s="390"/>
      <c r="O13" s="430"/>
    </row>
    <row r="14" spans="1:15" ht="12" customHeight="1" thickBot="1" x14ac:dyDescent="0.25">
      <c r="A14" s="398" t="str">
        <f>A48</f>
        <v>Transport of FFB</v>
      </c>
      <c r="B14" s="414">
        <f>L55</f>
        <v>0.20937679144030769</v>
      </c>
      <c r="C14" s="415">
        <f>J6*J9</f>
        <v>0.91046253082880146</v>
      </c>
      <c r="D14" s="416">
        <f t="shared" ref="D14:D21" si="0">C14*B14</f>
        <v>0.19062972343155668</v>
      </c>
      <c r="E14" s="1215"/>
      <c r="F14" s="418"/>
      <c r="G14" s="418"/>
      <c r="H14" s="419">
        <v>0.19</v>
      </c>
      <c r="I14" s="390"/>
      <c r="J14" s="390"/>
      <c r="K14" s="390"/>
      <c r="L14" s="390"/>
      <c r="M14" s="390"/>
      <c r="N14" s="390"/>
      <c r="O14" s="430"/>
    </row>
    <row r="15" spans="1:15" ht="12" customHeight="1" x14ac:dyDescent="0.2">
      <c r="A15" s="398" t="str">
        <f>A112</f>
        <v>Transport of unrefined palm oil</v>
      </c>
      <c r="B15" s="414">
        <f>L126</f>
        <v>3.7068988775326406</v>
      </c>
      <c r="C15" s="415">
        <f>J9</f>
        <v>0.95655393729943228</v>
      </c>
      <c r="D15" s="416">
        <f t="shared" si="0"/>
        <v>3.5458487164746932</v>
      </c>
      <c r="E15" s="1215"/>
      <c r="F15" s="418"/>
      <c r="G15" s="418"/>
      <c r="H15" s="419">
        <v>3.55</v>
      </c>
      <c r="I15" s="390"/>
      <c r="J15" s="432" t="s">
        <v>140</v>
      </c>
      <c r="K15" s="433"/>
      <c r="L15" s="433"/>
      <c r="M15" s="433"/>
      <c r="N15" s="434"/>
      <c r="O15" s="441"/>
    </row>
    <row r="16" spans="1:15" ht="12" customHeight="1" x14ac:dyDescent="0.2">
      <c r="A16" s="398" t="str">
        <f>A150</f>
        <v>Transport of refined palm oil</v>
      </c>
      <c r="B16" s="414">
        <f>L157</f>
        <v>0</v>
      </c>
      <c r="C16" s="415">
        <f>J9</f>
        <v>0.95655393729943228</v>
      </c>
      <c r="D16" s="416">
        <f t="shared" si="0"/>
        <v>0</v>
      </c>
      <c r="E16" s="1215"/>
      <c r="F16" s="361"/>
      <c r="G16" s="361"/>
      <c r="H16" s="419">
        <v>0</v>
      </c>
      <c r="I16" s="390"/>
      <c r="J16" s="714"/>
      <c r="K16" s="439"/>
      <c r="L16" s="439"/>
      <c r="M16" s="439"/>
      <c r="N16" s="440"/>
      <c r="O16" s="441"/>
    </row>
    <row r="17" spans="1:15" ht="12" customHeight="1" x14ac:dyDescent="0.2">
      <c r="A17" s="398" t="str">
        <f>A195</f>
        <v>Transport of FAME to depot</v>
      </c>
      <c r="B17" s="414">
        <f>L204</f>
        <v>0.46573714634408597</v>
      </c>
      <c r="C17" s="415">
        <v>1</v>
      </c>
      <c r="D17" s="416">
        <f t="shared" si="0"/>
        <v>0.46573714634408597</v>
      </c>
      <c r="E17" s="436"/>
      <c r="F17" s="437"/>
      <c r="G17" s="437"/>
      <c r="H17" s="419">
        <v>0.83</v>
      </c>
      <c r="I17" s="379"/>
      <c r="J17" s="438"/>
      <c r="K17" s="439"/>
      <c r="L17" s="439"/>
      <c r="M17" s="439"/>
      <c r="N17" s="440"/>
      <c r="O17" s="441"/>
    </row>
    <row r="18" spans="1:15" ht="12" customHeight="1" x14ac:dyDescent="0.2">
      <c r="A18" s="398" t="str">
        <f>A207</f>
        <v>Transport to filling station</v>
      </c>
      <c r="B18" s="414">
        <f>L216</f>
        <v>0.7979990485663081</v>
      </c>
      <c r="C18" s="415">
        <v>1</v>
      </c>
      <c r="D18" s="416">
        <f t="shared" si="0"/>
        <v>0.7979990485663081</v>
      </c>
      <c r="E18" s="436"/>
      <c r="F18" s="437"/>
      <c r="G18" s="437"/>
      <c r="H18" s="419">
        <v>0.44</v>
      </c>
      <c r="I18" s="379"/>
      <c r="J18" s="438"/>
      <c r="K18" s="439"/>
      <c r="L18" s="439"/>
      <c r="M18" s="442"/>
      <c r="N18" s="443"/>
      <c r="O18" s="441"/>
    </row>
    <row r="19" spans="1:15" ht="17.25" customHeight="1" x14ac:dyDescent="0.35">
      <c r="A19" s="444" t="s">
        <v>551</v>
      </c>
      <c r="B19" s="445">
        <f>L228</f>
        <v>0</v>
      </c>
      <c r="C19" s="446">
        <f>J6*J9</f>
        <v>0.91046253082880146</v>
      </c>
      <c r="D19" s="445">
        <f t="shared" si="0"/>
        <v>0</v>
      </c>
      <c r="E19" s="425">
        <f>D19</f>
        <v>0</v>
      </c>
      <c r="F19" s="451"/>
      <c r="G19" s="451"/>
      <c r="H19" s="447">
        <v>0</v>
      </c>
      <c r="I19" s="379"/>
      <c r="J19" s="438"/>
      <c r="K19" s="439"/>
      <c r="L19" s="439"/>
      <c r="M19" s="448"/>
      <c r="N19" s="449"/>
      <c r="O19" s="649"/>
    </row>
    <row r="20" spans="1:15" ht="16.5" customHeight="1" x14ac:dyDescent="0.35">
      <c r="A20" s="444" t="s">
        <v>724</v>
      </c>
      <c r="B20" s="445">
        <f>L247-L231</f>
        <v>0</v>
      </c>
      <c r="C20" s="446">
        <v>1</v>
      </c>
      <c r="D20" s="445">
        <f t="shared" si="0"/>
        <v>0</v>
      </c>
      <c r="E20" s="425">
        <f>D20</f>
        <v>0</v>
      </c>
      <c r="F20" s="451"/>
      <c r="G20" s="451"/>
      <c r="H20" s="447">
        <v>0</v>
      </c>
      <c r="I20" s="390"/>
      <c r="J20" s="438"/>
      <c r="K20" s="439"/>
      <c r="L20" s="439"/>
      <c r="M20" s="448"/>
      <c r="N20" s="449"/>
      <c r="O20" s="649"/>
    </row>
    <row r="21" spans="1:15" ht="16.5" customHeight="1" thickBot="1" x14ac:dyDescent="0.4">
      <c r="A21" s="444" t="s">
        <v>725</v>
      </c>
      <c r="B21" s="445">
        <f>L253+L259</f>
        <v>0</v>
      </c>
      <c r="C21" s="446">
        <v>1</v>
      </c>
      <c r="D21" s="445">
        <f t="shared" si="0"/>
        <v>0</v>
      </c>
      <c r="E21" s="425">
        <f>D21</f>
        <v>0</v>
      </c>
      <c r="F21" s="451"/>
      <c r="G21" s="451"/>
      <c r="H21" s="447">
        <v>0</v>
      </c>
      <c r="I21" s="390"/>
      <c r="J21" s="459" t="s">
        <v>1</v>
      </c>
      <c r="K21" s="460"/>
      <c r="L21" s="460"/>
      <c r="M21" s="461"/>
      <c r="N21" s="462"/>
      <c r="O21" s="649"/>
    </row>
    <row r="22" spans="1:15" ht="16.5" customHeight="1" thickBot="1" x14ac:dyDescent="0.3">
      <c r="A22" s="452" t="s">
        <v>1049</v>
      </c>
      <c r="B22" s="453">
        <f>SUM(B7:B19)-SUM(B20:B21)</f>
        <v>39.530314090129963</v>
      </c>
      <c r="C22" s="454"/>
      <c r="D22" s="454"/>
      <c r="E22" s="456">
        <f>SUM(E6:E19)-SUM(E20:E21)</f>
        <v>37.135469793986921</v>
      </c>
      <c r="F22" s="457"/>
      <c r="G22" s="457"/>
      <c r="H22" s="458">
        <v>37</v>
      </c>
      <c r="I22" s="379"/>
      <c r="J22" s="650"/>
      <c r="K22" s="651"/>
      <c r="L22" s="651"/>
      <c r="M22" s="652"/>
      <c r="N22" s="652"/>
      <c r="O22" s="463"/>
    </row>
    <row r="23" spans="1:15" ht="16.5" customHeight="1" x14ac:dyDescent="0.25">
      <c r="A23" s="464"/>
      <c r="B23" s="465"/>
      <c r="E23" s="466" t="s">
        <v>859</v>
      </c>
      <c r="F23" s="467"/>
      <c r="G23" s="467"/>
      <c r="H23" s="468"/>
      <c r="I23" s="469"/>
      <c r="J23" s="470"/>
      <c r="K23" s="433"/>
      <c r="L23" s="471"/>
      <c r="M23" s="433"/>
      <c r="N23" s="433"/>
      <c r="O23" s="472"/>
    </row>
    <row r="24" spans="1:15" ht="22.5" customHeight="1" thickBot="1" x14ac:dyDescent="0.25">
      <c r="A24" s="473" t="s">
        <v>1051</v>
      </c>
      <c r="B24" s="379"/>
      <c r="E24" s="474" t="s">
        <v>860</v>
      </c>
      <c r="F24" s="442"/>
      <c r="G24" s="442"/>
      <c r="H24" s="442"/>
      <c r="I24" s="439"/>
      <c r="J24" s="475"/>
      <c r="K24" s="475"/>
      <c r="L24" s="476"/>
      <c r="M24" s="477"/>
      <c r="N24" s="477"/>
      <c r="O24" s="478"/>
    </row>
    <row r="25" spans="1:15" ht="15.75" x14ac:dyDescent="0.25">
      <c r="A25" s="479" t="s">
        <v>206</v>
      </c>
      <c r="B25" s="480"/>
      <c r="C25" s="480"/>
      <c r="D25" s="480"/>
      <c r="E25" s="479" t="s">
        <v>513</v>
      </c>
      <c r="F25" s="481"/>
      <c r="G25" s="481"/>
      <c r="H25" s="480"/>
      <c r="I25" s="482" t="s">
        <v>532</v>
      </c>
      <c r="J25" s="481"/>
      <c r="K25" s="481"/>
      <c r="L25" s="483"/>
      <c r="M25" s="715"/>
      <c r="N25" s="610" t="s">
        <v>162</v>
      </c>
      <c r="O25" s="653"/>
    </row>
    <row r="26" spans="1:15" ht="15.75" x14ac:dyDescent="0.25">
      <c r="A26" s="486"/>
      <c r="B26" s="487" t="s">
        <v>524</v>
      </c>
      <c r="C26" s="488"/>
      <c r="D26" s="488"/>
      <c r="E26" s="489" t="s">
        <v>524</v>
      </c>
      <c r="F26" s="490"/>
      <c r="G26" s="490"/>
      <c r="H26" s="491"/>
      <c r="I26" s="492" t="s">
        <v>746</v>
      </c>
      <c r="J26" s="490"/>
      <c r="K26" s="490"/>
      <c r="L26" s="493"/>
      <c r="M26" s="484"/>
      <c r="N26" s="538" t="s">
        <v>208</v>
      </c>
      <c r="O26" s="654" t="s">
        <v>139</v>
      </c>
    </row>
    <row r="27" spans="1:15" ht="16.5" x14ac:dyDescent="0.3">
      <c r="A27" s="494"/>
      <c r="B27" s="495" t="s">
        <v>1042</v>
      </c>
      <c r="C27" s="655">
        <v>19000</v>
      </c>
      <c r="D27" s="497" t="s">
        <v>527</v>
      </c>
      <c r="E27" s="656">
        <f>C27*(1-C28)*VLOOKUP($B27,'Standard values'!$C$9:$S$162,14, FALSE)</f>
        <v>300959.99999999994</v>
      </c>
      <c r="F27" s="499" t="s">
        <v>199</v>
      </c>
      <c r="G27" s="499"/>
      <c r="H27" s="499"/>
      <c r="I27" s="500" t="s">
        <v>1053</v>
      </c>
      <c r="J27" s="500" t="s">
        <v>1054</v>
      </c>
      <c r="K27" s="500" t="s">
        <v>1055</v>
      </c>
      <c r="L27" s="501" t="s">
        <v>1056</v>
      </c>
      <c r="M27" s="379"/>
      <c r="N27" s="540" t="s">
        <v>1056</v>
      </c>
      <c r="O27" s="657" t="s">
        <v>550</v>
      </c>
    </row>
    <row r="28" spans="1:15" ht="15.75" x14ac:dyDescent="0.3">
      <c r="A28" s="503"/>
      <c r="B28" s="495" t="s">
        <v>521</v>
      </c>
      <c r="C28" s="658">
        <v>0.34</v>
      </c>
      <c r="D28" s="497"/>
      <c r="E28" s="505">
        <v>1</v>
      </c>
      <c r="F28" s="506" t="s">
        <v>200</v>
      </c>
      <c r="G28" s="506"/>
      <c r="H28" s="495"/>
      <c r="I28" s="507"/>
      <c r="J28" s="508"/>
      <c r="K28" s="508"/>
      <c r="L28" s="509"/>
      <c r="M28" s="379"/>
      <c r="N28" s="541"/>
      <c r="O28" s="616"/>
    </row>
    <row r="29" spans="1:15" ht="15.75" x14ac:dyDescent="0.3">
      <c r="A29" s="503"/>
      <c r="B29" s="495"/>
      <c r="C29" s="660"/>
      <c r="D29" s="497"/>
      <c r="E29" s="510">
        <f>+C27/E264</f>
        <v>0.12742790544720814</v>
      </c>
      <c r="F29" s="506" t="s">
        <v>201</v>
      </c>
      <c r="G29" s="506"/>
      <c r="H29" s="495"/>
      <c r="I29" s="546"/>
      <c r="J29" s="546"/>
      <c r="K29" s="546"/>
      <c r="L29" s="661"/>
      <c r="M29" s="379"/>
      <c r="N29" s="541"/>
      <c r="O29" s="616"/>
    </row>
    <row r="30" spans="1:15" x14ac:dyDescent="0.2">
      <c r="A30" s="503"/>
      <c r="B30" s="511" t="s">
        <v>525</v>
      </c>
      <c r="C30" s="660"/>
      <c r="D30" s="497"/>
      <c r="E30" s="503"/>
      <c r="F30" s="495"/>
      <c r="G30" s="495"/>
      <c r="H30" s="495"/>
      <c r="I30" s="546"/>
      <c r="J30" s="546"/>
      <c r="K30" s="546"/>
      <c r="L30" s="661"/>
      <c r="M30" s="379"/>
      <c r="N30" s="541"/>
      <c r="O30" s="616"/>
    </row>
    <row r="31" spans="1:15" ht="14.25" x14ac:dyDescent="0.2">
      <c r="A31" s="503"/>
      <c r="B31" s="495" t="s">
        <v>509</v>
      </c>
      <c r="C31" s="662">
        <v>2064.5855999999999</v>
      </c>
      <c r="D31" s="497" t="s">
        <v>528</v>
      </c>
      <c r="E31" s="513"/>
      <c r="F31" s="495"/>
      <c r="G31" s="495"/>
      <c r="H31" s="495"/>
      <c r="I31" s="508">
        <f>$C31*VLOOKUP($B31,'Standard values'!$C$9:$S$162,7, FALSE)/$E$264</f>
        <v>1.2135025698248463</v>
      </c>
      <c r="J31" s="508">
        <f>$C31*VLOOKUP($B31,'Standard values'!$C$9:$S$162,8, FALSE)/$E$264</f>
        <v>0</v>
      </c>
      <c r="K31" s="508">
        <f>$C31*VLOOKUP($B31,'Standard values'!$C$9:$S$162,9, FALSE)/$E$264</f>
        <v>0</v>
      </c>
      <c r="L31" s="509">
        <f>I31*'Standard values'!$D$10+J31*'Standard values'!$D$11+K31*'Standard values'!$D$12</f>
        <v>1.2135025698248463</v>
      </c>
      <c r="M31" s="379"/>
      <c r="N31" s="562">
        <f>+L31/$E$29</f>
        <v>9.5230519999999999</v>
      </c>
      <c r="O31" s="663">
        <f>L31*$E$264/1000</f>
        <v>180.93798799999999</v>
      </c>
    </row>
    <row r="32" spans="1:15" x14ac:dyDescent="0.2">
      <c r="A32" s="503"/>
      <c r="B32" s="495"/>
      <c r="C32" s="660"/>
      <c r="D32" s="497"/>
      <c r="E32" s="513"/>
      <c r="F32" s="495"/>
      <c r="G32" s="495"/>
      <c r="H32" s="495"/>
      <c r="I32" s="508"/>
      <c r="J32" s="508"/>
      <c r="K32" s="508"/>
      <c r="L32" s="509"/>
      <c r="M32" s="379"/>
      <c r="N32" s="562"/>
      <c r="O32" s="663"/>
    </row>
    <row r="33" spans="1:15" x14ac:dyDescent="0.2">
      <c r="A33" s="503"/>
      <c r="B33" s="511" t="s">
        <v>1045</v>
      </c>
      <c r="C33" s="660"/>
      <c r="D33" s="497"/>
      <c r="E33" s="513"/>
      <c r="F33" s="495"/>
      <c r="G33" s="495"/>
      <c r="H33" s="495"/>
      <c r="I33" s="508"/>
      <c r="J33" s="508"/>
      <c r="K33" s="508"/>
      <c r="L33" s="509"/>
      <c r="M33" s="379"/>
      <c r="N33" s="562"/>
      <c r="O33" s="663"/>
    </row>
    <row r="34" spans="1:15" ht="14.25" x14ac:dyDescent="0.2">
      <c r="A34" s="503"/>
      <c r="B34" s="495" t="s">
        <v>231</v>
      </c>
      <c r="C34" s="664">
        <v>127.90799999999999</v>
      </c>
      <c r="D34" s="497" t="s">
        <v>529</v>
      </c>
      <c r="E34" s="513"/>
      <c r="F34" s="495"/>
      <c r="G34" s="495"/>
      <c r="H34" s="495"/>
      <c r="I34" s="508">
        <f>$C34*VLOOKUP($B34,'Standard values'!$C$9:$S$162,3, FALSE)/$E$264</f>
        <v>2.4251310557622321</v>
      </c>
      <c r="J34" s="508">
        <f>$C34*VLOOKUP($B34,'Standard values'!$C$9:$S$162,4, FALSE)/$E$264</f>
        <v>7.4450622306134889E-3</v>
      </c>
      <c r="K34" s="508">
        <f>$C34*VLOOKUP($B34,'Standard values'!$C$9:$S$162,5, FALSE)/$E$264</f>
        <v>8.2711666376836801E-3</v>
      </c>
      <c r="L34" s="509">
        <f>I34*'Standard values'!$D$10+J34*'Standard values'!$D$11+K34*'Standard values'!$D$12</f>
        <v>5.0760652695573061</v>
      </c>
      <c r="M34" s="379"/>
      <c r="N34" s="562">
        <f t="shared" ref="N34:N40" si="1">+L34/$E$29</f>
        <v>39.834801111599994</v>
      </c>
      <c r="O34" s="663">
        <f t="shared" ref="O34:O40" si="2">L34*$E$264/1000</f>
        <v>756.86122112039993</v>
      </c>
    </row>
    <row r="35" spans="1:15" ht="14.25" x14ac:dyDescent="0.2">
      <c r="A35" s="503"/>
      <c r="B35" s="495" t="s">
        <v>504</v>
      </c>
      <c r="C35" s="556">
        <v>0</v>
      </c>
      <c r="D35" s="497" t="s">
        <v>529</v>
      </c>
      <c r="E35" s="513"/>
      <c r="F35" s="495"/>
      <c r="G35" s="495"/>
      <c r="H35" s="495"/>
      <c r="I35" s="508">
        <f>$C35*VLOOKUP($B35,'Standard values'!$C$9:$S$162,3, FALSE)/$E$264</f>
        <v>0</v>
      </c>
      <c r="J35" s="508">
        <f>$C35*VLOOKUP($B35,'Standard values'!$C$9:$S$162,4, FALSE)/$E$264</f>
        <v>0</v>
      </c>
      <c r="K35" s="508">
        <f>$C35*VLOOKUP($B35,'Standard values'!$C$9:$S$162,5, FALSE)/$E$264</f>
        <v>0</v>
      </c>
      <c r="L35" s="509">
        <f>I35*'Standard values'!$D$10+J35*'Standard values'!$D$11+K35*'Standard values'!$D$12</f>
        <v>0</v>
      </c>
      <c r="M35" s="379"/>
      <c r="N35" s="562">
        <f>+L35/$E$29</f>
        <v>0</v>
      </c>
      <c r="O35" s="663">
        <f t="shared" si="2"/>
        <v>0</v>
      </c>
    </row>
    <row r="36" spans="1:15" ht="14.25" x14ac:dyDescent="0.2">
      <c r="A36" s="503"/>
      <c r="B36" s="495" t="s">
        <v>234</v>
      </c>
      <c r="C36" s="664">
        <v>0</v>
      </c>
      <c r="D36" s="497" t="s">
        <v>745</v>
      </c>
      <c r="E36" s="513"/>
      <c r="F36" s="495"/>
      <c r="G36" s="495"/>
      <c r="H36" s="495"/>
      <c r="I36" s="508">
        <f>$C36*VLOOKUP($B36,'Standard values'!$C$9:$S$162,3, FALSE)/$E$264</f>
        <v>0</v>
      </c>
      <c r="J36" s="508">
        <f>$C36*VLOOKUP($B36,'Standard values'!$C$9:$S$162,4, FALSE)/$E$264</f>
        <v>0</v>
      </c>
      <c r="K36" s="508">
        <f>$C36*VLOOKUP($B36,'Standard values'!$C$9:$S$162,5, FALSE)/$E$264</f>
        <v>0</v>
      </c>
      <c r="L36" s="509">
        <f>I36*'Standard values'!$D$10+J36*'Standard values'!$D$11+K36*'Standard values'!$D$12</f>
        <v>0</v>
      </c>
      <c r="M36" s="379"/>
      <c r="N36" s="562">
        <f t="shared" si="1"/>
        <v>0</v>
      </c>
      <c r="O36" s="663">
        <f t="shared" si="2"/>
        <v>0</v>
      </c>
    </row>
    <row r="37" spans="1:15" ht="15.75" x14ac:dyDescent="0.3">
      <c r="A37" s="503"/>
      <c r="B37" s="495" t="s">
        <v>233</v>
      </c>
      <c r="C37" s="664">
        <v>199.804</v>
      </c>
      <c r="D37" s="497" t="s">
        <v>530</v>
      </c>
      <c r="E37" s="513"/>
      <c r="F37" s="495"/>
      <c r="G37" s="495"/>
      <c r="H37" s="495"/>
      <c r="I37" s="508">
        <f>$C37*VLOOKUP($B37,'Standard values'!$C$9:$S$162,3, FALSE)/$E$264</f>
        <v>0.71867368947731258</v>
      </c>
      <c r="J37" s="508">
        <f>$C37*VLOOKUP($B37,'Standard values'!$C$9:$S$162,4, FALSE)/$E$264</f>
        <v>2.1050560389503747E-3</v>
      </c>
      <c r="K37" s="508">
        <f>$C37*VLOOKUP($B37,'Standard values'!$C$9:$S$162,5, FALSE)/$E$264</f>
        <v>1.6482391800298943E-5</v>
      </c>
      <c r="L37" s="509">
        <f>I37*'Standard values'!$D$10+J37*'Standard values'!$D$11+K37*'Standard values'!$D$12</f>
        <v>0.77621184320756109</v>
      </c>
      <c r="M37" s="379"/>
      <c r="N37" s="562">
        <f t="shared" si="1"/>
        <v>6.0913803807999995</v>
      </c>
      <c r="O37" s="663">
        <f t="shared" si="2"/>
        <v>115.73622723519999</v>
      </c>
    </row>
    <row r="38" spans="1:15" ht="15.75" x14ac:dyDescent="0.3">
      <c r="A38" s="503"/>
      <c r="B38" s="495" t="s">
        <v>232</v>
      </c>
      <c r="C38" s="664">
        <v>143.792</v>
      </c>
      <c r="D38" s="497" t="s">
        <v>531</v>
      </c>
      <c r="E38" s="513"/>
      <c r="F38" s="495"/>
      <c r="G38" s="495"/>
      <c r="H38" s="495"/>
      <c r="I38" s="508">
        <f>$C38*VLOOKUP($B38,'Standard values'!$C$9:$S$162,3, FALSE)/$E$264</f>
        <v>0.93051182833652868</v>
      </c>
      <c r="J38" s="508">
        <f>$C38*VLOOKUP($B38,'Standard values'!$C$9:$S$162,4, FALSE)/$E$264</f>
        <v>1.2835823109929711E-3</v>
      </c>
      <c r="K38" s="508">
        <f>$C38*VLOOKUP($B38,'Standard values'!$C$9:$S$162,5, FALSE)/$E$264</f>
        <v>4.966528100386027E-5</v>
      </c>
      <c r="L38" s="509">
        <f>I38*'Standard values'!$D$10+J38*'Standard values'!$D$11+K38*'Standard values'!$D$12</f>
        <v>0.97740163985050332</v>
      </c>
      <c r="M38" s="379"/>
      <c r="N38" s="562">
        <f t="shared" si="1"/>
        <v>7.6702323280000009</v>
      </c>
      <c r="O38" s="663">
        <f t="shared" si="2"/>
        <v>145.73441423200001</v>
      </c>
    </row>
    <row r="39" spans="1:15" ht="14.25" x14ac:dyDescent="0.2">
      <c r="A39" s="503"/>
      <c r="B39" s="495" t="s">
        <v>1081</v>
      </c>
      <c r="C39" s="664">
        <v>585.91452991452979</v>
      </c>
      <c r="D39" s="497" t="s">
        <v>103</v>
      </c>
      <c r="E39" s="513"/>
      <c r="F39" s="495"/>
      <c r="G39" s="495"/>
      <c r="H39" s="495"/>
      <c r="I39" s="508">
        <f>$C39*VLOOKUP($B39,'Standard values'!$C$9:$S$162,3, FALSE)/$E$264</f>
        <v>0</v>
      </c>
      <c r="J39" s="508">
        <f>$C39*VLOOKUP($B39,'Standard values'!$C$9:$S$162,4, FALSE)/$E$264</f>
        <v>0</v>
      </c>
      <c r="K39" s="508">
        <f>$C39*VLOOKUP($B39,'Standard values'!$C$9:$S$162,5, FALSE)/$E$264</f>
        <v>0</v>
      </c>
      <c r="L39" s="509">
        <f>I39*'Standard values'!$D$10+J39*'Standard values'!$D$11+K39*'Standard values'!$D$12</f>
        <v>0</v>
      </c>
      <c r="M39" s="379"/>
      <c r="N39" s="562">
        <f t="shared" si="1"/>
        <v>0</v>
      </c>
      <c r="O39" s="663">
        <f t="shared" si="2"/>
        <v>0</v>
      </c>
    </row>
    <row r="40" spans="1:15" ht="14.25" x14ac:dyDescent="0.2">
      <c r="A40" s="503"/>
      <c r="B40" s="495" t="s">
        <v>502</v>
      </c>
      <c r="C40" s="664">
        <v>8.36</v>
      </c>
      <c r="D40" s="497" t="s">
        <v>527</v>
      </c>
      <c r="E40" s="513"/>
      <c r="F40" s="665"/>
      <c r="G40" s="665"/>
      <c r="H40" s="665"/>
      <c r="I40" s="508">
        <f>$C40*VLOOKUP($B40,'Standard values'!$C$9:$S$162,3, FALSE)/$E$264</f>
        <v>0.55431914650623904</v>
      </c>
      <c r="J40" s="508">
        <f>$C40*VLOOKUP($B40,'Standard values'!$C$9:$S$162,4, FALSE)/$E$264</f>
        <v>1.4312605494622278E-3</v>
      </c>
      <c r="K40" s="508">
        <f>$C40*VLOOKUP($B40,'Standard values'!$C$9:$S$162,5, FALSE)/$E$264</f>
        <v>9.4273203296331738E-5</v>
      </c>
      <c r="L40" s="509">
        <f>I40*'Standard values'!$D$10+J40*'Standard values'!$D$11+K40*'Standard values'!$D$12</f>
        <v>0.61819407482510158</v>
      </c>
      <c r="M40" s="379"/>
      <c r="N40" s="562">
        <f t="shared" si="1"/>
        <v>4.8513241479999998</v>
      </c>
      <c r="O40" s="663">
        <f t="shared" si="2"/>
        <v>92.175158811999992</v>
      </c>
    </row>
    <row r="41" spans="1:15" x14ac:dyDescent="0.2">
      <c r="A41" s="503"/>
      <c r="B41" s="495"/>
      <c r="C41" s="666"/>
      <c r="D41" s="497"/>
      <c r="E41" s="513"/>
      <c r="F41" s="665"/>
      <c r="G41" s="665"/>
      <c r="H41" s="665"/>
      <c r="I41" s="508"/>
      <c r="J41" s="508"/>
      <c r="K41" s="508"/>
      <c r="L41" s="509"/>
      <c r="M41" s="379"/>
      <c r="N41" s="562"/>
      <c r="O41" s="663"/>
    </row>
    <row r="42" spans="1:15" ht="15" x14ac:dyDescent="0.25">
      <c r="A42" s="503"/>
      <c r="B42" s="511" t="s">
        <v>1046</v>
      </c>
      <c r="C42" s="669">
        <v>3.5112000000000001</v>
      </c>
      <c r="D42" s="497" t="s">
        <v>527</v>
      </c>
      <c r="E42" s="513"/>
      <c r="F42" s="495"/>
      <c r="G42" s="495"/>
      <c r="H42" s="495"/>
      <c r="I42" s="508">
        <v>0</v>
      </c>
      <c r="J42" s="508">
        <v>0</v>
      </c>
      <c r="K42" s="508">
        <f>1000*$C42/$E$264</f>
        <v>2.3548676926644068E-2</v>
      </c>
      <c r="L42" s="509">
        <f>I42*'Standard values'!$D$10+J42*'Standard values'!$D$11+K42*'Standard values'!$D$12</f>
        <v>7.0175057241399319</v>
      </c>
      <c r="M42" s="379"/>
      <c r="N42" s="562">
        <f>+L42/$E$29</f>
        <v>55.070400000000006</v>
      </c>
      <c r="O42" s="750">
        <f>L42*$E$264/1000</f>
        <v>1046.3376000000001</v>
      </c>
    </row>
    <row r="43" spans="1:15" ht="15.75" x14ac:dyDescent="0.3">
      <c r="A43" s="503"/>
      <c r="B43" s="511"/>
      <c r="C43" s="670" t="s">
        <v>664</v>
      </c>
      <c r="D43" s="495"/>
      <c r="E43" s="513"/>
      <c r="F43" s="514"/>
      <c r="G43" s="514"/>
      <c r="H43" s="514" t="s">
        <v>1047</v>
      </c>
      <c r="I43" s="515">
        <f>SUM(I28:I42)</f>
        <v>5.8421382899071581</v>
      </c>
      <c r="J43" s="515">
        <f>SUM(J28:J42)</f>
        <v>1.2264961130019063E-2</v>
      </c>
      <c r="K43" s="515">
        <f>SUM(K28:K42)</f>
        <v>3.1980264440428237E-2</v>
      </c>
      <c r="L43" s="516">
        <f>I43*'Standard values'!$D$10+J43*'Standard values'!$D$11+K43*'Standard values'!$D$12</f>
        <v>15.678881121405249</v>
      </c>
      <c r="M43" s="379"/>
      <c r="N43" s="1201">
        <f>+L43/E$29</f>
        <v>123.04118996839999</v>
      </c>
      <c r="O43" s="1202">
        <f>L43*$E$264/1000</f>
        <v>2337.7826093995996</v>
      </c>
    </row>
    <row r="44" spans="1:15" x14ac:dyDescent="0.2">
      <c r="A44" s="503"/>
      <c r="B44" s="511"/>
      <c r="C44" s="671" t="s">
        <v>665</v>
      </c>
      <c r="D44" s="495"/>
      <c r="E44" s="513"/>
      <c r="F44" s="514"/>
      <c r="G44" s="514"/>
      <c r="H44" s="514"/>
      <c r="I44" s="416"/>
      <c r="J44" s="416"/>
      <c r="K44" s="416"/>
      <c r="L44" s="436"/>
      <c r="M44" s="379"/>
      <c r="N44" s="1203"/>
      <c r="O44" s="1204"/>
    </row>
    <row r="45" spans="1:15" ht="14.25" x14ac:dyDescent="0.25">
      <c r="A45" s="519"/>
      <c r="B45" s="520"/>
      <c r="C45" s="520"/>
      <c r="D45" s="520"/>
      <c r="E45" s="519"/>
      <c r="F45" s="521"/>
      <c r="G45" s="521"/>
      <c r="H45" s="521" t="s">
        <v>534</v>
      </c>
      <c r="I45" s="522"/>
      <c r="J45" s="523" t="s">
        <v>747</v>
      </c>
      <c r="K45" s="524"/>
      <c r="L45" s="525">
        <f>N43*E$29</f>
        <v>15.678881121405249</v>
      </c>
      <c r="M45" s="379"/>
      <c r="N45" s="390"/>
      <c r="O45" s="390"/>
    </row>
    <row r="46" spans="1:15" x14ac:dyDescent="0.2">
      <c r="A46" s="379"/>
      <c r="B46" s="379"/>
      <c r="C46" s="379"/>
      <c r="D46" s="379"/>
      <c r="E46" s="379"/>
      <c r="F46" s="526"/>
      <c r="G46" s="526"/>
      <c r="H46" s="526"/>
      <c r="I46" s="527"/>
      <c r="J46" s="528"/>
      <c r="K46" s="484"/>
      <c r="L46" s="430"/>
      <c r="M46" s="379"/>
      <c r="N46" s="390"/>
      <c r="O46" s="390"/>
    </row>
    <row r="47" spans="1:15" x14ac:dyDescent="0.2">
      <c r="A47" s="390"/>
      <c r="B47" s="390"/>
      <c r="C47" s="390"/>
      <c r="D47" s="390"/>
      <c r="E47" s="390"/>
      <c r="F47" s="390"/>
      <c r="G47" s="390"/>
      <c r="H47" s="390"/>
      <c r="I47" s="529"/>
      <c r="J47" s="529"/>
      <c r="K47" s="529"/>
      <c r="L47" s="529"/>
      <c r="M47" s="379"/>
      <c r="N47" s="390"/>
      <c r="O47" s="390"/>
    </row>
    <row r="48" spans="1:15" ht="15.75" x14ac:dyDescent="0.25">
      <c r="A48" s="530" t="s">
        <v>202</v>
      </c>
      <c r="B48" s="531"/>
      <c r="C48" s="531"/>
      <c r="D48" s="531"/>
      <c r="E48" s="530" t="s">
        <v>513</v>
      </c>
      <c r="F48" s="532"/>
      <c r="G48" s="532"/>
      <c r="H48" s="531"/>
      <c r="I48" s="532" t="s">
        <v>532</v>
      </c>
      <c r="J48" s="533"/>
      <c r="K48" s="533"/>
      <c r="L48" s="534"/>
      <c r="M48" s="379"/>
      <c r="N48" s="535" t="s">
        <v>162</v>
      </c>
      <c r="O48" s="390"/>
    </row>
    <row r="49" spans="1:15" ht="15.75" x14ac:dyDescent="0.3">
      <c r="A49" s="503"/>
      <c r="B49" s="511" t="s">
        <v>1042</v>
      </c>
      <c r="C49" s="593">
        <v>1</v>
      </c>
      <c r="D49" s="495" t="s">
        <v>205</v>
      </c>
      <c r="E49" s="553">
        <f>E27*C49</f>
        <v>300959.99999999994</v>
      </c>
      <c r="F49" s="499" t="s">
        <v>199</v>
      </c>
      <c r="G49" s="499"/>
      <c r="H49" s="495"/>
      <c r="I49" s="492" t="s">
        <v>746</v>
      </c>
      <c r="J49" s="514"/>
      <c r="K49" s="514"/>
      <c r="L49" s="537"/>
      <c r="M49" s="379"/>
      <c r="N49" s="554" t="s">
        <v>208</v>
      </c>
      <c r="O49" s="390"/>
    </row>
    <row r="50" spans="1:15" ht="15.75" x14ac:dyDescent="0.3">
      <c r="A50" s="503"/>
      <c r="B50" s="495"/>
      <c r="C50" s="495"/>
      <c r="D50" s="495"/>
      <c r="E50" s="505">
        <f>E28*C49</f>
        <v>1</v>
      </c>
      <c r="F50" s="506" t="s">
        <v>200</v>
      </c>
      <c r="G50" s="506"/>
      <c r="H50" s="495"/>
      <c r="I50" s="539" t="s">
        <v>1053</v>
      </c>
      <c r="J50" s="539" t="s">
        <v>1054</v>
      </c>
      <c r="K50" s="539" t="s">
        <v>1055</v>
      </c>
      <c r="L50" s="540" t="s">
        <v>1056</v>
      </c>
      <c r="M50" s="379"/>
      <c r="N50" s="540" t="s">
        <v>1056</v>
      </c>
      <c r="O50" s="390"/>
    </row>
    <row r="51" spans="1:15" x14ac:dyDescent="0.2">
      <c r="A51" s="503"/>
      <c r="B51" s="511" t="s">
        <v>498</v>
      </c>
      <c r="C51" s="495"/>
      <c r="D51" s="495"/>
      <c r="E51" s="505"/>
      <c r="F51" s="506"/>
      <c r="G51" s="506"/>
      <c r="H51" s="495"/>
      <c r="I51" s="539"/>
      <c r="J51" s="539"/>
      <c r="K51" s="539"/>
      <c r="L51" s="540"/>
      <c r="M51" s="379"/>
      <c r="N51" s="541"/>
      <c r="O51" s="390"/>
    </row>
    <row r="52" spans="1:15" ht="15.75" x14ac:dyDescent="0.3">
      <c r="A52" s="503"/>
      <c r="B52" s="495" t="s">
        <v>1111</v>
      </c>
      <c r="C52" s="595">
        <v>20</v>
      </c>
      <c r="D52" s="495" t="s">
        <v>510</v>
      </c>
      <c r="E52" s="543">
        <f>(C52*E50)/(VLOOKUP($B49,'Standard values'!$C$9:$S$162,14, FALSE))/(1-$C$28)/1000</f>
        <v>1.2626262626262627E-3</v>
      </c>
      <c r="F52" s="495" t="s">
        <v>245</v>
      </c>
      <c r="G52" s="495"/>
      <c r="H52" s="495"/>
      <c r="I52" s="544">
        <f>$E52*VLOOKUP($B52,'Standard values'!$C$9:$S$162,15, FALSE)*VLOOKUP(C53,'Standard values'!$C$9:$S$162,7, FALSE)/$E$265</f>
        <v>0.20905822167668967</v>
      </c>
      <c r="J52" s="544">
        <f>$E52*((VLOOKUP($B52,'Standard values'!$C$9:$S$162,15, FALSE)*VLOOKUP(C53,'Standard values'!$C$9:$S$162,8, FALSE))+VLOOKUP($B52,'Standard values'!$C$9:$S$162,16, FALSE))/$E$265</f>
        <v>1.2742790544720814E-5</v>
      </c>
      <c r="K52" s="544">
        <f>$E52*((VLOOKUP($B52,'Standard values'!$C$9:$S$162,15, FALSE)*VLOOKUP(C53,'Standard values'!$C$9:$S$162,9, FALSE))+VLOOKUP($B52,'Standard values'!$C$9:$S$162,17, FALSE))/$E$265</f>
        <v>0</v>
      </c>
      <c r="L52" s="516">
        <f>I52*'Standard values'!$D$10+J52*'Standard values'!$D$11+K52*'Standard values'!$D$12</f>
        <v>0.20937679144030769</v>
      </c>
      <c r="M52" s="379"/>
      <c r="N52" s="1201">
        <f>+L52/E$29</f>
        <v>1.6431</v>
      </c>
      <c r="O52" s="390"/>
    </row>
    <row r="53" spans="1:15" x14ac:dyDescent="0.2">
      <c r="A53" s="503"/>
      <c r="B53" s="546" t="s">
        <v>54</v>
      </c>
      <c r="C53" s="673" t="s">
        <v>509</v>
      </c>
      <c r="D53" s="495"/>
      <c r="E53" s="543"/>
      <c r="F53" s="495"/>
      <c r="G53" s="495"/>
      <c r="H53" s="495"/>
      <c r="I53" s="544"/>
      <c r="J53" s="544"/>
      <c r="K53" s="544"/>
      <c r="L53" s="516"/>
      <c r="M53" s="379"/>
      <c r="N53" s="1203"/>
      <c r="O53" s="390"/>
    </row>
    <row r="54" spans="1:15" x14ac:dyDescent="0.2">
      <c r="A54" s="503"/>
      <c r="B54" s="495"/>
      <c r="C54" s="495"/>
      <c r="D54" s="495"/>
      <c r="E54" s="503"/>
      <c r="F54" s="495"/>
      <c r="G54" s="495"/>
      <c r="H54" s="548"/>
      <c r="I54" s="544"/>
      <c r="J54" s="544"/>
      <c r="K54" s="544"/>
      <c r="L54" s="516"/>
      <c r="M54" s="379"/>
      <c r="N54" s="390"/>
      <c r="O54" s="390"/>
    </row>
    <row r="55" spans="1:15" ht="14.25" x14ac:dyDescent="0.25">
      <c r="A55" s="519"/>
      <c r="B55" s="520"/>
      <c r="C55" s="520"/>
      <c r="D55" s="520"/>
      <c r="E55" s="519"/>
      <c r="F55" s="521"/>
      <c r="G55" s="521"/>
      <c r="H55" s="521" t="s">
        <v>534</v>
      </c>
      <c r="I55" s="520"/>
      <c r="J55" s="523" t="s">
        <v>747</v>
      </c>
      <c r="K55" s="549"/>
      <c r="L55" s="525">
        <f>N52*E$29</f>
        <v>0.20937679144030769</v>
      </c>
      <c r="M55" s="379"/>
      <c r="N55" s="390"/>
      <c r="O55" s="390"/>
    </row>
    <row r="56" spans="1:15" x14ac:dyDescent="0.2">
      <c r="A56" s="390"/>
      <c r="B56" s="390"/>
      <c r="C56" s="390"/>
      <c r="D56" s="390"/>
      <c r="E56" s="390"/>
      <c r="F56" s="376"/>
      <c r="G56" s="376"/>
      <c r="H56" s="376"/>
      <c r="I56" s="390"/>
      <c r="J56" s="550"/>
      <c r="K56" s="551"/>
      <c r="L56" s="552"/>
      <c r="M56" s="379"/>
      <c r="N56" s="379"/>
      <c r="O56" s="379"/>
    </row>
    <row r="57" spans="1:15" x14ac:dyDescent="0.2">
      <c r="A57" s="390"/>
      <c r="B57" s="390"/>
      <c r="C57" s="390"/>
      <c r="D57" s="390"/>
      <c r="E57" s="390"/>
      <c r="F57" s="376"/>
      <c r="G57" s="376"/>
      <c r="H57" s="376"/>
      <c r="I57" s="390"/>
      <c r="J57" s="550"/>
      <c r="K57" s="551"/>
      <c r="L57" s="552"/>
      <c r="M57" s="379"/>
      <c r="N57" s="379"/>
      <c r="O57" s="379"/>
    </row>
    <row r="58" spans="1:15" ht="15.75" x14ac:dyDescent="0.25">
      <c r="A58" s="530" t="s">
        <v>104</v>
      </c>
      <c r="B58" s="531"/>
      <c r="C58" s="531"/>
      <c r="D58" s="531"/>
      <c r="E58" s="530" t="s">
        <v>513</v>
      </c>
      <c r="F58" s="532"/>
      <c r="G58" s="532"/>
      <c r="H58" s="531"/>
      <c r="I58" s="532" t="s">
        <v>532</v>
      </c>
      <c r="J58" s="533"/>
      <c r="K58" s="533"/>
      <c r="L58" s="534"/>
      <c r="M58" s="379"/>
      <c r="N58" s="535" t="s">
        <v>162</v>
      </c>
      <c r="O58" s="379"/>
    </row>
    <row r="59" spans="1:15" ht="15.75" x14ac:dyDescent="0.3">
      <c r="A59" s="587"/>
      <c r="B59" s="511" t="s">
        <v>1042</v>
      </c>
      <c r="C59" s="593">
        <v>0.98</v>
      </c>
      <c r="D59" s="495" t="s">
        <v>205</v>
      </c>
      <c r="E59" s="588">
        <f>E49*C59</f>
        <v>294940.79999999993</v>
      </c>
      <c r="F59" s="499" t="s">
        <v>199</v>
      </c>
      <c r="G59" s="499"/>
      <c r="H59" s="495"/>
      <c r="I59" s="492" t="s">
        <v>746</v>
      </c>
      <c r="J59" s="514"/>
      <c r="K59" s="514"/>
      <c r="L59" s="537"/>
      <c r="M59" s="379"/>
      <c r="N59" s="554" t="s">
        <v>208</v>
      </c>
      <c r="O59" s="379"/>
    </row>
    <row r="60" spans="1:15" ht="15.75" x14ac:dyDescent="0.3">
      <c r="A60" s="587"/>
      <c r="B60" s="495"/>
      <c r="C60" s="512"/>
      <c r="D60" s="495"/>
      <c r="E60" s="505">
        <f>E50*C59</f>
        <v>0.98</v>
      </c>
      <c r="F60" s="506" t="s">
        <v>200</v>
      </c>
      <c r="G60" s="506"/>
      <c r="H60" s="495"/>
      <c r="I60" s="539" t="s">
        <v>1053</v>
      </c>
      <c r="J60" s="539" t="s">
        <v>1054</v>
      </c>
      <c r="K60" s="539" t="s">
        <v>1055</v>
      </c>
      <c r="L60" s="540" t="s">
        <v>1056</v>
      </c>
      <c r="M60" s="379"/>
      <c r="N60" s="540" t="s">
        <v>1056</v>
      </c>
      <c r="O60" s="379"/>
    </row>
    <row r="61" spans="1:15" x14ac:dyDescent="0.2">
      <c r="A61" s="503"/>
      <c r="B61" s="511" t="s">
        <v>525</v>
      </c>
      <c r="C61" s="495"/>
      <c r="D61" s="495"/>
      <c r="E61" s="503"/>
      <c r="F61" s="495"/>
      <c r="G61" s="495"/>
      <c r="H61" s="495"/>
      <c r="I61" s="495"/>
      <c r="J61" s="495"/>
      <c r="K61" s="495"/>
      <c r="L61" s="541"/>
      <c r="M61" s="379"/>
      <c r="N61" s="541"/>
      <c r="O61" s="379"/>
    </row>
    <row r="62" spans="1:15" ht="15.75" x14ac:dyDescent="0.3">
      <c r="A62" s="503"/>
      <c r="B62" s="499" t="s">
        <v>509</v>
      </c>
      <c r="C62" s="672">
        <v>0</v>
      </c>
      <c r="D62" s="495" t="s">
        <v>207</v>
      </c>
      <c r="E62" s="503"/>
      <c r="F62" s="495"/>
      <c r="G62" s="495"/>
      <c r="H62" s="495"/>
      <c r="I62" s="544">
        <f>$C62*$E$60*VLOOKUP($B62,'Standard values'!$C$9:$S$162,7, FALSE)/$E$265</f>
        <v>0</v>
      </c>
      <c r="J62" s="544">
        <f>$C62*$E$60*VLOOKUP($B62,'Standard values'!$C$9:$S$162,8, FALSE)/$E$265</f>
        <v>0</v>
      </c>
      <c r="K62" s="544">
        <f>$C62*$E$60*VLOOKUP($B62,'Standard values'!$C$9:$S$162,9, FALSE)/$E$265</f>
        <v>0</v>
      </c>
      <c r="L62" s="419">
        <f>I62*'Standard values'!$D$10+J62*'Standard values'!$D$11+K62*'Standard values'!$D$12</f>
        <v>0</v>
      </c>
      <c r="M62" s="379"/>
      <c r="N62" s="562">
        <f>+L62/$E$29</f>
        <v>0</v>
      </c>
      <c r="O62" s="379"/>
    </row>
    <row r="63" spans="1:15" ht="15.75" x14ac:dyDescent="0.3">
      <c r="A63" s="503"/>
      <c r="B63" s="1301" t="s">
        <v>239</v>
      </c>
      <c r="C63" s="672">
        <v>0</v>
      </c>
      <c r="D63" s="495" t="s">
        <v>207</v>
      </c>
      <c r="E63" s="503"/>
      <c r="F63" s="495"/>
      <c r="G63" s="495"/>
      <c r="H63" s="495"/>
      <c r="I63" s="544">
        <f>$C63*$E$60*VLOOKUP($B63,'Standard values'!$C$9:$S$162,7, FALSE)/$E$265</f>
        <v>0</v>
      </c>
      <c r="J63" s="544">
        <f>$C63*$E$60*VLOOKUP($B63,'Standard values'!$C$9:$S$162,8, FALSE)/$E$265</f>
        <v>0</v>
      </c>
      <c r="K63" s="544">
        <f>$C63*$E$60*VLOOKUP($B63,'Standard values'!$C$9:$S$162,9, FALSE)/$E$265</f>
        <v>0</v>
      </c>
      <c r="L63" s="419">
        <f>I63*'Standard values'!$D$10+J63*'Standard values'!$D$11+K63*'Standard values'!$D$12</f>
        <v>0</v>
      </c>
      <c r="M63" s="379"/>
      <c r="N63" s="562">
        <f>+L63/$E$29</f>
        <v>0</v>
      </c>
      <c r="O63" s="379"/>
    </row>
    <row r="64" spans="1:15" x14ac:dyDescent="0.2">
      <c r="A64" s="503"/>
      <c r="B64" s="495"/>
      <c r="C64" s="495"/>
      <c r="D64" s="495"/>
      <c r="E64" s="503"/>
      <c r="F64" s="495"/>
      <c r="G64" s="495"/>
      <c r="H64" s="514" t="s">
        <v>1047</v>
      </c>
      <c r="I64" s="515">
        <f>SUM(I61:I63)</f>
        <v>0</v>
      </c>
      <c r="J64" s="515">
        <f>SUM(J61:J63)</f>
        <v>0</v>
      </c>
      <c r="K64" s="515">
        <f>SUM(K61:K63)</f>
        <v>0</v>
      </c>
      <c r="L64" s="516">
        <f>I64*'Standard values'!$D$10+J64*'Standard values'!$D$11+K64*'Standard values'!$D$12</f>
        <v>0</v>
      </c>
      <c r="M64" s="379"/>
      <c r="N64" s="1201">
        <f>+L64/E$29</f>
        <v>0</v>
      </c>
      <c r="O64" s="379"/>
    </row>
    <row r="65" spans="1:15" x14ac:dyDescent="0.2">
      <c r="A65" s="590"/>
      <c r="B65" s="495"/>
      <c r="C65" s="492"/>
      <c r="D65" s="495"/>
      <c r="E65" s="503"/>
      <c r="F65" s="495"/>
      <c r="G65" s="495"/>
      <c r="H65" s="495"/>
      <c r="I65" s="495"/>
      <c r="J65" s="495"/>
      <c r="K65" s="495"/>
      <c r="L65" s="541"/>
      <c r="M65" s="379"/>
      <c r="N65" s="1203"/>
      <c r="O65" s="379"/>
    </row>
    <row r="66" spans="1:15" ht="14.25" x14ac:dyDescent="0.25">
      <c r="A66" s="519"/>
      <c r="B66" s="520"/>
      <c r="C66" s="520"/>
      <c r="D66" s="520"/>
      <c r="E66" s="519"/>
      <c r="F66" s="521"/>
      <c r="G66" s="521"/>
      <c r="H66" s="521" t="s">
        <v>534</v>
      </c>
      <c r="I66" s="520"/>
      <c r="J66" s="523" t="s">
        <v>747</v>
      </c>
      <c r="K66" s="549"/>
      <c r="L66" s="525">
        <f>N64*E$29</f>
        <v>0</v>
      </c>
      <c r="M66" s="379"/>
      <c r="N66" s="390"/>
      <c r="O66" s="379"/>
    </row>
    <row r="67" spans="1:15" x14ac:dyDescent="0.2">
      <c r="A67" s="390"/>
      <c r="B67" s="390"/>
      <c r="C67" s="390"/>
      <c r="D67" s="390"/>
      <c r="E67" s="390"/>
      <c r="F67" s="376"/>
      <c r="G67" s="376"/>
      <c r="H67" s="376"/>
      <c r="I67" s="390"/>
      <c r="J67" s="550"/>
      <c r="K67" s="551"/>
      <c r="L67" s="552"/>
      <c r="M67" s="379"/>
      <c r="N67" s="379"/>
      <c r="O67" s="379"/>
    </row>
    <row r="68" spans="1:15" x14ac:dyDescent="0.2">
      <c r="A68" s="390"/>
      <c r="B68" s="390"/>
      <c r="C68" s="390"/>
      <c r="D68" s="390"/>
      <c r="E68" s="390"/>
      <c r="F68" s="390"/>
      <c r="G68" s="390"/>
      <c r="H68" s="390"/>
      <c r="I68" s="390"/>
      <c r="J68" s="390"/>
      <c r="K68" s="390"/>
      <c r="L68" s="375"/>
      <c r="M68" s="379"/>
      <c r="N68" s="379"/>
      <c r="O68" s="379"/>
    </row>
    <row r="69" spans="1:15" ht="15.75" x14ac:dyDescent="0.25">
      <c r="A69" s="530" t="s">
        <v>639</v>
      </c>
      <c r="B69" s="531"/>
      <c r="C69" s="531"/>
      <c r="D69" s="531"/>
      <c r="E69" s="530" t="s">
        <v>513</v>
      </c>
      <c r="F69" s="532"/>
      <c r="G69" s="532"/>
      <c r="H69" s="531"/>
      <c r="I69" s="532" t="s">
        <v>532</v>
      </c>
      <c r="J69" s="533"/>
      <c r="K69" s="533"/>
      <c r="L69" s="534"/>
      <c r="M69" s="379"/>
      <c r="N69" s="535" t="s">
        <v>162</v>
      </c>
      <c r="O69" s="379"/>
    </row>
    <row r="70" spans="1:15" x14ac:dyDescent="0.2">
      <c r="A70" s="503"/>
      <c r="B70" s="511" t="s">
        <v>524</v>
      </c>
      <c r="C70" s="495"/>
      <c r="D70" s="495"/>
      <c r="E70" s="553"/>
      <c r="F70" s="674"/>
      <c r="G70" s="674"/>
      <c r="H70" s="495"/>
      <c r="I70" s="492" t="s">
        <v>746</v>
      </c>
      <c r="J70" s="514"/>
      <c r="K70" s="514"/>
      <c r="L70" s="537"/>
      <c r="M70" s="379"/>
      <c r="N70" s="554" t="s">
        <v>975</v>
      </c>
      <c r="O70" s="379"/>
    </row>
    <row r="71" spans="1:15" ht="15.75" x14ac:dyDescent="0.3">
      <c r="A71" s="503"/>
      <c r="B71" s="495" t="s">
        <v>1043</v>
      </c>
      <c r="C71" s="675">
        <v>0.53</v>
      </c>
      <c r="D71" s="495" t="s">
        <v>209</v>
      </c>
      <c r="E71" s="553">
        <f>E59*C71</f>
        <v>156318.62399999998</v>
      </c>
      <c r="F71" s="499" t="s">
        <v>654</v>
      </c>
      <c r="G71" s="499"/>
      <c r="H71" s="495"/>
      <c r="I71" s="539" t="s">
        <v>1053</v>
      </c>
      <c r="J71" s="539" t="s">
        <v>1054</v>
      </c>
      <c r="K71" s="539" t="s">
        <v>1055</v>
      </c>
      <c r="L71" s="540" t="s">
        <v>1056</v>
      </c>
      <c r="M71" s="379"/>
      <c r="N71" s="540" t="s">
        <v>1056</v>
      </c>
      <c r="O71" s="379"/>
    </row>
    <row r="72" spans="1:15" ht="15.75" x14ac:dyDescent="0.3">
      <c r="A72" s="563"/>
      <c r="B72" s="506" t="s">
        <v>131</v>
      </c>
      <c r="C72" s="675">
        <v>2.6830808080808084E-2</v>
      </c>
      <c r="D72" s="495" t="s">
        <v>210</v>
      </c>
      <c r="E72" s="505">
        <f>E60*C71</f>
        <v>0.51939999999999997</v>
      </c>
      <c r="F72" s="506" t="s">
        <v>200</v>
      </c>
      <c r="G72" s="506"/>
      <c r="H72" s="495"/>
      <c r="I72" s="495"/>
      <c r="J72" s="495"/>
      <c r="K72" s="495"/>
      <c r="L72" s="541"/>
      <c r="M72" s="379"/>
      <c r="N72" s="541"/>
      <c r="O72" s="379"/>
    </row>
    <row r="73" spans="1:15" ht="15.75" x14ac:dyDescent="0.3">
      <c r="A73" s="563"/>
      <c r="B73" s="506"/>
      <c r="C73" s="564"/>
      <c r="D73" s="506"/>
      <c r="E73" s="557">
        <f>E71/$E$264/VLOOKUP($B71,'Standard values'!$C$9:$S$162,14, FALSE)</f>
        <v>2.8334786399302533E-2</v>
      </c>
      <c r="F73" s="499" t="s">
        <v>978</v>
      </c>
      <c r="G73" s="499"/>
      <c r="H73" s="495"/>
      <c r="I73" s="495"/>
      <c r="J73" s="495"/>
      <c r="K73" s="495"/>
      <c r="L73" s="541"/>
      <c r="M73" s="379"/>
      <c r="N73" s="562"/>
      <c r="O73" s="379"/>
    </row>
    <row r="74" spans="1:15" x14ac:dyDescent="0.2">
      <c r="A74" s="503"/>
      <c r="B74" s="511" t="s">
        <v>525</v>
      </c>
      <c r="C74" s="495"/>
      <c r="D74" s="495"/>
      <c r="E74" s="513"/>
      <c r="F74" s="495"/>
      <c r="G74" s="495"/>
      <c r="H74" s="495"/>
      <c r="I74" s="495"/>
      <c r="J74" s="495"/>
      <c r="K74" s="495"/>
      <c r="L74" s="541"/>
      <c r="M74" s="379"/>
      <c r="N74" s="562"/>
      <c r="O74" s="379"/>
    </row>
    <row r="75" spans="1:15" ht="15.75" x14ac:dyDescent="0.3">
      <c r="A75" s="503"/>
      <c r="B75" s="495" t="s">
        <v>749</v>
      </c>
      <c r="C75" s="675">
        <v>0</v>
      </c>
      <c r="D75" s="495" t="s">
        <v>644</v>
      </c>
      <c r="E75" s="503" t="s">
        <v>890</v>
      </c>
      <c r="F75" s="495"/>
      <c r="G75" s="495"/>
      <c r="H75" s="495"/>
      <c r="I75" s="544"/>
      <c r="J75" s="544"/>
      <c r="K75" s="544"/>
      <c r="L75" s="419"/>
      <c r="M75" s="379"/>
      <c r="N75" s="562">
        <f>L75/$E$73</f>
        <v>0</v>
      </c>
      <c r="O75" s="379"/>
    </row>
    <row r="76" spans="1:15" ht="15.75" x14ac:dyDescent="0.3">
      <c r="A76" s="503"/>
      <c r="B76" s="495" t="s">
        <v>676</v>
      </c>
      <c r="C76" s="675">
        <v>0</v>
      </c>
      <c r="D76" s="495" t="s">
        <v>644</v>
      </c>
      <c r="E76" s="503" t="s">
        <v>889</v>
      </c>
      <c r="F76" s="495"/>
      <c r="G76" s="495"/>
      <c r="H76" s="495"/>
      <c r="I76" s="544"/>
      <c r="J76" s="544"/>
      <c r="K76" s="544"/>
      <c r="L76" s="419"/>
      <c r="M76" s="379"/>
      <c r="N76" s="562"/>
      <c r="O76" s="379"/>
    </row>
    <row r="77" spans="1:15" x14ac:dyDescent="0.2">
      <c r="A77" s="503"/>
      <c r="B77" s="565" t="s">
        <v>972</v>
      </c>
      <c r="C77" s="566"/>
      <c r="D77" s="566"/>
      <c r="E77" s="567"/>
      <c r="F77" s="568"/>
      <c r="G77" s="568"/>
      <c r="H77" s="568"/>
      <c r="I77" s="569"/>
      <c r="J77" s="568"/>
      <c r="K77" s="568"/>
      <c r="L77" s="570"/>
      <c r="M77" s="379"/>
      <c r="N77" s="562"/>
      <c r="O77" s="379"/>
    </row>
    <row r="78" spans="1:15" x14ac:dyDescent="0.2">
      <c r="A78" s="503"/>
      <c r="B78" s="571" t="s">
        <v>377</v>
      </c>
      <c r="C78" s="566"/>
      <c r="D78" s="566"/>
      <c r="E78" s="567" t="s">
        <v>799</v>
      </c>
      <c r="F78" s="568"/>
      <c r="G78" s="568"/>
      <c r="H78" s="568"/>
      <c r="I78" s="569"/>
      <c r="J78" s="568"/>
      <c r="K78" s="568"/>
      <c r="L78" s="570"/>
      <c r="M78" s="379"/>
      <c r="N78" s="562"/>
      <c r="O78" s="379"/>
    </row>
    <row r="79" spans="1:15" ht="15.75" x14ac:dyDescent="0.3">
      <c r="A79" s="503"/>
      <c r="B79" s="572" t="s">
        <v>380</v>
      </c>
      <c r="C79" s="573">
        <f>C76</f>
        <v>0</v>
      </c>
      <c r="D79" s="568" t="s">
        <v>769</v>
      </c>
      <c r="E79" s="567" t="s">
        <v>768</v>
      </c>
      <c r="F79" s="568"/>
      <c r="G79" s="568"/>
      <c r="H79" s="568"/>
      <c r="I79" s="574"/>
      <c r="J79" s="574"/>
      <c r="K79" s="574"/>
      <c r="L79" s="575"/>
      <c r="M79" s="379"/>
      <c r="N79" s="562"/>
      <c r="O79" s="379"/>
    </row>
    <row r="80" spans="1:15" x14ac:dyDescent="0.2">
      <c r="A80" s="503"/>
      <c r="B80" s="571" t="s">
        <v>378</v>
      </c>
      <c r="C80" s="573"/>
      <c r="D80" s="566"/>
      <c r="E80" s="576"/>
      <c r="F80" s="568"/>
      <c r="G80" s="568"/>
      <c r="H80" s="568"/>
      <c r="I80" s="574"/>
      <c r="J80" s="574"/>
      <c r="K80" s="574"/>
      <c r="L80" s="575"/>
      <c r="M80" s="379"/>
      <c r="N80" s="562"/>
      <c r="O80" s="379"/>
    </row>
    <row r="81" spans="1:15" ht="14.25" x14ac:dyDescent="0.25">
      <c r="A81" s="503"/>
      <c r="B81" s="577" t="s">
        <v>936</v>
      </c>
      <c r="C81" s="536">
        <f>1/0.9</f>
        <v>1.1111111111111112</v>
      </c>
      <c r="D81" s="568" t="s">
        <v>419</v>
      </c>
      <c r="E81" s="578"/>
      <c r="F81" s="568"/>
      <c r="G81" s="568"/>
      <c r="H81" s="568"/>
      <c r="I81" s="574"/>
      <c r="J81" s="574"/>
      <c r="K81" s="574"/>
      <c r="L81" s="575"/>
      <c r="M81" s="379"/>
      <c r="N81" s="562"/>
      <c r="O81" s="379"/>
    </row>
    <row r="82" spans="1:15" ht="15.75" x14ac:dyDescent="0.3">
      <c r="A82" s="503"/>
      <c r="B82" s="572" t="s">
        <v>770</v>
      </c>
      <c r="C82" s="573">
        <f>C81*C76</f>
        <v>0</v>
      </c>
      <c r="D82" s="568" t="s">
        <v>769</v>
      </c>
      <c r="E82" s="578"/>
      <c r="F82" s="568"/>
      <c r="G82" s="568"/>
      <c r="H82" s="568"/>
      <c r="I82" s="574"/>
      <c r="J82" s="574"/>
      <c r="K82" s="574"/>
      <c r="L82" s="575"/>
      <c r="M82" s="379"/>
      <c r="N82" s="562"/>
      <c r="O82" s="379"/>
    </row>
    <row r="83" spans="1:15" x14ac:dyDescent="0.2">
      <c r="A83" s="503"/>
      <c r="B83" s="571" t="s">
        <v>935</v>
      </c>
      <c r="C83" s="573"/>
      <c r="D83" s="566"/>
      <c r="E83" s="567"/>
      <c r="F83" s="568"/>
      <c r="G83" s="568"/>
      <c r="H83" s="568"/>
      <c r="I83" s="569" t="s">
        <v>532</v>
      </c>
      <c r="J83" s="574"/>
      <c r="K83" s="574"/>
      <c r="L83" s="575"/>
      <c r="M83" s="379"/>
      <c r="N83" s="562"/>
      <c r="O83" s="379"/>
    </row>
    <row r="84" spans="1:15" ht="15.75" x14ac:dyDescent="0.3">
      <c r="A84" s="503"/>
      <c r="B84" s="572" t="s">
        <v>940</v>
      </c>
      <c r="C84" s="573"/>
      <c r="D84" s="566"/>
      <c r="E84" s="567"/>
      <c r="F84" s="568"/>
      <c r="G84" s="568"/>
      <c r="H84" s="568"/>
      <c r="I84" s="574" t="e">
        <f>$C76*$E$72*VLOOKUP($B84,'Standard values'!$C$9:$S$159,7, FALSE)/$E$265</f>
        <v>#N/A</v>
      </c>
      <c r="J84" s="574" t="e">
        <f>$C76*$E$72*VLOOKUP($B84,'Standard values'!$C$9:$S$159,8, FALSE)/$E$265</f>
        <v>#N/A</v>
      </c>
      <c r="K84" s="574" t="e">
        <f>$C76*$E$72*VLOOKUP($B84,'Standard values'!$C$9:$S$159,9, FALSE)/$E$265</f>
        <v>#N/A</v>
      </c>
      <c r="L84" s="575">
        <f>IF(C76&gt;0, I84*'Standard values'!$D$10+J84*'Standard values'!$D$11+K84*'Standard values'!$D$12, 0)</f>
        <v>0</v>
      </c>
      <c r="M84" s="379"/>
      <c r="N84" s="562">
        <f>+L84/$E$73</f>
        <v>0</v>
      </c>
      <c r="O84" s="379"/>
    </row>
    <row r="85" spans="1:15" ht="15.75" x14ac:dyDescent="0.3">
      <c r="A85" s="503"/>
      <c r="B85" s="577" t="s">
        <v>344</v>
      </c>
      <c r="C85" s="573">
        <f>C81*C76</f>
        <v>0</v>
      </c>
      <c r="D85" s="568" t="s">
        <v>769</v>
      </c>
      <c r="E85" s="567"/>
      <c r="F85" s="568"/>
      <c r="G85" s="568"/>
      <c r="H85" s="568"/>
      <c r="I85" s="574" t="e">
        <f>$C85*$E$72*VLOOKUP($B85,'Standard values'!$C$9:$S$162,7, FALSE)/$E$265</f>
        <v>#N/A</v>
      </c>
      <c r="J85" s="574" t="e">
        <f>$C85*$E$72*VLOOKUP($B85,'Standard values'!$C$9:$S$162,8, FALSE)/$E$265</f>
        <v>#N/A</v>
      </c>
      <c r="K85" s="574" t="e">
        <f>$C85*$E$72*VLOOKUP($B85,'Standard values'!$C$9:$S$162,9, FALSE)/$E$265</f>
        <v>#N/A</v>
      </c>
      <c r="L85" s="575">
        <f>IF(C76&gt;0, I85*'Standard values'!$D$10+J85*'Standard values'!$D$11+K85*'Standard values'!$D$12, 0)</f>
        <v>0</v>
      </c>
      <c r="M85" s="379"/>
      <c r="N85" s="562">
        <f>+L85/$E$73</f>
        <v>0</v>
      </c>
      <c r="O85" s="379"/>
    </row>
    <row r="86" spans="1:15" x14ac:dyDescent="0.2">
      <c r="A86" s="503"/>
      <c r="B86" s="580" t="s">
        <v>801</v>
      </c>
      <c r="C86" s="573"/>
      <c r="D86" s="568"/>
      <c r="E86" s="567"/>
      <c r="F86" s="568"/>
      <c r="G86" s="568"/>
      <c r="H86" s="568"/>
      <c r="I86" s="574"/>
      <c r="J86" s="574"/>
      <c r="K86" s="574"/>
      <c r="L86" s="575"/>
      <c r="M86" s="379"/>
      <c r="N86" s="562"/>
      <c r="O86" s="379"/>
    </row>
    <row r="87" spans="1:15" ht="14.25" x14ac:dyDescent="0.25">
      <c r="A87" s="503"/>
      <c r="B87" s="577" t="s">
        <v>348</v>
      </c>
      <c r="C87" s="536">
        <v>0.22220000000000001</v>
      </c>
      <c r="D87" s="568" t="s">
        <v>419</v>
      </c>
      <c r="E87" s="567"/>
      <c r="F87" s="568"/>
      <c r="G87" s="568"/>
      <c r="H87" s="568"/>
      <c r="I87" s="574"/>
      <c r="J87" s="581"/>
      <c r="K87" s="581"/>
      <c r="L87" s="575"/>
      <c r="M87" s="379"/>
      <c r="N87" s="562"/>
      <c r="O87" s="379"/>
    </row>
    <row r="88" spans="1:15" ht="15.75" x14ac:dyDescent="0.3">
      <c r="A88" s="503"/>
      <c r="B88" s="577" t="s">
        <v>771</v>
      </c>
      <c r="C88" s="573">
        <f>C87*C76</f>
        <v>0</v>
      </c>
      <c r="D88" s="568" t="s">
        <v>769</v>
      </c>
      <c r="E88" s="567" t="s">
        <v>777</v>
      </c>
      <c r="F88" s="568"/>
      <c r="G88" s="568"/>
      <c r="H88" s="568"/>
      <c r="I88" s="574"/>
      <c r="J88" s="581"/>
      <c r="K88" s="581"/>
      <c r="L88" s="575"/>
      <c r="M88" s="379"/>
      <c r="N88" s="562"/>
      <c r="O88" s="379"/>
    </row>
    <row r="89" spans="1:15" ht="27" x14ac:dyDescent="0.3">
      <c r="A89" s="503"/>
      <c r="B89" s="579" t="s">
        <v>772</v>
      </c>
      <c r="C89" s="573">
        <f>C75-C88</f>
        <v>0</v>
      </c>
      <c r="D89" s="568" t="s">
        <v>769</v>
      </c>
      <c r="E89" s="567"/>
      <c r="F89" s="568"/>
      <c r="G89" s="568"/>
      <c r="H89" s="568"/>
      <c r="I89" s="574"/>
      <c r="J89" s="581"/>
      <c r="K89" s="581"/>
      <c r="L89" s="575"/>
      <c r="M89" s="379"/>
      <c r="N89" s="562"/>
      <c r="O89" s="379"/>
    </row>
    <row r="90" spans="1:15" ht="15.75" x14ac:dyDescent="0.3">
      <c r="A90" s="503"/>
      <c r="B90" s="577" t="s">
        <v>345</v>
      </c>
      <c r="C90" s="573">
        <f>ABS(C75-C88)</f>
        <v>0</v>
      </c>
      <c r="D90" s="568" t="s">
        <v>769</v>
      </c>
      <c r="E90" s="567" t="str">
        <f>IF(C89&gt;0, "Electricity use in plant larger than generation in", "Surplus electricity. Credit must be calculated")</f>
        <v>Surplus electricity. Credit must be calculated</v>
      </c>
      <c r="F90" s="568"/>
      <c r="G90" s="568"/>
      <c r="H90" s="568"/>
      <c r="I90" s="574" t="e">
        <f>$C90*$E$72*VLOOKUP($B90,'Standard values'!$C$9:$S$162,7, FALSE)/$E$265</f>
        <v>#N/A</v>
      </c>
      <c r="J90" s="574" t="e">
        <f>$C90*$E$72*VLOOKUP($B90,'Standard values'!$C$9:$S$162,8, FALSE)/$E$265</f>
        <v>#N/A</v>
      </c>
      <c r="K90" s="574" t="e">
        <f>$C90*$E$72*VLOOKUP($B90,'Standard values'!$C$9:$S$162,9, FALSE)/$E$265</f>
        <v>#N/A</v>
      </c>
      <c r="L90" s="575">
        <f>IF(C76&gt;0, I90*'Standard values'!$D$10+J90*'Standard values'!$D$11+K90*'Standard values'!$D$12, 0)</f>
        <v>0</v>
      </c>
      <c r="M90" s="379"/>
      <c r="N90" s="562">
        <f>+L90/$E$73</f>
        <v>0</v>
      </c>
      <c r="O90" s="379"/>
    </row>
    <row r="91" spans="1:15" x14ac:dyDescent="0.2">
      <c r="A91" s="503"/>
      <c r="B91" s="582"/>
      <c r="C91" s="573"/>
      <c r="D91" s="568"/>
      <c r="E91" s="567" t="str">
        <f>IF(C89&gt;0, "   NG CHP. Therefore calculated as national electricity mix", "   following RED Annex V.C.16")</f>
        <v xml:space="preserve">   following RED Annex V.C.16</v>
      </c>
      <c r="F91" s="568"/>
      <c r="G91" s="568"/>
      <c r="H91" s="568"/>
      <c r="I91" s="574"/>
      <c r="J91" s="574"/>
      <c r="K91" s="574"/>
      <c r="L91" s="575"/>
      <c r="M91" s="379"/>
      <c r="N91" s="562"/>
      <c r="O91" s="379"/>
    </row>
    <row r="92" spans="1:15" x14ac:dyDescent="0.2">
      <c r="A92" s="503"/>
      <c r="B92" s="511"/>
      <c r="C92" s="499"/>
      <c r="D92" s="495"/>
      <c r="E92" s="503"/>
      <c r="F92" s="495"/>
      <c r="G92" s="495"/>
      <c r="H92" s="495"/>
      <c r="I92" s="544"/>
      <c r="J92" s="544"/>
      <c r="K92" s="544"/>
      <c r="L92" s="419"/>
      <c r="M92" s="379"/>
      <c r="N92" s="562"/>
      <c r="O92" s="379"/>
    </row>
    <row r="93" spans="1:15" x14ac:dyDescent="0.2">
      <c r="A93" s="503"/>
      <c r="B93" s="511" t="s">
        <v>641</v>
      </c>
      <c r="C93" s="499"/>
      <c r="D93" s="495"/>
      <c r="E93" s="503"/>
      <c r="F93" s="495"/>
      <c r="G93" s="495"/>
      <c r="H93" s="495"/>
      <c r="I93" s="544"/>
      <c r="J93" s="544"/>
      <c r="K93" s="544"/>
      <c r="L93" s="419"/>
      <c r="M93" s="379"/>
      <c r="N93" s="562"/>
      <c r="O93" s="379"/>
    </row>
    <row r="94" spans="1:15" ht="15.75" x14ac:dyDescent="0.3">
      <c r="A94" s="503"/>
      <c r="B94" s="674" t="s">
        <v>1106</v>
      </c>
      <c r="C94" s="675">
        <v>0</v>
      </c>
      <c r="D94" s="495" t="s">
        <v>644</v>
      </c>
      <c r="E94" s="503"/>
      <c r="F94" s="495"/>
      <c r="G94" s="495"/>
      <c r="H94" s="495"/>
      <c r="I94" s="544">
        <f>$C94*$E$72*VLOOKUP($B94,'Standard values'!$C$9:$S$162,7, FALSE)/$E$265</f>
        <v>0</v>
      </c>
      <c r="J94" s="544">
        <f>$C94*$E$72*VLOOKUP($B94,'Standard values'!$C$9:$S$162,8, FALSE)/$E$265</f>
        <v>0</v>
      </c>
      <c r="K94" s="544">
        <f>$C94*$E$72*VLOOKUP($B94,'Standard values'!$C$9:$S$162,9, FALSE)/$E$265</f>
        <v>0</v>
      </c>
      <c r="L94" s="419">
        <f>I94*'Standard values'!$D$10+J94*'Standard values'!$D$11+K94*'Standard values'!$D$12</f>
        <v>0</v>
      </c>
      <c r="M94" s="379"/>
      <c r="N94" s="562">
        <f>L94/$E$73</f>
        <v>0</v>
      </c>
      <c r="O94" s="379"/>
    </row>
    <row r="95" spans="1:15" x14ac:dyDescent="0.2">
      <c r="A95" s="503"/>
      <c r="B95" s="674"/>
      <c r="C95" s="716"/>
      <c r="D95" s="495"/>
      <c r="E95" s="503"/>
      <c r="F95" s="495"/>
      <c r="G95" s="495"/>
      <c r="H95" s="495"/>
      <c r="I95" s="544"/>
      <c r="J95" s="544"/>
      <c r="K95" s="544"/>
      <c r="L95" s="419"/>
      <c r="M95" s="379"/>
      <c r="N95" s="562"/>
      <c r="O95" s="379"/>
    </row>
    <row r="96" spans="1:15" ht="15.75" x14ac:dyDescent="0.3">
      <c r="A96" s="503"/>
      <c r="B96" s="492" t="s">
        <v>215</v>
      </c>
      <c r="C96" s="774">
        <v>0</v>
      </c>
      <c r="D96" s="495" t="s">
        <v>212</v>
      </c>
      <c r="E96" s="503"/>
      <c r="F96" s="495"/>
      <c r="G96" s="495"/>
      <c r="H96" s="495"/>
      <c r="I96" s="544"/>
      <c r="J96" s="544">
        <f>C96*E72/$E$265</f>
        <v>0</v>
      </c>
      <c r="K96" s="544"/>
      <c r="L96" s="419">
        <f>I96*'Standard values'!$D$10+J96*'Standard values'!$D$11+K96*'Standard values'!$D$12</f>
        <v>0</v>
      </c>
      <c r="M96" s="379"/>
      <c r="N96" s="562">
        <f>L96/$E$73</f>
        <v>0</v>
      </c>
      <c r="O96" s="379"/>
    </row>
    <row r="97" spans="1:15" x14ac:dyDescent="0.2">
      <c r="A97" s="503"/>
      <c r="B97" s="492"/>
      <c r="C97" s="716"/>
      <c r="D97" s="495"/>
      <c r="E97" s="503"/>
      <c r="F97" s="495"/>
      <c r="G97" s="495"/>
      <c r="H97" s="495"/>
      <c r="I97" s="544"/>
      <c r="J97" s="544"/>
      <c r="K97" s="544"/>
      <c r="L97" s="419"/>
      <c r="M97" s="379"/>
      <c r="N97" s="562"/>
      <c r="O97" s="379"/>
    </row>
    <row r="98" spans="1:15" x14ac:dyDescent="0.2">
      <c r="A98" s="503"/>
      <c r="B98" s="495"/>
      <c r="C98" s="499"/>
      <c r="D98" s="499"/>
      <c r="E98" s="681"/>
      <c r="F98" s="495"/>
      <c r="G98" s="495"/>
      <c r="H98" s="514" t="s">
        <v>1047</v>
      </c>
      <c r="I98" s="583" t="e">
        <f>SUM(I72:I96)</f>
        <v>#N/A</v>
      </c>
      <c r="J98" s="583" t="e">
        <f>SUM(J72:J96)</f>
        <v>#N/A</v>
      </c>
      <c r="K98" s="583" t="e">
        <f>SUM(K72:K96)</f>
        <v>#N/A</v>
      </c>
      <c r="L98" s="516">
        <f>SUM(L72:L96)</f>
        <v>0</v>
      </c>
      <c r="M98" s="379"/>
      <c r="N98" s="1201">
        <f>+L98/E$73</f>
        <v>0</v>
      </c>
      <c r="O98" s="379"/>
    </row>
    <row r="99" spans="1:15" x14ac:dyDescent="0.2">
      <c r="A99" s="503"/>
      <c r="B99" s="682"/>
      <c r="C99" s="499"/>
      <c r="D99" s="499"/>
      <c r="E99" s="503"/>
      <c r="F99" s="495"/>
      <c r="G99" s="495"/>
      <c r="H99" s="495"/>
      <c r="I99" s="495"/>
      <c r="J99" s="495"/>
      <c r="K99" s="495"/>
      <c r="L99" s="541"/>
      <c r="M99" s="379"/>
      <c r="N99" s="1203"/>
      <c r="O99" s="379"/>
    </row>
    <row r="100" spans="1:15" ht="14.25" x14ac:dyDescent="0.25">
      <c r="A100" s="519"/>
      <c r="B100" s="520"/>
      <c r="C100" s="520"/>
      <c r="D100" s="520"/>
      <c r="E100" s="519"/>
      <c r="F100" s="521"/>
      <c r="G100" s="521"/>
      <c r="H100" s="521" t="s">
        <v>534</v>
      </c>
      <c r="I100" s="520"/>
      <c r="J100" s="523" t="s">
        <v>747</v>
      </c>
      <c r="K100" s="549"/>
      <c r="L100" s="525">
        <f>N98*E$73</f>
        <v>0</v>
      </c>
      <c r="M100" s="379"/>
      <c r="N100" s="390"/>
      <c r="O100" s="379"/>
    </row>
    <row r="101" spans="1:15" x14ac:dyDescent="0.2">
      <c r="A101" s="390"/>
      <c r="B101" s="390"/>
      <c r="C101" s="390"/>
      <c r="D101" s="390"/>
      <c r="E101" s="390"/>
      <c r="F101" s="376"/>
      <c r="G101" s="376"/>
      <c r="H101" s="376"/>
      <c r="I101" s="390"/>
      <c r="J101" s="550"/>
      <c r="K101" s="551"/>
      <c r="L101" s="585"/>
      <c r="M101" s="379"/>
      <c r="N101" s="390"/>
      <c r="O101" s="390"/>
    </row>
    <row r="102" spans="1:15" x14ac:dyDescent="0.2">
      <c r="A102" s="390"/>
      <c r="B102" s="390"/>
      <c r="C102" s="390"/>
      <c r="D102" s="390"/>
      <c r="E102" s="390"/>
      <c r="F102" s="376"/>
      <c r="G102" s="376"/>
      <c r="H102" s="376"/>
      <c r="I102" s="390"/>
      <c r="J102" s="550"/>
      <c r="K102" s="551"/>
      <c r="L102" s="585"/>
      <c r="M102" s="379"/>
      <c r="N102" s="390"/>
      <c r="O102" s="390"/>
    </row>
    <row r="103" spans="1:15" ht="15.75" x14ac:dyDescent="0.25">
      <c r="A103" s="530" t="s">
        <v>1057</v>
      </c>
      <c r="B103" s="531"/>
      <c r="C103" s="531"/>
      <c r="D103" s="531"/>
      <c r="E103" s="608" t="s">
        <v>526</v>
      </c>
      <c r="F103" s="606"/>
      <c r="G103" s="606"/>
      <c r="H103" s="606"/>
      <c r="I103" s="607"/>
      <c r="J103" s="608" t="s">
        <v>747</v>
      </c>
      <c r="K103" s="607"/>
      <c r="L103" s="609">
        <f>L45+L55+L66+L100</f>
        <v>15.888257912845557</v>
      </c>
      <c r="M103" s="379"/>
      <c r="N103" s="535" t="s">
        <v>162</v>
      </c>
      <c r="O103" s="390"/>
    </row>
    <row r="104" spans="1:15" ht="15.75" x14ac:dyDescent="0.25">
      <c r="A104" s="610" t="s">
        <v>937</v>
      </c>
      <c r="B104" s="611"/>
      <c r="C104" s="611"/>
      <c r="D104" s="611"/>
      <c r="E104" s="613"/>
      <c r="F104" s="613"/>
      <c r="G104" s="613"/>
      <c r="H104" s="613"/>
      <c r="I104" s="613"/>
      <c r="J104" s="613"/>
      <c r="K104" s="613"/>
      <c r="L104" s="614"/>
      <c r="M104" s="379"/>
      <c r="N104" s="538" t="s">
        <v>975</v>
      </c>
      <c r="O104" s="390"/>
    </row>
    <row r="105" spans="1:15" ht="15.75" x14ac:dyDescent="0.3">
      <c r="A105" s="567"/>
      <c r="B105" s="568"/>
      <c r="C105" s="568"/>
      <c r="D105" s="683"/>
      <c r="E105" s="683"/>
      <c r="F105" s="683"/>
      <c r="G105" s="683"/>
      <c r="H105" s="683" t="s">
        <v>667</v>
      </c>
      <c r="I105" s="684">
        <f>L103</f>
        <v>15.888257912845557</v>
      </c>
      <c r="J105" s="568" t="s">
        <v>321</v>
      </c>
      <c r="K105" s="568"/>
      <c r="L105" s="685"/>
      <c r="M105" s="379"/>
      <c r="N105" s="540" t="s">
        <v>1056</v>
      </c>
      <c r="O105" s="390"/>
    </row>
    <row r="106" spans="1:15" ht="15.75" x14ac:dyDescent="0.3">
      <c r="A106" s="567"/>
      <c r="B106" s="568" t="s">
        <v>51</v>
      </c>
      <c r="C106" s="568" t="s">
        <v>1043</v>
      </c>
      <c r="D106" s="568"/>
      <c r="E106" s="683" t="s">
        <v>659</v>
      </c>
      <c r="F106" s="686">
        <v>1</v>
      </c>
      <c r="G106" s="686"/>
      <c r="H106" s="568" t="s">
        <v>501</v>
      </c>
      <c r="I106" s="574">
        <f>$I$105*F106/F$108</f>
        <v>15.122684613718627</v>
      </c>
      <c r="J106" s="568" t="s">
        <v>321</v>
      </c>
      <c r="K106" s="568"/>
      <c r="L106" s="685"/>
      <c r="M106" s="379"/>
      <c r="N106" s="541"/>
      <c r="O106" s="390"/>
    </row>
    <row r="107" spans="1:15" ht="15.75" x14ac:dyDescent="0.3">
      <c r="A107" s="567"/>
      <c r="B107" s="568" t="s">
        <v>123</v>
      </c>
      <c r="C107" s="568" t="s">
        <v>203</v>
      </c>
      <c r="D107" s="568"/>
      <c r="E107" s="683" t="s">
        <v>134</v>
      </c>
      <c r="F107" s="686">
        <f>C72/C71</f>
        <v>5.0624166190203927E-2</v>
      </c>
      <c r="G107" s="686"/>
      <c r="H107" s="568" t="s">
        <v>501</v>
      </c>
      <c r="I107" s="574">
        <f>$I$105*F107/F$108</f>
        <v>0.76557329912693162</v>
      </c>
      <c r="J107" s="568" t="s">
        <v>321</v>
      </c>
      <c r="K107" s="568"/>
      <c r="L107" s="685"/>
      <c r="M107" s="379"/>
      <c r="N107" s="562"/>
      <c r="O107" s="390"/>
    </row>
    <row r="108" spans="1:15" x14ac:dyDescent="0.2">
      <c r="A108" s="567"/>
      <c r="B108" s="568"/>
      <c r="C108" s="568"/>
      <c r="D108" s="568"/>
      <c r="E108" s="568" t="s">
        <v>533</v>
      </c>
      <c r="F108" s="686">
        <f>SUM(F106:F107)</f>
        <v>1.0506241661902038</v>
      </c>
      <c r="G108" s="686"/>
      <c r="H108" s="568" t="s">
        <v>501</v>
      </c>
      <c r="I108" s="568"/>
      <c r="J108" s="568"/>
      <c r="K108" s="568"/>
      <c r="L108" s="685"/>
      <c r="M108" s="379"/>
      <c r="N108" s="562"/>
      <c r="O108" s="390"/>
    </row>
    <row r="109" spans="1:15" ht="14.25" x14ac:dyDescent="0.25">
      <c r="A109" s="519"/>
      <c r="B109" s="520"/>
      <c r="C109" s="520"/>
      <c r="D109" s="520"/>
      <c r="E109" s="523" t="s">
        <v>1058</v>
      </c>
      <c r="F109" s="521"/>
      <c r="G109" s="521"/>
      <c r="H109" s="687"/>
      <c r="I109" s="520"/>
      <c r="J109" s="523" t="s">
        <v>747</v>
      </c>
      <c r="K109" s="687"/>
      <c r="L109" s="525">
        <f>I106</f>
        <v>15.122684613718627</v>
      </c>
      <c r="M109" s="379"/>
      <c r="N109" s="545">
        <f>L109/$E$73</f>
        <v>533.71443852108507</v>
      </c>
      <c r="O109" s="379"/>
    </row>
    <row r="110" spans="1:15" x14ac:dyDescent="0.2">
      <c r="A110" s="379"/>
      <c r="B110" s="379"/>
      <c r="C110" s="379"/>
      <c r="D110" s="379"/>
      <c r="E110" s="717"/>
      <c r="F110" s="526"/>
      <c r="G110" s="526"/>
      <c r="H110" s="396"/>
      <c r="I110" s="379"/>
      <c r="J110" s="717"/>
      <c r="K110" s="396"/>
      <c r="L110" s="718"/>
      <c r="M110" s="379"/>
      <c r="N110" s="379"/>
      <c r="O110" s="379"/>
    </row>
    <row r="111" spans="1:15" x14ac:dyDescent="0.2">
      <c r="A111" s="379"/>
      <c r="B111" s="379"/>
      <c r="C111" s="379"/>
      <c r="D111" s="379"/>
      <c r="E111" s="717"/>
      <c r="F111" s="526"/>
      <c r="G111" s="526"/>
      <c r="H111" s="396"/>
      <c r="I111" s="379"/>
      <c r="J111" s="717"/>
      <c r="K111" s="396"/>
      <c r="L111" s="718"/>
      <c r="M111" s="379"/>
      <c r="N111" s="379"/>
      <c r="O111" s="361"/>
    </row>
    <row r="112" spans="1:15" ht="15.75" x14ac:dyDescent="0.25">
      <c r="A112" s="530" t="s">
        <v>204</v>
      </c>
      <c r="B112" s="531"/>
      <c r="C112" s="531"/>
      <c r="D112" s="531"/>
      <c r="E112" s="530" t="s">
        <v>513</v>
      </c>
      <c r="F112" s="532"/>
      <c r="G112" s="532"/>
      <c r="H112" s="531"/>
      <c r="I112" s="532" t="s">
        <v>532</v>
      </c>
      <c r="J112" s="533"/>
      <c r="K112" s="533"/>
      <c r="L112" s="534"/>
      <c r="M112" s="379"/>
      <c r="N112" s="535" t="s">
        <v>162</v>
      </c>
      <c r="O112" s="390"/>
    </row>
    <row r="113" spans="1:15" ht="15.75" x14ac:dyDescent="0.3">
      <c r="A113" s="503"/>
      <c r="B113" s="511" t="s">
        <v>1043</v>
      </c>
      <c r="C113" s="593">
        <v>1</v>
      </c>
      <c r="D113" s="495" t="s">
        <v>645</v>
      </c>
      <c r="E113" s="553">
        <f>E71*C113</f>
        <v>156318.62399999998</v>
      </c>
      <c r="F113" s="499" t="s">
        <v>654</v>
      </c>
      <c r="G113" s="499"/>
      <c r="H113" s="495"/>
      <c r="I113" s="492" t="s">
        <v>746</v>
      </c>
      <c r="J113" s="514"/>
      <c r="K113" s="514"/>
      <c r="L113" s="537"/>
      <c r="M113" s="379"/>
      <c r="N113" s="554" t="s">
        <v>975</v>
      </c>
      <c r="O113" s="390"/>
    </row>
    <row r="114" spans="1:15" ht="15.75" x14ac:dyDescent="0.3">
      <c r="A114" s="503"/>
      <c r="B114" s="495"/>
      <c r="C114" s="495"/>
      <c r="D114" s="495"/>
      <c r="E114" s="505">
        <f>E72*C113</f>
        <v>0.51939999999999997</v>
      </c>
      <c r="F114" s="506" t="s">
        <v>200</v>
      </c>
      <c r="G114" s="506"/>
      <c r="H114" s="495"/>
      <c r="I114" s="539" t="s">
        <v>1053</v>
      </c>
      <c r="J114" s="539" t="s">
        <v>1054</v>
      </c>
      <c r="K114" s="539" t="s">
        <v>1055</v>
      </c>
      <c r="L114" s="540" t="s">
        <v>1056</v>
      </c>
      <c r="M114" s="379"/>
      <c r="N114" s="501" t="s">
        <v>1056</v>
      </c>
      <c r="O114" s="390"/>
    </row>
    <row r="115" spans="1:15" x14ac:dyDescent="0.2">
      <c r="A115" s="503"/>
      <c r="B115" s="511" t="s">
        <v>498</v>
      </c>
      <c r="C115" s="495"/>
      <c r="D115" s="495"/>
      <c r="E115" s="505"/>
      <c r="F115" s="506"/>
      <c r="G115" s="506"/>
      <c r="H115" s="495"/>
      <c r="I115" s="539"/>
      <c r="J115" s="539"/>
      <c r="K115" s="539"/>
      <c r="L115" s="540"/>
      <c r="M115" s="379"/>
      <c r="N115" s="541"/>
      <c r="O115" s="390"/>
    </row>
    <row r="116" spans="1:15" ht="15.75" x14ac:dyDescent="0.3">
      <c r="A116" s="503"/>
      <c r="B116" s="495" t="s">
        <v>159</v>
      </c>
      <c r="C116" s="595">
        <v>150</v>
      </c>
      <c r="D116" s="495" t="s">
        <v>510</v>
      </c>
      <c r="E116" s="543">
        <f>(C116*E114)/(VLOOKUP($B113,'Standard values'!$C$9:$S$162,14, FALSE))/1000</f>
        <v>2.1056756756756756E-3</v>
      </c>
      <c r="F116" s="495" t="s">
        <v>245</v>
      </c>
      <c r="G116" s="495"/>
      <c r="H116" s="495"/>
      <c r="I116" s="544">
        <f>$E116*VLOOKUP($B116,'Standard values'!$C$9:$S$162,15, FALSE)*VLOOKUP(C117,'Standard values'!$C$9:$S$162,7, FALSE)/$E$265</f>
        <v>0.37546425457715782</v>
      </c>
      <c r="J116" s="544">
        <f>$E116*((VLOOKUP($B116,'Standard values'!$C$9:$S$162,15, FALSE)*VLOOKUP(C117,'Standard values'!$C$9:$S$162,8, FALSE))+VLOOKUP($B116,'Standard values'!$C$9:$S$162,16, FALSE))/$E$265</f>
        <v>2.1251089799476896E-5</v>
      </c>
      <c r="K116" s="544">
        <f>$E116*((VLOOKUP($B116,'Standard values'!$C$9:$S$162,15, FALSE)*VLOOKUP(C117,'Standard values'!$C$9:$S$162,9, FALSE))+VLOOKUP($B116,'Standard values'!$C$9:$S$162,17, FALSE))/$E$265</f>
        <v>0</v>
      </c>
      <c r="L116" s="419">
        <f>I116*'Standard values'!$D$10+J116*'Standard values'!$D$11+K116*'Standard values'!$D$12</f>
        <v>0.37599553182214474</v>
      </c>
      <c r="M116" s="379"/>
      <c r="N116" s="561">
        <f>L116/$E$73</f>
        <v>13.269749999999998</v>
      </c>
      <c r="O116" s="390"/>
    </row>
    <row r="117" spans="1:15" x14ac:dyDescent="0.2">
      <c r="A117" s="503"/>
      <c r="B117" s="546" t="s">
        <v>54</v>
      </c>
      <c r="C117" s="673" t="s">
        <v>509</v>
      </c>
      <c r="D117" s="495"/>
      <c r="E117" s="543"/>
      <c r="F117" s="495"/>
      <c r="G117" s="495"/>
      <c r="H117" s="495"/>
      <c r="I117" s="544"/>
      <c r="J117" s="544"/>
      <c r="K117" s="544"/>
      <c r="L117" s="419"/>
      <c r="M117" s="379"/>
      <c r="N117" s="561"/>
      <c r="O117" s="390"/>
    </row>
    <row r="118" spans="1:15" ht="29.25" customHeight="1" x14ac:dyDescent="0.3">
      <c r="A118" s="503"/>
      <c r="B118" s="745" t="s">
        <v>181</v>
      </c>
      <c r="C118" s="595">
        <v>10186</v>
      </c>
      <c r="D118" s="495" t="s">
        <v>510</v>
      </c>
      <c r="E118" s="543">
        <f>(C118*E114)/(VLOOKUP($B113,'Standard values'!$C$9:$S$162,14, FALSE))/1000</f>
        <v>0.14298941621621622</v>
      </c>
      <c r="F118" s="495" t="s">
        <v>245</v>
      </c>
      <c r="G118" s="495"/>
      <c r="H118" s="495"/>
      <c r="I118" s="544">
        <f>$E118*VLOOKUP($B118,'Standard values'!$C$9:$S$162,15, FALSE)*VLOOKUP(C119,'Standard values'!$C$9:$S$162,7, FALSE)/$E$265</f>
        <v>3.1167433619529206</v>
      </c>
      <c r="J118" s="544">
        <f>$E118*((VLOOKUP($B118,'Standard values'!$C$9:$S$162,15, FALSE)*VLOOKUP(C119,'Standard values'!$C$9:$S$162,8, FALSE))+VLOOKUP($B118,'Standard values'!$C$9:$S$162,16, FALSE))/$E$265</f>
        <v>0</v>
      </c>
      <c r="K118" s="544">
        <f>$E118*((VLOOKUP($B118,'Standard values'!$C$9:$S$162,15, FALSE)*VLOOKUP(C119,'Standard values'!$C$9:$S$162,9, FALSE))+VLOOKUP($B118,'Standard values'!$C$9:$S$162,17, FALSE))/$E$265</f>
        <v>0</v>
      </c>
      <c r="L118" s="419">
        <f>I118*'Standard values'!$D$10+J118*'Standard values'!$D$11+K118*'Standard values'!$D$12</f>
        <v>3.1167433619529206</v>
      </c>
      <c r="M118" s="379"/>
      <c r="N118" s="561">
        <f>L118/$E$73</f>
        <v>109.99706572799998</v>
      </c>
      <c r="O118" s="390"/>
    </row>
    <row r="119" spans="1:15" x14ac:dyDescent="0.2">
      <c r="A119" s="503"/>
      <c r="B119" s="546" t="s">
        <v>54</v>
      </c>
      <c r="C119" s="746" t="s">
        <v>627</v>
      </c>
      <c r="D119" s="746"/>
      <c r="E119" s="543"/>
      <c r="F119" s="495"/>
      <c r="G119" s="495"/>
      <c r="H119" s="495"/>
      <c r="I119" s="544"/>
      <c r="J119" s="544"/>
      <c r="K119" s="544"/>
      <c r="L119" s="419"/>
      <c r="M119" s="379"/>
      <c r="N119" s="561"/>
      <c r="O119" s="390"/>
    </row>
    <row r="120" spans="1:15" x14ac:dyDescent="0.2">
      <c r="A120" s="503"/>
      <c r="B120" s="511" t="s">
        <v>217</v>
      </c>
      <c r="C120" s="495"/>
      <c r="D120" s="495"/>
      <c r="E120" s="503"/>
      <c r="F120" s="495"/>
      <c r="G120" s="495"/>
      <c r="H120" s="495"/>
      <c r="I120" s="544"/>
      <c r="J120" s="544"/>
      <c r="K120" s="544"/>
      <c r="L120" s="562"/>
      <c r="M120" s="379"/>
      <c r="N120" s="561"/>
      <c r="O120" s="379"/>
    </row>
    <row r="121" spans="1:15" ht="15.75" x14ac:dyDescent="0.3">
      <c r="A121" s="590"/>
      <c r="B121" s="1301" t="s">
        <v>239</v>
      </c>
      <c r="C121" s="595">
        <v>8.4000000000000003E-4</v>
      </c>
      <c r="D121" s="495" t="s">
        <v>644</v>
      </c>
      <c r="E121" s="503"/>
      <c r="F121" s="495"/>
      <c r="G121" s="495"/>
      <c r="H121" s="495"/>
      <c r="I121" s="544">
        <f>$C121*$E$197*VLOOKUP($B121,'Standard values'!$C$9:$S$162,7, FALSE)/$E$265</f>
        <v>9.6163200000000018E-2</v>
      </c>
      <c r="J121" s="544">
        <f>$C121*$E$197*VLOOKUP($B121,'Standard values'!$C$9:$S$162,8, FALSE)/$E$265</f>
        <v>3.0902412121212159E-4</v>
      </c>
      <c r="K121" s="544">
        <f>$C121*$E$197*VLOOKUP($B121,'Standard values'!$C$9:$S$162,9, FALSE)/$E$265</f>
        <v>4.1870606060606058E-6</v>
      </c>
      <c r="L121" s="419">
        <f>I121*'Standard values'!$D$10+J121*'Standard values'!$D$11+K121*'Standard values'!$D$12</f>
        <v>0.10513654709090911</v>
      </c>
      <c r="M121" s="379"/>
      <c r="N121" s="561">
        <f>L121/$E$73</f>
        <v>3.710511369639161</v>
      </c>
      <c r="O121" s="379"/>
    </row>
    <row r="122" spans="1:15" x14ac:dyDescent="0.2">
      <c r="A122" s="503"/>
      <c r="B122" s="511" t="s">
        <v>216</v>
      </c>
      <c r="C122" s="495"/>
      <c r="D122" s="495"/>
      <c r="E122" s="503"/>
      <c r="F122" s="495"/>
      <c r="G122" s="495"/>
      <c r="H122" s="548"/>
      <c r="I122" s="544"/>
      <c r="J122" s="544"/>
      <c r="K122" s="544"/>
      <c r="L122" s="419"/>
      <c r="M122" s="379"/>
      <c r="N122" s="561"/>
      <c r="O122" s="390"/>
    </row>
    <row r="123" spans="1:15" ht="15.75" x14ac:dyDescent="0.3">
      <c r="A123" s="503"/>
      <c r="B123" s="1301" t="s">
        <v>49</v>
      </c>
      <c r="C123" s="542">
        <v>8.4000000000000003E-4</v>
      </c>
      <c r="D123" s="495" t="s">
        <v>644</v>
      </c>
      <c r="E123" s="503"/>
      <c r="F123" s="495"/>
      <c r="G123" s="495"/>
      <c r="H123" s="548"/>
      <c r="I123" s="544">
        <f>$C123*$E$197*VLOOKUP($B123,'Standard values'!$C$9:$S$162,7, FALSE)/$E$265</f>
        <v>0.10146738000000001</v>
      </c>
      <c r="J123" s="544">
        <f>$C123*$E$197*VLOOKUP($B123,'Standard values'!$C$9:$S$162,8, FALSE)/$E$265</f>
        <v>2.4744999999999997E-4</v>
      </c>
      <c r="K123" s="544">
        <f>$C123*$E$197*VLOOKUP($B123,'Standard values'!$C$9:$S$162,9, FALSE)/$E$265</f>
        <v>4.5966666666666661E-6</v>
      </c>
      <c r="L123" s="419">
        <f>I123*'Standard values'!$D$10+J123*'Standard values'!$D$11+K123*'Standard values'!$D$12</f>
        <v>0.10902343666666668</v>
      </c>
      <c r="M123" s="379"/>
      <c r="N123" s="561">
        <f>L123/$E$73</f>
        <v>3.8476886725128203</v>
      </c>
      <c r="O123" s="390"/>
    </row>
    <row r="124" spans="1:15" x14ac:dyDescent="0.2">
      <c r="A124" s="503"/>
      <c r="B124" s="499"/>
      <c r="C124" s="495"/>
      <c r="D124" s="495"/>
      <c r="E124" s="503"/>
      <c r="F124" s="495"/>
      <c r="G124" s="495"/>
      <c r="H124" s="514" t="s">
        <v>1047</v>
      </c>
      <c r="I124" s="583">
        <f>SUM(I116:I123)</f>
        <v>3.6898381965300779</v>
      </c>
      <c r="J124" s="583">
        <f>SUM(J116:J123)</f>
        <v>5.7772521101159846E-4</v>
      </c>
      <c r="K124" s="583">
        <f>SUM(K116:K123)</f>
        <v>8.7837272727272711E-6</v>
      </c>
      <c r="L124" s="516">
        <f>I124*'Standard values'!$D$10+J124*'Standard values'!$D$11+K124*'Standard values'!$D$12</f>
        <v>3.7068988775326406</v>
      </c>
      <c r="M124" s="379"/>
      <c r="N124" s="545">
        <f>L124/$E$73</f>
        <v>130.82501577015194</v>
      </c>
      <c r="O124" s="390"/>
    </row>
    <row r="125" spans="1:15" x14ac:dyDescent="0.2">
      <c r="A125" s="503"/>
      <c r="B125" s="495"/>
      <c r="C125" s="495"/>
      <c r="D125" s="495"/>
      <c r="E125" s="503"/>
      <c r="F125" s="495"/>
      <c r="G125" s="495"/>
      <c r="H125" s="548"/>
      <c r="I125" s="544"/>
      <c r="J125" s="544"/>
      <c r="K125" s="544"/>
      <c r="L125" s="516"/>
      <c r="M125" s="379"/>
      <c r="N125" s="390"/>
      <c r="O125" s="390"/>
    </row>
    <row r="126" spans="1:15" ht="14.25" x14ac:dyDescent="0.25">
      <c r="A126" s="519"/>
      <c r="B126" s="520"/>
      <c r="C126" s="520"/>
      <c r="D126" s="520"/>
      <c r="E126" s="519"/>
      <c r="F126" s="521"/>
      <c r="G126" s="521"/>
      <c r="H126" s="521" t="s">
        <v>534</v>
      </c>
      <c r="I126" s="520"/>
      <c r="J126" s="523" t="s">
        <v>747</v>
      </c>
      <c r="K126" s="549"/>
      <c r="L126" s="525">
        <f>L124</f>
        <v>3.7068988775326406</v>
      </c>
      <c r="M126" s="379"/>
      <c r="N126" s="390"/>
      <c r="O126" s="390"/>
    </row>
    <row r="127" spans="1:15" x14ac:dyDescent="0.2">
      <c r="A127" s="390"/>
      <c r="B127" s="390"/>
      <c r="C127" s="390"/>
      <c r="D127" s="379"/>
      <c r="E127" s="379"/>
      <c r="F127" s="551"/>
      <c r="G127" s="551"/>
      <c r="H127" s="437"/>
      <c r="I127" s="378"/>
      <c r="J127" s="379"/>
      <c r="K127" s="379"/>
      <c r="L127" s="586"/>
      <c r="M127" s="379"/>
      <c r="N127" s="379"/>
      <c r="O127" s="379"/>
    </row>
    <row r="128" spans="1:15" x14ac:dyDescent="0.2">
      <c r="A128" s="390"/>
      <c r="B128" s="390"/>
      <c r="C128" s="390"/>
      <c r="D128" s="379"/>
      <c r="E128" s="379"/>
      <c r="F128" s="551"/>
      <c r="G128" s="551"/>
      <c r="H128" s="437"/>
      <c r="I128" s="378"/>
      <c r="J128" s="379"/>
      <c r="K128" s="379"/>
      <c r="L128" s="586"/>
      <c r="M128" s="379"/>
      <c r="N128" s="379"/>
      <c r="O128" s="379"/>
    </row>
    <row r="129" spans="1:15" ht="15.75" x14ac:dyDescent="0.25">
      <c r="A129" s="530" t="s">
        <v>642</v>
      </c>
      <c r="B129" s="531"/>
      <c r="C129" s="531"/>
      <c r="D129" s="531"/>
      <c r="E129" s="530" t="s">
        <v>513</v>
      </c>
      <c r="F129" s="532"/>
      <c r="G129" s="532"/>
      <c r="H129" s="531"/>
      <c r="I129" s="532" t="s">
        <v>532</v>
      </c>
      <c r="J129" s="533"/>
      <c r="K129" s="533"/>
      <c r="L129" s="534"/>
      <c r="M129" s="379"/>
      <c r="N129" s="535" t="s">
        <v>162</v>
      </c>
      <c r="O129" s="379"/>
    </row>
    <row r="130" spans="1:15" x14ac:dyDescent="0.2">
      <c r="A130" s="503"/>
      <c r="B130" s="511" t="s">
        <v>524</v>
      </c>
      <c r="C130" s="495"/>
      <c r="D130" s="495"/>
      <c r="E130" s="553"/>
      <c r="F130" s="499"/>
      <c r="G130" s="499"/>
      <c r="H130" s="495"/>
      <c r="I130" s="492" t="s">
        <v>746</v>
      </c>
      <c r="J130" s="514"/>
      <c r="K130" s="514"/>
      <c r="L130" s="537"/>
      <c r="M130" s="379"/>
      <c r="N130" s="554" t="s">
        <v>976</v>
      </c>
      <c r="O130" s="379"/>
    </row>
    <row r="131" spans="1:15" ht="15.75" x14ac:dyDescent="0.3">
      <c r="A131" s="503"/>
      <c r="B131" s="495" t="s">
        <v>1043</v>
      </c>
      <c r="C131" s="593">
        <v>0.96</v>
      </c>
      <c r="D131" s="495" t="s">
        <v>645</v>
      </c>
      <c r="E131" s="553">
        <f>E71*C131</f>
        <v>150065.87903999997</v>
      </c>
      <c r="F131" s="499" t="s">
        <v>654</v>
      </c>
      <c r="G131" s="499"/>
      <c r="H131" s="495"/>
      <c r="I131" s="539" t="s">
        <v>1053</v>
      </c>
      <c r="J131" s="539" t="s">
        <v>1054</v>
      </c>
      <c r="K131" s="539" t="s">
        <v>1055</v>
      </c>
      <c r="L131" s="540" t="s">
        <v>1056</v>
      </c>
      <c r="M131" s="379"/>
      <c r="N131" s="540" t="s">
        <v>1056</v>
      </c>
      <c r="O131" s="379"/>
    </row>
    <row r="132" spans="1:15" ht="15.75" x14ac:dyDescent="0.3">
      <c r="A132" s="563"/>
      <c r="B132" s="506"/>
      <c r="C132" s="564"/>
      <c r="D132" s="506"/>
      <c r="E132" s="505">
        <f>C131*E114</f>
        <v>0.49862399999999996</v>
      </c>
      <c r="F132" s="506" t="s">
        <v>200</v>
      </c>
      <c r="G132" s="506"/>
      <c r="H132" s="495"/>
      <c r="I132" s="495"/>
      <c r="J132" s="495"/>
      <c r="K132" s="495"/>
      <c r="L132" s="541"/>
      <c r="M132" s="379"/>
      <c r="N132" s="541"/>
      <c r="O132" s="379"/>
    </row>
    <row r="133" spans="1:15" ht="15.75" x14ac:dyDescent="0.3">
      <c r="A133" s="563"/>
      <c r="B133" s="511" t="s">
        <v>525</v>
      </c>
      <c r="C133" s="495"/>
      <c r="D133" s="506"/>
      <c r="E133" s="557">
        <f>E131/$E$264/VLOOKUP($B131,'Standard values'!$C$9:$S$162,14, FALSE)</f>
        <v>2.7201394943330431E-2</v>
      </c>
      <c r="F133" s="499" t="s">
        <v>978</v>
      </c>
      <c r="G133" s="499"/>
      <c r="H133" s="495"/>
      <c r="I133" s="495"/>
      <c r="J133" s="495"/>
      <c r="K133" s="495"/>
      <c r="L133" s="541"/>
      <c r="M133" s="379"/>
      <c r="N133" s="562"/>
      <c r="O133" s="379"/>
    </row>
    <row r="134" spans="1:15" ht="15.75" x14ac:dyDescent="0.3">
      <c r="A134" s="503"/>
      <c r="B134" s="1301" t="s">
        <v>50</v>
      </c>
      <c r="C134" s="676">
        <f>1.4*0.0006</f>
        <v>8.3999999999999993E-4</v>
      </c>
      <c r="D134" s="495" t="s">
        <v>644</v>
      </c>
      <c r="E134" s="513"/>
      <c r="F134" s="495"/>
      <c r="G134" s="495"/>
      <c r="H134" s="495"/>
      <c r="I134" s="544">
        <f>$C134*$E$132*VLOOKUP($B134,'Standard values'!$C$9:$S$162,7, FALSE)/$E$265</f>
        <v>0.10091108593548385</v>
      </c>
      <c r="J134" s="544">
        <f>$C134*$E$132*VLOOKUP($B134,'Standard values'!$C$9:$S$162,8, FALSE)/$E$265</f>
        <v>2.4608748387096774E-4</v>
      </c>
      <c r="K134" s="544">
        <f>$C134*$E$132*VLOOKUP($B134,'Standard values'!$C$9:$S$162,9, FALSE)/$E$265</f>
        <v>4.5558709677419349E-6</v>
      </c>
      <c r="L134" s="419">
        <f>I134*'Standard values'!$D$10+J134*'Standard values'!$D$11+K134*'Standard values'!$D$12</f>
        <v>0.10842092258064515</v>
      </c>
      <c r="M134" s="379"/>
      <c r="N134" s="561">
        <f>L134/$E$133</f>
        <v>3.9858589166666656</v>
      </c>
      <c r="O134" s="379"/>
    </row>
    <row r="135" spans="1:15" ht="15.75" x14ac:dyDescent="0.3">
      <c r="A135" s="503"/>
      <c r="B135" s="495" t="s">
        <v>827</v>
      </c>
      <c r="C135" s="675">
        <f>1.4*0.00822222222222222</f>
        <v>1.1511111111111106E-2</v>
      </c>
      <c r="D135" s="495" t="s">
        <v>644</v>
      </c>
      <c r="E135" s="503"/>
      <c r="F135" s="495"/>
      <c r="G135" s="495"/>
      <c r="H135" s="495"/>
      <c r="I135" s="544"/>
      <c r="J135" s="544"/>
      <c r="K135" s="544"/>
      <c r="L135" s="677"/>
      <c r="M135" s="379"/>
      <c r="N135" s="561"/>
      <c r="O135" s="379"/>
    </row>
    <row r="136" spans="1:15" x14ac:dyDescent="0.2">
      <c r="A136" s="503"/>
      <c r="B136" s="571" t="s">
        <v>729</v>
      </c>
      <c r="C136" s="566"/>
      <c r="D136" s="566"/>
      <c r="E136" s="567"/>
      <c r="F136" s="568"/>
      <c r="G136" s="568"/>
      <c r="H136" s="568"/>
      <c r="I136" s="569" t="s">
        <v>830</v>
      </c>
      <c r="J136" s="568"/>
      <c r="K136" s="568"/>
      <c r="L136" s="678"/>
      <c r="M136" s="379"/>
      <c r="N136" s="561"/>
      <c r="O136" s="379"/>
    </row>
    <row r="137" spans="1:15" ht="15.75" x14ac:dyDescent="0.3">
      <c r="A137" s="503"/>
      <c r="B137" s="679" t="s">
        <v>826</v>
      </c>
      <c r="C137" s="573"/>
      <c r="D137" s="566"/>
      <c r="E137" s="567"/>
      <c r="F137" s="568"/>
      <c r="G137" s="568"/>
      <c r="H137" s="568"/>
      <c r="I137" s="574">
        <f>$C135*$E$132*VLOOKUP($B137,'Standard values'!$C$9:$S$159,7, FALSE)/$E$265</f>
        <v>0</v>
      </c>
      <c r="J137" s="574">
        <f>$C135*$E$132*VLOOKUP($B137,'Standard values'!$C$9:$S$159,8, FALSE)/$E$265</f>
        <v>3.2181600955794489E-5</v>
      </c>
      <c r="K137" s="574">
        <f>$C135*$E$132*VLOOKUP($B137,'Standard values'!$C$9:$S$159,9, FALSE)/$E$265</f>
        <v>1.2872640382317794E-5</v>
      </c>
      <c r="L137" s="575">
        <f>I137*'Standard values'!$D$10+J137*'Standard values'!$D$11+K137*'Standard values'!$D$12</f>
        <v>4.6405868578255653E-3</v>
      </c>
      <c r="M137" s="379"/>
      <c r="N137" s="561">
        <f>L137/$E$133</f>
        <v>0.17060106172839495</v>
      </c>
      <c r="O137" s="379"/>
    </row>
    <row r="138" spans="1:15" ht="14.25" x14ac:dyDescent="0.25">
      <c r="A138" s="503"/>
      <c r="B138" s="582" t="s">
        <v>828</v>
      </c>
      <c r="C138" s="536">
        <f>1/0.9</f>
        <v>1.1111111111111112</v>
      </c>
      <c r="D138" s="568" t="s">
        <v>419</v>
      </c>
      <c r="E138" s="567"/>
      <c r="F138" s="568"/>
      <c r="G138" s="568"/>
      <c r="H138" s="568"/>
      <c r="I138" s="574"/>
      <c r="J138" s="581"/>
      <c r="K138" s="581"/>
      <c r="L138" s="575"/>
      <c r="M138" s="379"/>
      <c r="N138" s="561"/>
      <c r="O138" s="379"/>
    </row>
    <row r="139" spans="1:15" ht="29.25" customHeight="1" x14ac:dyDescent="0.3">
      <c r="A139" s="503"/>
      <c r="B139" s="680" t="s">
        <v>158</v>
      </c>
      <c r="C139" s="573">
        <f>C138*C135</f>
        <v>1.2790123456790118E-2</v>
      </c>
      <c r="D139" s="568" t="s">
        <v>644</v>
      </c>
      <c r="E139" s="567"/>
      <c r="F139" s="568"/>
      <c r="G139" s="568"/>
      <c r="H139" s="568"/>
      <c r="I139" s="574">
        <f>$C139*$E$132*VLOOKUP($B139,'Standard values'!$C$9:$S$162,7, FALSE)/$E$265</f>
        <v>0.81051292903225758</v>
      </c>
      <c r="J139" s="574">
        <f>$C139*$E$132*VLOOKUP($B139,'Standard values'!$C$9:$S$162,8, FALSE)/$E$265</f>
        <v>2.5505706624186896E-3</v>
      </c>
      <c r="K139" s="574">
        <f>$C139*$E$132*VLOOKUP($B139,'Standard values'!$C$9:$S$162,9, FALSE)/$E$265</f>
        <v>2.8605867516261768E-6</v>
      </c>
      <c r="L139" s="575">
        <f>I139*'Standard values'!$D$10+J139*'Standard values'!$D$11+K139*'Standard values'!$D$12</f>
        <v>0.87512965044470947</v>
      </c>
      <c r="M139" s="379"/>
      <c r="N139" s="561">
        <f>L139/$E$133</f>
        <v>32.172234264746209</v>
      </c>
      <c r="O139" s="379"/>
    </row>
    <row r="140" spans="1:15" ht="14.25" x14ac:dyDescent="0.25">
      <c r="A140" s="503"/>
      <c r="B140" s="582" t="s">
        <v>829</v>
      </c>
      <c r="C140" s="536">
        <v>0.02</v>
      </c>
      <c r="D140" s="568" t="s">
        <v>419</v>
      </c>
      <c r="E140" s="567"/>
      <c r="F140" s="568"/>
      <c r="G140" s="568"/>
      <c r="H140" s="568"/>
      <c r="I140" s="574"/>
      <c r="J140" s="581"/>
      <c r="K140" s="581"/>
      <c r="L140" s="575"/>
      <c r="M140" s="379"/>
      <c r="N140" s="561"/>
      <c r="O140" s="379"/>
    </row>
    <row r="141" spans="1:15" ht="15.75" x14ac:dyDescent="0.3">
      <c r="A141" s="503"/>
      <c r="B141" s="1301" t="s">
        <v>50</v>
      </c>
      <c r="C141" s="573">
        <f>C140*C135</f>
        <v>2.3022222222222213E-4</v>
      </c>
      <c r="D141" s="568" t="s">
        <v>644</v>
      </c>
      <c r="E141" s="567"/>
      <c r="F141" s="568"/>
      <c r="G141" s="568"/>
      <c r="H141" s="568"/>
      <c r="I141" s="574">
        <f>$C141*$E$132*VLOOKUP($B141,'Standard values'!$C$9:$S$162,7, FALSE)/$E$265</f>
        <v>2.7657112441577047E-2</v>
      </c>
      <c r="J141" s="574">
        <f>$C141*$E$132*VLOOKUP($B141,'Standard values'!$C$9:$S$162,8, FALSE)/$E$265</f>
        <v>6.7446199283154097E-5</v>
      </c>
      <c r="K141" s="574">
        <f>$C141*$E$132*VLOOKUP($B141,'Standard values'!$C$9:$S$162,9, FALSE)/$E$265</f>
        <v>1.2486461170848262E-6</v>
      </c>
      <c r="L141" s="575">
        <f>I141*'Standard values'!$D$10+J141*'Standard values'!$D$11+K141*'Standard values'!$D$12</f>
        <v>2.9715363966547177E-2</v>
      </c>
      <c r="M141" s="379"/>
      <c r="N141" s="561">
        <f>L141/$E$133</f>
        <v>1.0924205919753078</v>
      </c>
      <c r="O141" s="379"/>
    </row>
    <row r="142" spans="1:15" x14ac:dyDescent="0.2">
      <c r="A142" s="503"/>
      <c r="B142" s="495"/>
      <c r="C142" s="499"/>
      <c r="D142" s="495"/>
      <c r="E142" s="503"/>
      <c r="F142" s="495"/>
      <c r="G142" s="495"/>
      <c r="H142" s="495"/>
      <c r="I142" s="544"/>
      <c r="J142" s="544"/>
      <c r="K142" s="544"/>
      <c r="L142" s="419"/>
      <c r="M142" s="379"/>
      <c r="N142" s="561"/>
      <c r="O142" s="379"/>
    </row>
    <row r="143" spans="1:15" x14ac:dyDescent="0.2">
      <c r="A143" s="503"/>
      <c r="B143" s="511" t="s">
        <v>641</v>
      </c>
      <c r="C143" s="499"/>
      <c r="D143" s="495"/>
      <c r="E143" s="503"/>
      <c r="F143" s="495"/>
      <c r="G143" s="495"/>
      <c r="H143" s="495"/>
      <c r="I143" s="544"/>
      <c r="J143" s="544"/>
      <c r="K143" s="544"/>
      <c r="L143" s="419"/>
      <c r="M143" s="379"/>
      <c r="N143" s="561"/>
      <c r="O143" s="379"/>
    </row>
    <row r="144" spans="1:15" ht="15.75" x14ac:dyDescent="0.3">
      <c r="A144" s="503"/>
      <c r="B144" s="674" t="s">
        <v>142</v>
      </c>
      <c r="C144" s="675">
        <f>1.4*0.000166666666666667</f>
        <v>2.3333333333333379E-4</v>
      </c>
      <c r="D144" s="495" t="s">
        <v>646</v>
      </c>
      <c r="E144" s="503"/>
      <c r="F144" s="495"/>
      <c r="G144" s="495"/>
      <c r="H144" s="495"/>
      <c r="I144" s="544">
        <f>$C144*$E$132*VLOOKUP($B144,'Standard values'!$C$9:$S$162,3, FALSE)/$E$265</f>
        <v>4.6263225806451695E-2</v>
      </c>
      <c r="J144" s="544">
        <f>$C144*$E$132*VLOOKUP($B144,'Standard values'!$C$9:$S$162,4, FALSE)/$E$265</f>
        <v>8.759483870967757E-6</v>
      </c>
      <c r="K144" s="544">
        <f>$C144*$E$132*VLOOKUP($B144,'Standard values'!$C$9:$S$162,5, FALSE)/$E$265</f>
        <v>1.4794838709677448E-6</v>
      </c>
      <c r="L144" s="419">
        <f>I144*'Standard values'!$D$10+J144*'Standard values'!$D$11+K144*'Standard values'!$D$12</f>
        <v>4.6923099096774279E-2</v>
      </c>
      <c r="M144" s="379"/>
      <c r="N144" s="561">
        <f>L144/$E$133</f>
        <v>1.7250254700000029</v>
      </c>
      <c r="O144" s="379"/>
    </row>
    <row r="145" spans="1:15" x14ac:dyDescent="0.2">
      <c r="A145" s="503"/>
      <c r="B145" s="682"/>
      <c r="C145" s="499"/>
      <c r="D145" s="499"/>
      <c r="E145" s="681"/>
      <c r="F145" s="495"/>
      <c r="G145" s="495"/>
      <c r="H145" s="514" t="s">
        <v>1047</v>
      </c>
      <c r="I145" s="583">
        <f>SUM(I132:I144)</f>
        <v>0.98534435321577019</v>
      </c>
      <c r="J145" s="583">
        <f>SUM(J132:J144)</f>
        <v>2.9050454303995738E-3</v>
      </c>
      <c r="K145" s="583">
        <f>SUM(K132:K144)</f>
        <v>2.3017228089738479E-5</v>
      </c>
      <c r="L145" s="516">
        <f>I145*'Standard values'!$D$10+J145*'Standard values'!$D$11+K145*'Standard values'!$D$12</f>
        <v>1.0648296229465015</v>
      </c>
      <c r="M145" s="379"/>
      <c r="N145" s="545">
        <f>L145/$E$133</f>
        <v>39.146140305116575</v>
      </c>
      <c r="O145" s="379"/>
    </row>
    <row r="146" spans="1:15" x14ac:dyDescent="0.2">
      <c r="A146" s="503"/>
      <c r="B146" s="682"/>
      <c r="C146" s="499"/>
      <c r="D146" s="499"/>
      <c r="E146" s="503"/>
      <c r="F146" s="495"/>
      <c r="G146" s="495"/>
      <c r="H146" s="495"/>
      <c r="I146" s="495"/>
      <c r="J146" s="495"/>
      <c r="K146" s="495"/>
      <c r="L146" s="541"/>
      <c r="M146" s="379"/>
      <c r="N146" s="390"/>
      <c r="O146" s="379"/>
    </row>
    <row r="147" spans="1:15" ht="14.25" x14ac:dyDescent="0.25">
      <c r="A147" s="519"/>
      <c r="B147" s="520"/>
      <c r="C147" s="520"/>
      <c r="D147" s="520"/>
      <c r="E147" s="519"/>
      <c r="F147" s="521"/>
      <c r="G147" s="521"/>
      <c r="H147" s="521" t="s">
        <v>534</v>
      </c>
      <c r="I147" s="520"/>
      <c r="J147" s="523" t="s">
        <v>747</v>
      </c>
      <c r="K147" s="549"/>
      <c r="L147" s="525">
        <f>L145</f>
        <v>1.0648296229465015</v>
      </c>
      <c r="M147" s="379"/>
      <c r="N147" s="390"/>
      <c r="O147" s="379"/>
    </row>
    <row r="148" spans="1:15" x14ac:dyDescent="0.2">
      <c r="A148" s="390"/>
      <c r="B148" s="390"/>
      <c r="C148" s="390"/>
      <c r="D148" s="379"/>
      <c r="E148" s="379"/>
      <c r="F148" s="551"/>
      <c r="G148" s="551"/>
      <c r="H148" s="437"/>
      <c r="I148" s="378"/>
      <c r="J148" s="379"/>
      <c r="K148" s="379"/>
      <c r="L148" s="586"/>
      <c r="M148" s="379"/>
      <c r="N148" s="379"/>
      <c r="O148" s="379"/>
    </row>
    <row r="149" spans="1:15" x14ac:dyDescent="0.2">
      <c r="A149" s="390"/>
      <c r="B149" s="390"/>
      <c r="C149" s="390"/>
      <c r="D149" s="390"/>
      <c r="E149" s="390"/>
      <c r="F149" s="390"/>
      <c r="G149" s="390"/>
      <c r="H149" s="390"/>
      <c r="I149" s="529"/>
      <c r="J149" s="529"/>
      <c r="K149" s="529"/>
      <c r="L149" s="529"/>
      <c r="M149" s="379"/>
      <c r="N149" s="390"/>
      <c r="O149" s="379"/>
    </row>
    <row r="150" spans="1:15" ht="15.75" x14ac:dyDescent="0.25">
      <c r="A150" s="530" t="s">
        <v>1212</v>
      </c>
      <c r="B150" s="531"/>
      <c r="C150" s="531"/>
      <c r="D150" s="531"/>
      <c r="E150" s="530" t="s">
        <v>513</v>
      </c>
      <c r="F150" s="532"/>
      <c r="G150" s="532"/>
      <c r="H150" s="531"/>
      <c r="I150" s="532" t="s">
        <v>532</v>
      </c>
      <c r="J150" s="533"/>
      <c r="K150" s="533"/>
      <c r="L150" s="534"/>
      <c r="M150" s="379"/>
      <c r="N150" s="535" t="s">
        <v>162</v>
      </c>
      <c r="O150" s="379"/>
    </row>
    <row r="151" spans="1:15" ht="15.75" x14ac:dyDescent="0.3">
      <c r="A151" s="503"/>
      <c r="B151" s="511" t="s">
        <v>1043</v>
      </c>
      <c r="C151" s="593">
        <v>1</v>
      </c>
      <c r="D151" s="495" t="s">
        <v>645</v>
      </c>
      <c r="E151" s="553">
        <f>E131*C151</f>
        <v>150065.87903999997</v>
      </c>
      <c r="F151" s="499" t="s">
        <v>654</v>
      </c>
      <c r="G151" s="499"/>
      <c r="H151" s="495"/>
      <c r="I151" s="492" t="s">
        <v>746</v>
      </c>
      <c r="J151" s="514"/>
      <c r="K151" s="514"/>
      <c r="L151" s="537"/>
      <c r="M151" s="379"/>
      <c r="N151" s="554" t="s">
        <v>976</v>
      </c>
      <c r="O151" s="379"/>
    </row>
    <row r="152" spans="1:15" ht="15.75" x14ac:dyDescent="0.3">
      <c r="A152" s="503"/>
      <c r="B152" s="495"/>
      <c r="C152" s="495"/>
      <c r="D152" s="495"/>
      <c r="E152" s="505">
        <f>E132*C151</f>
        <v>0.49862399999999996</v>
      </c>
      <c r="F152" s="506" t="s">
        <v>200</v>
      </c>
      <c r="G152" s="506"/>
      <c r="H152" s="495"/>
      <c r="I152" s="539" t="s">
        <v>1053</v>
      </c>
      <c r="J152" s="539" t="s">
        <v>1054</v>
      </c>
      <c r="K152" s="539" t="s">
        <v>1055</v>
      </c>
      <c r="L152" s="540" t="s">
        <v>1056</v>
      </c>
      <c r="M152" s="379"/>
      <c r="N152" s="540" t="s">
        <v>1056</v>
      </c>
      <c r="O152" s="379"/>
    </row>
    <row r="153" spans="1:15" x14ac:dyDescent="0.2">
      <c r="A153" s="503"/>
      <c r="B153" s="511" t="s">
        <v>498</v>
      </c>
      <c r="C153" s="495"/>
      <c r="D153" s="495"/>
      <c r="E153" s="505"/>
      <c r="F153" s="506"/>
      <c r="G153" s="506"/>
      <c r="H153" s="495"/>
      <c r="I153" s="539"/>
      <c r="J153" s="539"/>
      <c r="K153" s="539"/>
      <c r="L153" s="540"/>
      <c r="M153" s="379"/>
      <c r="N153" s="541"/>
      <c r="O153" s="379"/>
    </row>
    <row r="154" spans="1:15" ht="15.75" x14ac:dyDescent="0.3">
      <c r="A154" s="503"/>
      <c r="B154" s="495" t="s">
        <v>159</v>
      </c>
      <c r="C154" s="595">
        <v>0</v>
      </c>
      <c r="D154" s="495" t="s">
        <v>510</v>
      </c>
      <c r="E154" s="543">
        <f>(C154*E152)/(VLOOKUP($B151,'Standard values'!$C$9:$S$162,14, FALSE))/1000</f>
        <v>0</v>
      </c>
      <c r="F154" s="495" t="s">
        <v>245</v>
      </c>
      <c r="G154" s="495"/>
      <c r="H154" s="495"/>
      <c r="I154" s="544">
        <f>$E154*VLOOKUP($B154,'Standard values'!$C$9:$S$162,15, FALSE)*VLOOKUP(C155,'Standard values'!$C$9:$S$162,7, FALSE)/$E$265</f>
        <v>0</v>
      </c>
      <c r="J154" s="544">
        <f>$E154*((VLOOKUP($B154,'Standard values'!$C$9:$S$162,15, FALSE)*VLOOKUP(C155,'Standard values'!$C$9:$S$162,8, FALSE))+VLOOKUP($B154,'Standard values'!$C$9:$S$162,16, FALSE))/$E$265</f>
        <v>0</v>
      </c>
      <c r="K154" s="544">
        <f>$E154*((VLOOKUP($B154,'Standard values'!$C$9:$S$162,15, FALSE)*VLOOKUP(C155,'Standard values'!$C$9:$S$162,9, FALSE))+VLOOKUP($B154,'Standard values'!$C$9:$S$162,17, FALSE))/$E$265</f>
        <v>0</v>
      </c>
      <c r="L154" s="516">
        <f>I154*'Standard values'!$D$10+J154*'Standard values'!$D$11+K154*'Standard values'!$D$12</f>
        <v>0</v>
      </c>
      <c r="M154" s="379"/>
      <c r="N154" s="545">
        <f>L154/$E$133</f>
        <v>0</v>
      </c>
      <c r="O154" s="379"/>
    </row>
    <row r="155" spans="1:15" x14ac:dyDescent="0.2">
      <c r="A155" s="503"/>
      <c r="B155" s="546" t="s">
        <v>54</v>
      </c>
      <c r="C155" s="673" t="s">
        <v>509</v>
      </c>
      <c r="D155" s="495"/>
      <c r="E155" s="543"/>
      <c r="F155" s="495"/>
      <c r="G155" s="495"/>
      <c r="H155" s="495"/>
      <c r="I155" s="544"/>
      <c r="J155" s="544"/>
      <c r="K155" s="544"/>
      <c r="L155" s="516"/>
      <c r="M155" s="379"/>
      <c r="N155" s="379"/>
      <c r="O155" s="379"/>
    </row>
    <row r="156" spans="1:15" x14ac:dyDescent="0.2">
      <c r="A156" s="503"/>
      <c r="B156" s="495"/>
      <c r="C156" s="495"/>
      <c r="D156" s="495"/>
      <c r="E156" s="503"/>
      <c r="F156" s="495"/>
      <c r="G156" s="495"/>
      <c r="H156" s="548"/>
      <c r="I156" s="544"/>
      <c r="J156" s="544"/>
      <c r="K156" s="544"/>
      <c r="L156" s="516"/>
      <c r="M156" s="379"/>
      <c r="N156" s="390"/>
      <c r="O156" s="379"/>
    </row>
    <row r="157" spans="1:15" ht="14.25" x14ac:dyDescent="0.25">
      <c r="A157" s="519"/>
      <c r="B157" s="520"/>
      <c r="C157" s="520"/>
      <c r="D157" s="520"/>
      <c r="E157" s="519"/>
      <c r="F157" s="521"/>
      <c r="G157" s="521"/>
      <c r="H157" s="521" t="s">
        <v>534</v>
      </c>
      <c r="I157" s="520"/>
      <c r="J157" s="523" t="s">
        <v>747</v>
      </c>
      <c r="K157" s="549"/>
      <c r="L157" s="525">
        <f>L154</f>
        <v>0</v>
      </c>
      <c r="M157" s="379"/>
      <c r="N157" s="390"/>
      <c r="O157" s="379"/>
    </row>
    <row r="158" spans="1:15" x14ac:dyDescent="0.2">
      <c r="A158" s="390"/>
      <c r="B158" s="390"/>
      <c r="C158" s="390"/>
      <c r="D158" s="390"/>
      <c r="E158" s="390"/>
      <c r="F158" s="376"/>
      <c r="G158" s="376"/>
      <c r="H158" s="376"/>
      <c r="I158" s="390"/>
      <c r="J158" s="550"/>
      <c r="K158" s="551"/>
      <c r="L158" s="552"/>
      <c r="M158" s="379"/>
      <c r="N158" s="379"/>
      <c r="O158" s="379"/>
    </row>
    <row r="159" spans="1:15" x14ac:dyDescent="0.2">
      <c r="A159" s="390"/>
      <c r="B159" s="390"/>
      <c r="C159" s="390"/>
      <c r="D159" s="379"/>
      <c r="E159" s="379"/>
      <c r="F159" s="551"/>
      <c r="G159" s="551"/>
      <c r="H159" s="437"/>
      <c r="I159" s="378"/>
      <c r="J159" s="379"/>
      <c r="K159" s="379"/>
      <c r="L159" s="586"/>
      <c r="M159" s="379"/>
      <c r="N159" s="379"/>
      <c r="O159" s="379"/>
    </row>
    <row r="160" spans="1:15" ht="15.75" x14ac:dyDescent="0.25">
      <c r="A160" s="530" t="s">
        <v>647</v>
      </c>
      <c r="B160" s="531"/>
      <c r="C160" s="531"/>
      <c r="D160" s="531"/>
      <c r="E160" s="530" t="s">
        <v>513</v>
      </c>
      <c r="F160" s="532"/>
      <c r="G160" s="532"/>
      <c r="H160" s="531"/>
      <c r="I160" s="532" t="s">
        <v>532</v>
      </c>
      <c r="J160" s="533"/>
      <c r="K160" s="533"/>
      <c r="L160" s="534"/>
      <c r="M160" s="379"/>
      <c r="N160" s="535" t="s">
        <v>162</v>
      </c>
      <c r="O160" s="379"/>
    </row>
    <row r="161" spans="1:15" x14ac:dyDescent="0.2">
      <c r="A161" s="503"/>
      <c r="B161" s="511" t="s">
        <v>524</v>
      </c>
      <c r="C161" s="495"/>
      <c r="D161" s="495"/>
      <c r="E161" s="553"/>
      <c r="F161" s="499"/>
      <c r="G161" s="499"/>
      <c r="H161" s="495"/>
      <c r="I161" s="492" t="s">
        <v>746</v>
      </c>
      <c r="J161" s="514"/>
      <c r="K161" s="514"/>
      <c r="L161" s="537"/>
      <c r="M161" s="379"/>
      <c r="N161" s="554" t="s">
        <v>977</v>
      </c>
      <c r="O161" s="379"/>
    </row>
    <row r="162" spans="1:15" ht="15.75" x14ac:dyDescent="0.3">
      <c r="A162" s="503"/>
      <c r="B162" s="495" t="s">
        <v>1094</v>
      </c>
      <c r="C162" s="675">
        <v>0.99358974358974361</v>
      </c>
      <c r="D162" s="495" t="s">
        <v>649</v>
      </c>
      <c r="E162" s="553">
        <f>E151*C162</f>
        <v>149103.91827692304</v>
      </c>
      <c r="F162" s="499" t="s">
        <v>655</v>
      </c>
      <c r="G162" s="499"/>
      <c r="H162" s="495"/>
      <c r="I162" s="539" t="s">
        <v>1053</v>
      </c>
      <c r="J162" s="539" t="s">
        <v>1054</v>
      </c>
      <c r="K162" s="539" t="s">
        <v>1055</v>
      </c>
      <c r="L162" s="540" t="s">
        <v>1056</v>
      </c>
      <c r="M162" s="379"/>
      <c r="N162" s="540" t="s">
        <v>1056</v>
      </c>
      <c r="O162" s="379"/>
    </row>
    <row r="163" spans="1:15" ht="15.75" x14ac:dyDescent="0.3">
      <c r="A163" s="563"/>
      <c r="B163" s="495" t="s">
        <v>128</v>
      </c>
      <c r="C163" s="664">
        <v>105.6</v>
      </c>
      <c r="D163" s="674" t="s">
        <v>650</v>
      </c>
      <c r="E163" s="505">
        <f>E152*C162</f>
        <v>0.49542769230769229</v>
      </c>
      <c r="F163" s="506" t="s">
        <v>200</v>
      </c>
      <c r="G163" s="506"/>
      <c r="H163" s="495"/>
      <c r="I163" s="495"/>
      <c r="J163" s="495"/>
      <c r="K163" s="495"/>
      <c r="L163" s="541"/>
      <c r="M163" s="379"/>
      <c r="N163" s="541"/>
      <c r="O163" s="379"/>
    </row>
    <row r="164" spans="1:15" ht="15.75" x14ac:dyDescent="0.3">
      <c r="A164" s="563"/>
      <c r="B164" s="506"/>
      <c r="C164" s="564"/>
      <c r="D164" s="506"/>
      <c r="E164" s="557">
        <f>E162/$E$264/VLOOKUP($B162,'Standard values'!$C$9:$S$162,14, FALSE)</f>
        <v>2.6881720430107524E-2</v>
      </c>
      <c r="F164" s="499" t="s">
        <v>587</v>
      </c>
      <c r="G164" s="499"/>
      <c r="H164" s="495"/>
      <c r="I164" s="495"/>
      <c r="J164" s="495"/>
      <c r="K164" s="495"/>
      <c r="L164" s="541"/>
      <c r="M164" s="379"/>
      <c r="N164" s="562"/>
      <c r="O164" s="379"/>
    </row>
    <row r="165" spans="1:15" x14ac:dyDescent="0.2">
      <c r="A165" s="503"/>
      <c r="B165" s="511" t="s">
        <v>525</v>
      </c>
      <c r="C165" s="495"/>
      <c r="D165" s="495"/>
      <c r="E165" s="513"/>
      <c r="F165" s="495"/>
      <c r="G165" s="495"/>
      <c r="H165" s="495"/>
      <c r="I165" s="495"/>
      <c r="J165" s="495"/>
      <c r="K165" s="495"/>
      <c r="L165" s="541"/>
      <c r="M165" s="379"/>
      <c r="N165" s="562"/>
      <c r="O165" s="379"/>
    </row>
    <row r="166" spans="1:15" ht="15.75" x14ac:dyDescent="0.3">
      <c r="A166" s="503"/>
      <c r="B166" s="1301" t="s">
        <v>50</v>
      </c>
      <c r="C166" s="676">
        <f>1.4*0.00290322580645161</f>
        <v>4.0645161290322543E-3</v>
      </c>
      <c r="D166" s="495" t="s">
        <v>651</v>
      </c>
      <c r="E166" s="503"/>
      <c r="F166" s="495"/>
      <c r="G166" s="495"/>
      <c r="H166" s="495"/>
      <c r="I166" s="544">
        <f>$C166*$E$163*VLOOKUP($B166,'Standard values'!$C$9:$S$162,7, FALSE)/$E$265</f>
        <v>0.48514945161290274</v>
      </c>
      <c r="J166" s="544">
        <f>$C166*$E$163*VLOOKUP($B166,'Standard values'!$C$9:$S$162,8, FALSE)/$E$265</f>
        <v>1.1831129032258054E-3</v>
      </c>
      <c r="K166" s="544">
        <f>$C166*$E$163*VLOOKUP($B166,'Standard values'!$C$9:$S$162,9, FALSE)/$E$265</f>
        <v>2.1903225806451594E-5</v>
      </c>
      <c r="L166" s="419">
        <f>I166*'Standard values'!$D$10+J166*'Standard values'!$D$11+K166*'Standard values'!$D$12</f>
        <v>0.52125443548387052</v>
      </c>
      <c r="M166" s="379"/>
      <c r="N166" s="561">
        <f>L166/$E$164</f>
        <v>19.390664999999984</v>
      </c>
      <c r="O166" s="379"/>
    </row>
    <row r="167" spans="1:15" ht="15.75" x14ac:dyDescent="0.3">
      <c r="A167" s="503"/>
      <c r="B167" s="495" t="s">
        <v>827</v>
      </c>
      <c r="C167" s="675">
        <f>1.4*0.0718477788639079</f>
        <v>0.10058689040947107</v>
      </c>
      <c r="D167" s="495" t="s">
        <v>651</v>
      </c>
      <c r="E167" s="503"/>
      <c r="F167" s="495"/>
      <c r="G167" s="495"/>
      <c r="H167" s="495"/>
      <c r="I167" s="544"/>
      <c r="J167" s="544"/>
      <c r="K167" s="544"/>
      <c r="L167" s="419"/>
      <c r="M167" s="379"/>
      <c r="N167" s="562"/>
      <c r="O167" s="379"/>
    </row>
    <row r="168" spans="1:15" x14ac:dyDescent="0.2">
      <c r="A168" s="503"/>
      <c r="B168" s="571" t="s">
        <v>729</v>
      </c>
      <c r="C168" s="566"/>
      <c r="D168" s="566"/>
      <c r="E168" s="567"/>
      <c r="F168" s="568"/>
      <c r="G168" s="568"/>
      <c r="H168" s="568"/>
      <c r="I168" s="569" t="s">
        <v>830</v>
      </c>
      <c r="J168" s="568"/>
      <c r="K168" s="568"/>
      <c r="L168" s="688"/>
      <c r="M168" s="379"/>
      <c r="N168" s="562"/>
      <c r="O168" s="379"/>
    </row>
    <row r="169" spans="1:15" ht="15.75" x14ac:dyDescent="0.3">
      <c r="A169" s="503"/>
      <c r="B169" s="679" t="s">
        <v>826</v>
      </c>
      <c r="C169" s="573"/>
      <c r="D169" s="566"/>
      <c r="E169" s="567"/>
      <c r="F169" s="568"/>
      <c r="G169" s="568"/>
      <c r="H169" s="568"/>
      <c r="I169" s="574">
        <f>$C167*$E$163*VLOOKUP($B169,'Standard values'!$C$9:$S$159,7, FALSE)/$E$265</f>
        <v>0</v>
      </c>
      <c r="J169" s="574">
        <f>$C167*$E$163*VLOOKUP($B169,'Standard values'!$C$9:$S$159,8, FALSE)/$E$265</f>
        <v>2.7940802891519747E-4</v>
      </c>
      <c r="K169" s="574">
        <f>$C167*$E$163*VLOOKUP($B169,'Standard values'!$C$9:$S$159,9, FALSE)/$E$265</f>
        <v>1.1176321156607897E-4</v>
      </c>
      <c r="L169" s="575">
        <f>I169*'Standard values'!$D$10+J169*'Standard values'!$D$11+K169*'Standard values'!$D$12</f>
        <v>4.0290637769571466E-2</v>
      </c>
      <c r="M169" s="379"/>
      <c r="N169" s="561">
        <f>L169/$E$164</f>
        <v>1.4988117250280588</v>
      </c>
      <c r="O169" s="379"/>
    </row>
    <row r="170" spans="1:15" ht="14.25" x14ac:dyDescent="0.25">
      <c r="A170" s="503"/>
      <c r="B170" s="582" t="s">
        <v>828</v>
      </c>
      <c r="C170" s="536">
        <f>1/0.9</f>
        <v>1.1111111111111112</v>
      </c>
      <c r="D170" s="568" t="s">
        <v>419</v>
      </c>
      <c r="E170" s="567"/>
      <c r="F170" s="568"/>
      <c r="G170" s="568"/>
      <c r="H170" s="568"/>
      <c r="I170" s="574"/>
      <c r="J170" s="581"/>
      <c r="K170" s="581"/>
      <c r="L170" s="575"/>
      <c r="M170" s="379"/>
      <c r="N170" s="562"/>
      <c r="O170" s="379"/>
    </row>
    <row r="171" spans="1:15" ht="29.25" customHeight="1" x14ac:dyDescent="0.3">
      <c r="A171" s="503"/>
      <c r="B171" s="680" t="s">
        <v>158</v>
      </c>
      <c r="C171" s="573">
        <f>C170*C167</f>
        <v>0.11176321156607896</v>
      </c>
      <c r="D171" s="568" t="s">
        <v>651</v>
      </c>
      <c r="E171" s="567"/>
      <c r="F171" s="568"/>
      <c r="G171" s="568"/>
      <c r="H171" s="568"/>
      <c r="I171" s="574">
        <f>$C171*$E$163*VLOOKUP($B171,'Standard values'!$C$9:$S$162,7, FALSE)/$E$265</f>
        <v>7.0370588530465952</v>
      </c>
      <c r="J171" s="574">
        <f>$C171*$E$163*VLOOKUP($B171,'Standard values'!$C$9:$S$162,8, FALSE)/$E$265</f>
        <v>2.2144638558356699E-2</v>
      </c>
      <c r="K171" s="574">
        <f>$C171*$E$163*VLOOKUP($B171,'Standard values'!$C$9:$S$162,9, FALSE)/$E$265</f>
        <v>2.4836269236906438E-5</v>
      </c>
      <c r="L171" s="575">
        <f>I171*'Standard values'!$D$10+J171*'Standard values'!$D$11+K171*'Standard values'!$D$12</f>
        <v>7.598076025238111</v>
      </c>
      <c r="M171" s="379"/>
      <c r="N171" s="561">
        <f>L171/$E$164</f>
        <v>282.64842813885775</v>
      </c>
      <c r="O171" s="379"/>
    </row>
    <row r="172" spans="1:15" ht="14.25" x14ac:dyDescent="0.25">
      <c r="A172" s="503"/>
      <c r="B172" s="582" t="s">
        <v>829</v>
      </c>
      <c r="C172" s="536">
        <v>0.02</v>
      </c>
      <c r="D172" s="568" t="s">
        <v>419</v>
      </c>
      <c r="E172" s="567"/>
      <c r="F172" s="568"/>
      <c r="G172" s="568"/>
      <c r="H172" s="568"/>
      <c r="I172" s="574"/>
      <c r="J172" s="581"/>
      <c r="K172" s="581"/>
      <c r="L172" s="575"/>
      <c r="M172" s="379"/>
      <c r="N172" s="562"/>
      <c r="O172" s="379"/>
    </row>
    <row r="173" spans="1:15" ht="15.75" x14ac:dyDescent="0.3">
      <c r="A173" s="503"/>
      <c r="B173" s="1301" t="s">
        <v>50</v>
      </c>
      <c r="C173" s="573">
        <f>C172*C167</f>
        <v>2.0117378081894212E-3</v>
      </c>
      <c r="D173" s="568" t="s">
        <v>651</v>
      </c>
      <c r="E173" s="567"/>
      <c r="F173" s="568"/>
      <c r="G173" s="568"/>
      <c r="H173" s="568"/>
      <c r="I173" s="574">
        <f>$C173*$E$163*VLOOKUP($B173,'Standard values'!$C$9:$S$162,7, FALSE)/$E$265</f>
        <v>0.2401253835507404</v>
      </c>
      <c r="J173" s="574">
        <f>$C173*$E$163*VLOOKUP($B173,'Standard values'!$C$9:$S$162,8, FALSE)/$E$265</f>
        <v>5.8558334700047076E-4</v>
      </c>
      <c r="K173" s="574">
        <f>$C173*$E$163*VLOOKUP($B173,'Standard values'!$C$9:$S$162,9, FALSE)/$E$265</f>
        <v>1.0841031521909659E-5</v>
      </c>
      <c r="L173" s="575">
        <f>I173*'Standard values'!$D$10+J173*'Standard values'!$D$11+K173*'Standard values'!$D$12</f>
        <v>0.25799559461928123</v>
      </c>
      <c r="M173" s="379"/>
      <c r="N173" s="561">
        <f>L173/$E$164</f>
        <v>9.5974361198372637</v>
      </c>
      <c r="O173" s="379"/>
    </row>
    <row r="174" spans="1:15" x14ac:dyDescent="0.2">
      <c r="A174" s="503"/>
      <c r="B174" s="495"/>
      <c r="C174" s="499"/>
      <c r="D174" s="495"/>
      <c r="E174" s="503"/>
      <c r="F174" s="495"/>
      <c r="G174" s="495"/>
      <c r="H174" s="495"/>
      <c r="I174" s="544"/>
      <c r="J174" s="544"/>
      <c r="K174" s="544"/>
      <c r="L174" s="419"/>
      <c r="M174" s="379"/>
      <c r="N174" s="562"/>
      <c r="O174" s="379"/>
    </row>
    <row r="175" spans="1:15" x14ac:dyDescent="0.2">
      <c r="A175" s="503"/>
      <c r="B175" s="511" t="s">
        <v>641</v>
      </c>
      <c r="C175" s="499"/>
      <c r="D175" s="495"/>
      <c r="E175" s="503"/>
      <c r="F175" s="495"/>
      <c r="G175" s="495"/>
      <c r="H175" s="495"/>
      <c r="I175" s="544"/>
      <c r="J175" s="544"/>
      <c r="K175" s="544"/>
      <c r="L175" s="419"/>
      <c r="M175" s="379"/>
      <c r="N175" s="562"/>
      <c r="O175" s="379"/>
    </row>
    <row r="176" spans="1:15" ht="15.75" x14ac:dyDescent="0.3">
      <c r="A176" s="503"/>
      <c r="B176" s="674" t="s">
        <v>241</v>
      </c>
      <c r="C176" s="738">
        <f>1.4*0.0000456989247311828</f>
        <v>6.3978494623655906E-5</v>
      </c>
      <c r="D176" s="495" t="s">
        <v>652</v>
      </c>
      <c r="E176" s="503"/>
      <c r="F176" s="495"/>
      <c r="G176" s="495"/>
      <c r="H176" s="495"/>
      <c r="I176" s="544">
        <f>$C176*$E$163*VLOOKUP($B176,'Standard values'!$C$9:$S$162,3, FALSE)/$E$265</f>
        <v>0.17760430107526878</v>
      </c>
      <c r="J176" s="544">
        <f>$C176*$E$163*VLOOKUP($B176,'Standard values'!$C$9:$S$162,4, FALSE)/$E$265</f>
        <v>5.7112322580645154E-4</v>
      </c>
      <c r="K176" s="544">
        <f>$C176*$E$163*VLOOKUP($B176,'Standard values'!$C$9:$S$162,5, FALSE)/$E$265</f>
        <v>6.5769892473118271E-6</v>
      </c>
      <c r="L176" s="419">
        <f>I176*'Standard values'!$D$10+J176*'Standard values'!$D$11+K176*'Standard values'!$D$12</f>
        <v>0.19384232451612898</v>
      </c>
      <c r="M176" s="379"/>
      <c r="N176" s="561">
        <f t="shared" ref="N176:N181" si="3">L176/$E$164</f>
        <v>7.210934471999999</v>
      </c>
      <c r="O176" s="379"/>
    </row>
    <row r="177" spans="1:15" ht="15.75" x14ac:dyDescent="0.3">
      <c r="A177" s="503"/>
      <c r="B177" s="674" t="s">
        <v>237</v>
      </c>
      <c r="C177" s="738">
        <f>1.4*0.000537634408602151</f>
        <v>7.5268817204301129E-4</v>
      </c>
      <c r="D177" s="495" t="s">
        <v>652</v>
      </c>
      <c r="E177" s="503"/>
      <c r="F177" s="495"/>
      <c r="G177" s="495"/>
      <c r="H177" s="495"/>
      <c r="I177" s="544">
        <f>$C177*$E$163*VLOOKUP($B177,'Standard values'!$C$9:$S$162,3, FALSE)/$E$265</f>
        <v>0.53996193548387139</v>
      </c>
      <c r="J177" s="544">
        <f>$C177*$E$163*VLOOKUP($B177,'Standard values'!$C$9:$S$162,4, FALSE)/$E$265</f>
        <v>8.4978494623655972E-4</v>
      </c>
      <c r="K177" s="544">
        <f>$C177*$E$163*VLOOKUP($B177,'Standard values'!$C$9:$S$162,5, FALSE)/$E$265</f>
        <v>1.9118279569892487E-5</v>
      </c>
      <c r="L177" s="419">
        <f>I177*'Standard values'!$D$10+J177*'Standard values'!$D$11+K177*'Standard values'!$D$12</f>
        <v>0.56690380645161331</v>
      </c>
      <c r="M177" s="379"/>
      <c r="N177" s="561">
        <f t="shared" si="3"/>
        <v>21.088821600000017</v>
      </c>
      <c r="O177" s="379"/>
    </row>
    <row r="178" spans="1:15" ht="15.75" x14ac:dyDescent="0.3">
      <c r="A178" s="503"/>
      <c r="B178" s="674" t="s">
        <v>648</v>
      </c>
      <c r="C178" s="738">
        <f>1.4*0.0000672043010752688</f>
        <v>9.4086021505376317E-5</v>
      </c>
      <c r="D178" s="495" t="s">
        <v>652</v>
      </c>
      <c r="E178" s="503"/>
      <c r="F178" s="495"/>
      <c r="G178" s="495"/>
      <c r="H178" s="495"/>
      <c r="I178" s="544">
        <f>$C178*$E$163*VLOOKUP($B178,'Standard values'!$C$9:$S$162,3, FALSE)/$E$265</f>
        <v>9.8413978494623619E-2</v>
      </c>
      <c r="J178" s="544">
        <f>$C178*$E$163*VLOOKUP($B178,'Standard values'!$C$9:$S$162,4, FALSE)/$E$265</f>
        <v>5.8333333333333316E-4</v>
      </c>
      <c r="K178" s="544">
        <f>$C178*$E$163*VLOOKUP($B178,'Standard values'!$C$9:$S$162,5, FALSE)/$E$265</f>
        <v>5.174731182795697E-7</v>
      </c>
      <c r="L178" s="419">
        <f>I178*'Standard values'!$D$10+J178*'Standard values'!$D$11+K178*'Standard values'!$D$12</f>
        <v>0.11315151881720426</v>
      </c>
      <c r="M178" s="379"/>
      <c r="N178" s="561">
        <f t="shared" si="3"/>
        <v>4.2092364999999985</v>
      </c>
      <c r="O178" s="379"/>
    </row>
    <row r="179" spans="1:15" ht="15.75" x14ac:dyDescent="0.3">
      <c r="A179" s="503"/>
      <c r="B179" s="674" t="s">
        <v>1107</v>
      </c>
      <c r="C179" s="738">
        <f>1.4*0.000180645161290323</f>
        <v>2.5290322580645222E-4</v>
      </c>
      <c r="D179" s="495" t="s">
        <v>652</v>
      </c>
      <c r="E179" s="503"/>
      <c r="F179" s="495"/>
      <c r="G179" s="495"/>
      <c r="H179" s="495"/>
      <c r="I179" s="544">
        <f>$C179*$E$163*VLOOKUP($B179,'Standard values'!$C$9:$S$162,3, FALSE)/$E$265</f>
        <v>0.1108963447741938</v>
      </c>
      <c r="J179" s="544">
        <f>$C179*$E$163*VLOOKUP($B179,'Standard values'!$C$9:$S$162,4, FALSE)/$E$265</f>
        <v>2.6051561290322639E-4</v>
      </c>
      <c r="K179" s="544">
        <f>$C179*$E$163*VLOOKUP($B179,'Standard values'!$C$9:$S$162,5, FALSE)/$E$265</f>
        <v>6.0696774193548535E-6</v>
      </c>
      <c r="L179" s="419">
        <f>I179*'Standard values'!$D$10+J179*'Standard values'!$D$11+K179*'Standard values'!$D$12</f>
        <v>0.11921799896774221</v>
      </c>
      <c r="M179" s="379"/>
      <c r="N179" s="561">
        <f t="shared" si="3"/>
        <v>4.4349095616000112</v>
      </c>
      <c r="O179" s="379"/>
    </row>
    <row r="180" spans="1:15" ht="15.75" x14ac:dyDescent="0.3">
      <c r="A180" s="503"/>
      <c r="B180" s="674" t="s">
        <v>500</v>
      </c>
      <c r="C180" s="675">
        <f>1.4*0.0584556451612903</f>
        <v>8.1837903225806419E-2</v>
      </c>
      <c r="D180" s="495" t="s">
        <v>651</v>
      </c>
      <c r="E180" s="503"/>
      <c r="F180" s="495"/>
      <c r="G180" s="495"/>
      <c r="H180" s="495"/>
      <c r="I180" s="544">
        <f>$C180*$E$163*VLOOKUP($B180,'Standard values'!$C$9:$S$162,7, FALSE)/$E$265</f>
        <v>7.594348278046593</v>
      </c>
      <c r="J180" s="544">
        <f>$C180*$E$163*VLOOKUP($B180,'Standard values'!$C$9:$S$162,8, FALSE)/$E$265</f>
        <v>2.3735265210573467E-2</v>
      </c>
      <c r="K180" s="544">
        <f>$C180*$E$163*VLOOKUP($B180,'Standard values'!$C$9:$S$162,9, FALSE)/$E$265</f>
        <v>2.7279301075268806E-5</v>
      </c>
      <c r="L180" s="419">
        <f>I180*'Standard values'!$D$10+J180*'Standard values'!$D$11+K180*'Standard values'!$D$12</f>
        <v>8.1958591400313594</v>
      </c>
      <c r="M180" s="379"/>
      <c r="N180" s="561">
        <f t="shared" si="3"/>
        <v>304.88596000916658</v>
      </c>
      <c r="O180" s="379"/>
    </row>
    <row r="181" spans="1:15" x14ac:dyDescent="0.2">
      <c r="A181" s="503"/>
      <c r="B181" s="682"/>
      <c r="C181" s="682"/>
      <c r="D181" s="499"/>
      <c r="E181" s="681"/>
      <c r="F181" s="495"/>
      <c r="G181" s="495"/>
      <c r="H181" s="514" t="s">
        <v>1047</v>
      </c>
      <c r="I181" s="583">
        <f>SUM(I163:I180)</f>
        <v>16.283558526084786</v>
      </c>
      <c r="J181" s="583">
        <f>SUM(J163:J180)</f>
        <v>5.0192765166351211E-2</v>
      </c>
      <c r="K181" s="583">
        <f>SUM(K163:K180)</f>
        <v>2.2890545856145419E-4</v>
      </c>
      <c r="L181" s="516">
        <f>I181*'Standard values'!$D$10+J181*'Standard values'!$D$11+K181*'Standard values'!$D$12</f>
        <v>17.606591481894878</v>
      </c>
      <c r="M181" s="379"/>
      <c r="N181" s="545">
        <f t="shared" si="3"/>
        <v>654.96520312648954</v>
      </c>
      <c r="O181" s="379"/>
    </row>
    <row r="182" spans="1:15" x14ac:dyDescent="0.2">
      <c r="A182" s="503"/>
      <c r="B182" s="682"/>
      <c r="C182" s="499"/>
      <c r="D182" s="499"/>
      <c r="E182" s="503"/>
      <c r="F182" s="495"/>
      <c r="G182" s="495"/>
      <c r="H182" s="495"/>
      <c r="I182" s="495"/>
      <c r="J182" s="495"/>
      <c r="K182" s="495"/>
      <c r="L182" s="541"/>
      <c r="M182" s="379"/>
      <c r="N182" s="390"/>
      <c r="O182" s="379"/>
    </row>
    <row r="183" spans="1:15" ht="14.25" x14ac:dyDescent="0.25">
      <c r="A183" s="519"/>
      <c r="B183" s="520"/>
      <c r="C183" s="520"/>
      <c r="D183" s="520"/>
      <c r="E183" s="519"/>
      <c r="F183" s="521"/>
      <c r="G183" s="521"/>
      <c r="H183" s="521" t="s">
        <v>534</v>
      </c>
      <c r="I183" s="520"/>
      <c r="J183" s="523" t="s">
        <v>747</v>
      </c>
      <c r="K183" s="549"/>
      <c r="L183" s="525">
        <f>L181</f>
        <v>17.606591481894878</v>
      </c>
      <c r="M183" s="379"/>
      <c r="N183" s="390"/>
      <c r="O183" s="379"/>
    </row>
    <row r="184" spans="1:15" x14ac:dyDescent="0.2">
      <c r="A184" s="390"/>
      <c r="B184" s="390"/>
      <c r="C184" s="390"/>
      <c r="D184" s="379"/>
      <c r="E184" s="379"/>
      <c r="F184" s="551"/>
      <c r="G184" s="551"/>
      <c r="H184" s="437"/>
      <c r="I184" s="378"/>
      <c r="J184" s="379"/>
      <c r="K184" s="379"/>
      <c r="L184" s="586"/>
      <c r="M184" s="379"/>
      <c r="N184" s="379"/>
      <c r="O184" s="379"/>
    </row>
    <row r="185" spans="1:15" x14ac:dyDescent="0.2">
      <c r="A185" s="390"/>
      <c r="B185" s="390"/>
      <c r="C185" s="390"/>
      <c r="D185" s="379"/>
      <c r="E185" s="379"/>
      <c r="F185" s="551"/>
      <c r="G185" s="551"/>
      <c r="H185" s="437"/>
      <c r="I185" s="378"/>
      <c r="J185" s="379"/>
      <c r="K185" s="379"/>
      <c r="L185" s="586"/>
      <c r="M185" s="379"/>
      <c r="N185" s="379"/>
      <c r="O185" s="379"/>
    </row>
    <row r="186" spans="1:15" ht="15.75" x14ac:dyDescent="0.25">
      <c r="A186" s="530" t="s">
        <v>1057</v>
      </c>
      <c r="B186" s="531"/>
      <c r="C186" s="531"/>
      <c r="D186" s="531"/>
      <c r="E186" s="608" t="s">
        <v>526</v>
      </c>
      <c r="F186" s="606"/>
      <c r="G186" s="606"/>
      <c r="H186" s="606"/>
      <c r="I186" s="607"/>
      <c r="J186" s="608" t="s">
        <v>747</v>
      </c>
      <c r="K186" s="607"/>
      <c r="L186" s="609">
        <f>L126+L109+L147+L157+L183</f>
        <v>37.501004596092642</v>
      </c>
      <c r="M186" s="379"/>
      <c r="N186" s="390"/>
      <c r="O186" s="390"/>
    </row>
    <row r="187" spans="1:15" ht="15.75" x14ac:dyDescent="0.25">
      <c r="A187" s="610" t="s">
        <v>937</v>
      </c>
      <c r="B187" s="611"/>
      <c r="C187" s="611"/>
      <c r="D187" s="611"/>
      <c r="E187" s="613"/>
      <c r="F187" s="613"/>
      <c r="G187" s="613"/>
      <c r="H187" s="613"/>
      <c r="I187" s="613"/>
      <c r="J187" s="613"/>
      <c r="K187" s="613"/>
      <c r="L187" s="614"/>
      <c r="M187" s="379"/>
      <c r="N187" s="535" t="s">
        <v>162</v>
      </c>
      <c r="O187" s="390"/>
    </row>
    <row r="188" spans="1:15" ht="15.75" x14ac:dyDescent="0.3">
      <c r="A188" s="567"/>
      <c r="B188" s="568"/>
      <c r="C188" s="568"/>
      <c r="D188" s="683"/>
      <c r="E188" s="683"/>
      <c r="F188" s="683"/>
      <c r="G188" s="683"/>
      <c r="H188" s="683" t="s">
        <v>667</v>
      </c>
      <c r="I188" s="684">
        <f>L186</f>
        <v>37.501004596092642</v>
      </c>
      <c r="J188" s="568" t="s">
        <v>321</v>
      </c>
      <c r="K188" s="568"/>
      <c r="L188" s="685"/>
      <c r="M188" s="379"/>
      <c r="N188" s="554" t="s">
        <v>977</v>
      </c>
      <c r="O188" s="390"/>
    </row>
    <row r="189" spans="1:15" ht="15.75" x14ac:dyDescent="0.3">
      <c r="A189" s="567"/>
      <c r="B189" s="568" t="s">
        <v>51</v>
      </c>
      <c r="C189" s="568" t="s">
        <v>1094</v>
      </c>
      <c r="D189" s="568"/>
      <c r="E189" s="683" t="s">
        <v>135</v>
      </c>
      <c r="F189" s="747">
        <f>1*1000*VLOOKUP($C189,'Standard values'!$C$9:$S$162,14, FALSE)</f>
        <v>37200</v>
      </c>
      <c r="G189" s="747"/>
      <c r="H189" s="568" t="s">
        <v>501</v>
      </c>
      <c r="I189" s="574">
        <f>$I$188*F189/F$191</f>
        <v>35.871733599076521</v>
      </c>
      <c r="J189" s="568" t="s">
        <v>321</v>
      </c>
      <c r="K189" s="568"/>
      <c r="L189" s="685"/>
      <c r="M189" s="379"/>
      <c r="N189" s="501" t="s">
        <v>1056</v>
      </c>
      <c r="O189" s="390"/>
    </row>
    <row r="190" spans="1:15" ht="15.75" x14ac:dyDescent="0.3">
      <c r="A190" s="567"/>
      <c r="B190" s="568" t="s">
        <v>123</v>
      </c>
      <c r="C190" s="568" t="s">
        <v>1037</v>
      </c>
      <c r="D190" s="568"/>
      <c r="E190" s="683" t="s">
        <v>663</v>
      </c>
      <c r="F190" s="747">
        <f>C163*VLOOKUP($C190,'Standard values'!$C$9:$S$162,14, FALSE)</f>
        <v>1689.6</v>
      </c>
      <c r="G190" s="747"/>
      <c r="H190" s="568" t="s">
        <v>501</v>
      </c>
      <c r="I190" s="574">
        <f>$I$188*F190/F$191</f>
        <v>1.6292709970161208</v>
      </c>
      <c r="J190" s="568" t="s">
        <v>321</v>
      </c>
      <c r="K190" s="568"/>
      <c r="L190" s="685"/>
      <c r="M190" s="379"/>
      <c r="N190" s="541"/>
      <c r="O190" s="390"/>
    </row>
    <row r="191" spans="1:15" x14ac:dyDescent="0.2">
      <c r="A191" s="567"/>
      <c r="B191" s="568"/>
      <c r="C191" s="568" t="s">
        <v>316</v>
      </c>
      <c r="D191" s="568"/>
      <c r="E191" s="568" t="s">
        <v>533</v>
      </c>
      <c r="F191" s="747">
        <f>SUM(F189:F190)</f>
        <v>38889.599999999999</v>
      </c>
      <c r="G191" s="747"/>
      <c r="H191" s="568" t="s">
        <v>501</v>
      </c>
      <c r="I191" s="568"/>
      <c r="J191" s="568"/>
      <c r="K191" s="568"/>
      <c r="L191" s="685"/>
      <c r="M191" s="379"/>
      <c r="N191" s="562"/>
      <c r="O191" s="390"/>
    </row>
    <row r="192" spans="1:15" ht="14.25" x14ac:dyDescent="0.25">
      <c r="A192" s="519"/>
      <c r="B192" s="520"/>
      <c r="C192" s="520"/>
      <c r="D192" s="520"/>
      <c r="E192" s="523" t="s">
        <v>1058</v>
      </c>
      <c r="F192" s="521"/>
      <c r="G192" s="521"/>
      <c r="H192" s="687"/>
      <c r="I192" s="520"/>
      <c r="J192" s="523" t="s">
        <v>747</v>
      </c>
      <c r="K192" s="687"/>
      <c r="L192" s="525">
        <f>I189</f>
        <v>35.871733599076521</v>
      </c>
      <c r="M192" s="379"/>
      <c r="N192" s="545">
        <f>L192/$E$164</f>
        <v>1334.4284898856467</v>
      </c>
      <c r="O192" s="379"/>
    </row>
    <row r="193" spans="1:15" x14ac:dyDescent="0.2">
      <c r="A193" s="390"/>
      <c r="B193" s="390"/>
      <c r="C193" s="390"/>
      <c r="D193" s="379"/>
      <c r="E193" s="379"/>
      <c r="F193" s="551"/>
      <c r="G193" s="551"/>
      <c r="H193" s="437"/>
      <c r="I193" s="378"/>
      <c r="J193" s="379"/>
      <c r="K193" s="379"/>
      <c r="L193" s="586"/>
      <c r="M193" s="379"/>
      <c r="N193" s="379"/>
      <c r="O193" s="379"/>
    </row>
    <row r="194" spans="1:15" x14ac:dyDescent="0.2">
      <c r="A194" s="375"/>
      <c r="B194" s="585"/>
      <c r="C194" s="386"/>
      <c r="D194" s="390"/>
      <c r="E194" s="379"/>
      <c r="F194" s="379"/>
      <c r="G194" s="379"/>
      <c r="H194" s="379"/>
      <c r="I194" s="379"/>
      <c r="J194" s="591"/>
      <c r="K194" s="379"/>
      <c r="L194" s="379"/>
      <c r="M194" s="379"/>
      <c r="N194" s="379"/>
      <c r="O194" s="379"/>
    </row>
    <row r="195" spans="1:15" ht="15.75" x14ac:dyDescent="0.25">
      <c r="A195" s="530" t="s">
        <v>812</v>
      </c>
      <c r="B195" s="532"/>
      <c r="C195" s="531"/>
      <c r="D195" s="531"/>
      <c r="E195" s="530" t="s">
        <v>513</v>
      </c>
      <c r="F195" s="532"/>
      <c r="G195" s="532"/>
      <c r="H195" s="531"/>
      <c r="I195" s="532" t="s">
        <v>532</v>
      </c>
      <c r="J195" s="533"/>
      <c r="K195" s="533"/>
      <c r="L195" s="534"/>
      <c r="M195" s="379"/>
      <c r="N195" s="535" t="s">
        <v>162</v>
      </c>
      <c r="O195" s="379"/>
    </row>
    <row r="196" spans="1:15" ht="15.75" x14ac:dyDescent="0.3">
      <c r="A196" s="503"/>
      <c r="B196" s="511" t="s">
        <v>1094</v>
      </c>
      <c r="C196" s="593">
        <v>1</v>
      </c>
      <c r="D196" s="495" t="s">
        <v>653</v>
      </c>
      <c r="E196" s="513">
        <f>E162*C196</f>
        <v>149103.91827692304</v>
      </c>
      <c r="F196" s="499" t="s">
        <v>655</v>
      </c>
      <c r="G196" s="499"/>
      <c r="H196" s="594"/>
      <c r="I196" s="492" t="s">
        <v>746</v>
      </c>
      <c r="J196" s="514"/>
      <c r="K196" s="514"/>
      <c r="L196" s="537"/>
      <c r="M196" s="379"/>
      <c r="N196" s="554" t="s">
        <v>977</v>
      </c>
      <c r="O196" s="379"/>
    </row>
    <row r="197" spans="1:15" ht="15.75" x14ac:dyDescent="0.3">
      <c r="A197" s="503"/>
      <c r="B197" s="495"/>
      <c r="C197" s="689"/>
      <c r="D197" s="495"/>
      <c r="E197" s="505">
        <f>E163*C196</f>
        <v>0.49542769230769229</v>
      </c>
      <c r="F197" s="506" t="s">
        <v>200</v>
      </c>
      <c r="G197" s="506"/>
      <c r="H197" s="594"/>
      <c r="I197" s="539" t="s">
        <v>1053</v>
      </c>
      <c r="J197" s="539" t="s">
        <v>1054</v>
      </c>
      <c r="K197" s="539" t="s">
        <v>1055</v>
      </c>
      <c r="L197" s="540" t="s">
        <v>1056</v>
      </c>
      <c r="M197" s="379"/>
      <c r="N197" s="540" t="s">
        <v>1056</v>
      </c>
      <c r="O197" s="379"/>
    </row>
    <row r="198" spans="1:15" x14ac:dyDescent="0.2">
      <c r="A198" s="503"/>
      <c r="B198" s="511" t="s">
        <v>498</v>
      </c>
      <c r="C198" s="689"/>
      <c r="D198" s="495"/>
      <c r="E198" s="513"/>
      <c r="F198" s="495"/>
      <c r="G198" s="495"/>
      <c r="H198" s="495"/>
      <c r="I198" s="495"/>
      <c r="J198" s="495"/>
      <c r="K198" s="495"/>
      <c r="L198" s="541"/>
      <c r="M198" s="379"/>
      <c r="N198" s="541"/>
      <c r="O198" s="379"/>
    </row>
    <row r="199" spans="1:15" ht="15.75" x14ac:dyDescent="0.3">
      <c r="A199" s="503"/>
      <c r="B199" s="495" t="s">
        <v>159</v>
      </c>
      <c r="C199" s="595">
        <v>150</v>
      </c>
      <c r="D199" s="495" t="s">
        <v>510</v>
      </c>
      <c r="E199" s="543">
        <f>(C199*E197/VLOOKUP($B196,'Standard values'!$C$9:$S$162,14, FALSE))/1000</f>
        <v>1.9976923076923075E-3</v>
      </c>
      <c r="F199" s="495" t="s">
        <v>245</v>
      </c>
      <c r="G199" s="495"/>
      <c r="H199" s="495"/>
      <c r="I199" s="544">
        <f>$E199*VLOOKUP($B199,'Standard values'!$C$9:$S$162,15, FALSE)*VLOOKUP(C200,'Standard values'!$C$9:$S$162,7, FALSE)/$E$265</f>
        <v>0.35620967741935478</v>
      </c>
      <c r="J199" s="544">
        <f>$E199*((VLOOKUP($B199,'Standard values'!$C$9:$S$162,15, FALSE)*VLOOKUP(C200,'Standard values'!$C$9:$S$162,8, FALSE))+VLOOKUP($B199,'Standard values'!$C$9:$S$162,16, FALSE))/$E$265</f>
        <v>2.0161290322580645E-5</v>
      </c>
      <c r="K199" s="544">
        <f>$E199*((VLOOKUP($B199,'Standard values'!$C$9:$S$162,15, FALSE)*VLOOKUP(C200,'Standard values'!$C$9:$S$162,9, FALSE))+VLOOKUP($B199,'Standard values'!$C$9:$S$162,17, FALSE))/$E$265</f>
        <v>0</v>
      </c>
      <c r="L199" s="516">
        <f>I199*'Standard values'!$D$10+J199*'Standard values'!$D$11+K199*'Standard values'!$D$12</f>
        <v>0.35671370967741928</v>
      </c>
      <c r="M199" s="379"/>
      <c r="N199" s="562">
        <f>L199/$E$164</f>
        <v>13.269749999999998</v>
      </c>
      <c r="O199" s="379"/>
    </row>
    <row r="200" spans="1:15" x14ac:dyDescent="0.2">
      <c r="A200" s="503"/>
      <c r="B200" s="546" t="s">
        <v>54</v>
      </c>
      <c r="C200" s="673" t="s">
        <v>509</v>
      </c>
      <c r="D200" s="495"/>
      <c r="E200" s="503"/>
      <c r="F200" s="495"/>
      <c r="G200" s="495"/>
      <c r="H200" s="495"/>
      <c r="I200" s="544"/>
      <c r="J200" s="544"/>
      <c r="K200" s="544"/>
      <c r="L200" s="516"/>
      <c r="M200" s="379"/>
      <c r="N200" s="562"/>
      <c r="O200" s="379"/>
    </row>
    <row r="201" spans="1:15" x14ac:dyDescent="0.2">
      <c r="A201" s="503"/>
      <c r="B201" s="495"/>
      <c r="C201" s="689"/>
      <c r="D201" s="495"/>
      <c r="E201" s="543"/>
      <c r="F201" s="495"/>
      <c r="G201" s="495"/>
      <c r="H201" s="495"/>
      <c r="I201" s="544"/>
      <c r="J201" s="544"/>
      <c r="K201" s="544"/>
      <c r="L201" s="516"/>
      <c r="M201" s="379"/>
      <c r="N201" s="562"/>
      <c r="O201" s="379"/>
    </row>
    <row r="202" spans="1:15" x14ac:dyDescent="0.2">
      <c r="A202" s="503"/>
      <c r="B202" s="511" t="s">
        <v>444</v>
      </c>
      <c r="C202" s="689"/>
      <c r="D202" s="495"/>
      <c r="E202" s="503"/>
      <c r="F202" s="495"/>
      <c r="G202" s="495"/>
      <c r="H202" s="495"/>
      <c r="I202" s="544"/>
      <c r="J202" s="544"/>
      <c r="K202" s="544"/>
      <c r="L202" s="584"/>
      <c r="M202" s="379"/>
      <c r="N202" s="562"/>
      <c r="O202" s="379"/>
    </row>
    <row r="203" spans="1:15" ht="15.75" x14ac:dyDescent="0.3">
      <c r="A203" s="590"/>
      <c r="B203" s="1301" t="s">
        <v>49</v>
      </c>
      <c r="C203" s="542">
        <v>8.4000000000000003E-4</v>
      </c>
      <c r="D203" s="495" t="s">
        <v>651</v>
      </c>
      <c r="E203" s="503"/>
      <c r="F203" s="495"/>
      <c r="G203" s="495"/>
      <c r="H203" s="495"/>
      <c r="I203" s="544">
        <f>$C203*$E$197*VLOOKUP($B203,'Standard values'!$C$9:$S$162,7, FALSE)/$E$265</f>
        <v>0.10146738000000001</v>
      </c>
      <c r="J203" s="544">
        <f>$C203*$E$197*VLOOKUP($B203,'Standard values'!$C$9:$S$162,8, FALSE)/$E$265</f>
        <v>2.4744999999999997E-4</v>
      </c>
      <c r="K203" s="544">
        <f>$C203*$E$197*VLOOKUP($B203,'Standard values'!$C$9:$S$162,9, FALSE)/$E$265</f>
        <v>4.5966666666666661E-6</v>
      </c>
      <c r="L203" s="516">
        <f>I203*'Standard values'!$D$10+J203*'Standard values'!$D$11+K203*'Standard values'!$D$12</f>
        <v>0.10902343666666668</v>
      </c>
      <c r="M203" s="379"/>
      <c r="N203" s="562">
        <f>L203/$E$164</f>
        <v>4.0556718440000008</v>
      </c>
      <c r="O203" s="379"/>
    </row>
    <row r="204" spans="1:15" ht="14.25" x14ac:dyDescent="0.25">
      <c r="A204" s="519"/>
      <c r="B204" s="520"/>
      <c r="C204" s="520"/>
      <c r="D204" s="520"/>
      <c r="E204" s="519"/>
      <c r="F204" s="521"/>
      <c r="G204" s="521"/>
      <c r="H204" s="521" t="s">
        <v>534</v>
      </c>
      <c r="I204" s="520"/>
      <c r="J204" s="523" t="s">
        <v>747</v>
      </c>
      <c r="K204" s="549"/>
      <c r="L204" s="525">
        <f>L203+L199</f>
        <v>0.46573714634408597</v>
      </c>
      <c r="M204" s="379"/>
      <c r="N204" s="545">
        <f>L204/$E$164</f>
        <v>17.325421844000001</v>
      </c>
      <c r="O204" s="379"/>
    </row>
    <row r="205" spans="1:15" x14ac:dyDescent="0.2">
      <c r="A205" s="390"/>
      <c r="B205" s="390"/>
      <c r="C205" s="390"/>
      <c r="D205" s="390"/>
      <c r="E205" s="390"/>
      <c r="F205" s="376"/>
      <c r="G205" s="376"/>
      <c r="H205" s="376"/>
      <c r="I205" s="390"/>
      <c r="J205" s="550"/>
      <c r="K205" s="551"/>
      <c r="L205" s="552"/>
      <c r="M205" s="379"/>
      <c r="N205" s="379"/>
      <c r="O205" s="379"/>
    </row>
    <row r="206" spans="1:15" x14ac:dyDescent="0.2">
      <c r="A206" s="390"/>
      <c r="B206" s="390"/>
      <c r="C206" s="390"/>
      <c r="D206" s="390"/>
      <c r="E206" s="390"/>
      <c r="F206" s="376"/>
      <c r="G206" s="376"/>
      <c r="H206" s="376"/>
      <c r="I206" s="390"/>
      <c r="J206" s="550"/>
      <c r="K206" s="551"/>
      <c r="L206" s="552"/>
      <c r="M206" s="379"/>
      <c r="N206" s="379"/>
      <c r="O206" s="379"/>
    </row>
    <row r="207" spans="1:15" ht="15.75" x14ac:dyDescent="0.25">
      <c r="A207" s="530" t="s">
        <v>810</v>
      </c>
      <c r="B207" s="531"/>
      <c r="C207" s="531"/>
      <c r="D207" s="531"/>
      <c r="E207" s="530" t="s">
        <v>513</v>
      </c>
      <c r="F207" s="531"/>
      <c r="G207" s="531"/>
      <c r="H207" s="531"/>
      <c r="I207" s="531"/>
      <c r="J207" s="531"/>
      <c r="K207" s="531"/>
      <c r="L207" s="596"/>
      <c r="M207" s="379"/>
      <c r="N207" s="535" t="s">
        <v>162</v>
      </c>
      <c r="O207" s="379"/>
    </row>
    <row r="208" spans="1:15" ht="15.75" x14ac:dyDescent="0.3">
      <c r="A208" s="503"/>
      <c r="B208" s="511" t="s">
        <v>1094</v>
      </c>
      <c r="C208" s="593">
        <v>1</v>
      </c>
      <c r="D208" s="495" t="s">
        <v>653</v>
      </c>
      <c r="E208" s="513">
        <f>E196*C208</f>
        <v>149103.91827692304</v>
      </c>
      <c r="F208" s="499" t="s">
        <v>655</v>
      </c>
      <c r="G208" s="499"/>
      <c r="H208" s="495"/>
      <c r="I208" s="492" t="s">
        <v>746</v>
      </c>
      <c r="J208" s="514"/>
      <c r="K208" s="514"/>
      <c r="L208" s="537"/>
      <c r="M208" s="379"/>
      <c r="N208" s="554" t="s">
        <v>977</v>
      </c>
      <c r="O208" s="379"/>
    </row>
    <row r="209" spans="1:15" ht="15.75" x14ac:dyDescent="0.3">
      <c r="A209" s="503"/>
      <c r="B209" s="495"/>
      <c r="C209" s="689"/>
      <c r="D209" s="495"/>
      <c r="E209" s="505">
        <f>E197*C208</f>
        <v>0.49542769230769229</v>
      </c>
      <c r="F209" s="506" t="s">
        <v>200</v>
      </c>
      <c r="G209" s="506"/>
      <c r="H209" s="495"/>
      <c r="I209" s="539" t="s">
        <v>1053</v>
      </c>
      <c r="J209" s="539" t="s">
        <v>1054</v>
      </c>
      <c r="K209" s="539" t="s">
        <v>1055</v>
      </c>
      <c r="L209" s="540" t="s">
        <v>1056</v>
      </c>
      <c r="M209" s="379"/>
      <c r="N209" s="540" t="s">
        <v>1056</v>
      </c>
      <c r="O209" s="379"/>
    </row>
    <row r="210" spans="1:15" x14ac:dyDescent="0.2">
      <c r="A210" s="503"/>
      <c r="B210" s="511" t="s">
        <v>498</v>
      </c>
      <c r="C210" s="689"/>
      <c r="D210" s="495"/>
      <c r="E210" s="513"/>
      <c r="F210" s="495"/>
      <c r="G210" s="495"/>
      <c r="H210" s="495"/>
      <c r="I210" s="495"/>
      <c r="J210" s="495"/>
      <c r="K210" s="495"/>
      <c r="L210" s="541"/>
      <c r="M210" s="379"/>
      <c r="N210" s="541"/>
      <c r="O210" s="379"/>
    </row>
    <row r="211" spans="1:15" ht="15.75" x14ac:dyDescent="0.3">
      <c r="A211" s="503"/>
      <c r="B211" s="495" t="s">
        <v>159</v>
      </c>
      <c r="C211" s="595">
        <v>150</v>
      </c>
      <c r="D211" s="495" t="s">
        <v>510</v>
      </c>
      <c r="E211" s="543">
        <f>(C211*E209/VLOOKUP($B208,'Standard values'!$C$9:$S$162,14, FALSE))/1000</f>
        <v>1.9976923076923075E-3</v>
      </c>
      <c r="F211" s="495" t="s">
        <v>245</v>
      </c>
      <c r="G211" s="495"/>
      <c r="H211" s="495"/>
      <c r="I211" s="544">
        <f>$E211*VLOOKUP($B211,'Standard values'!$C$9:$S$162,15, FALSE)*VLOOKUP(C212,'Standard values'!$C$9:$S$162,7, FALSE)/$E$265</f>
        <v>0.35620967741935478</v>
      </c>
      <c r="J211" s="544">
        <f>$E211*((VLOOKUP($B211,'Standard values'!$C$9:$S$162,15, FALSE)*VLOOKUP(C212,'Standard values'!$C$9:$S$162,8, FALSE))+VLOOKUP($B211,'Standard values'!$C$9:$S$162,16, FALSE))/$E$265</f>
        <v>2.0161290322580645E-5</v>
      </c>
      <c r="K211" s="544">
        <f>$E211*((VLOOKUP($B211,'Standard values'!$C$9:$S$162,15, FALSE)*VLOOKUP(C212,'Standard values'!$C$9:$S$162,9, FALSE))+VLOOKUP($B211,'Standard values'!$C$9:$S$162,17, FALSE))/$E$265</f>
        <v>0</v>
      </c>
      <c r="L211" s="516">
        <f>I211*'Standard values'!$D$10+J211*'Standard values'!$D$11+K211*'Standard values'!$D$12</f>
        <v>0.35671370967741928</v>
      </c>
      <c r="M211" s="379"/>
      <c r="N211" s="562">
        <f>L211/$E$164</f>
        <v>13.269749999999998</v>
      </c>
      <c r="O211" s="379"/>
    </row>
    <row r="212" spans="1:15" x14ac:dyDescent="0.2">
      <c r="A212" s="503"/>
      <c r="B212" s="546" t="s">
        <v>54</v>
      </c>
      <c r="C212" s="673" t="s">
        <v>509</v>
      </c>
      <c r="D212" s="495"/>
      <c r="E212" s="503"/>
      <c r="F212" s="495"/>
      <c r="G212" s="495"/>
      <c r="H212" s="495"/>
      <c r="I212" s="544"/>
      <c r="J212" s="544"/>
      <c r="K212" s="544"/>
      <c r="L212" s="516"/>
      <c r="M212" s="379"/>
      <c r="N212" s="562"/>
      <c r="O212" s="379"/>
    </row>
    <row r="213" spans="1:15" x14ac:dyDescent="0.2">
      <c r="A213" s="503"/>
      <c r="B213" s="495"/>
      <c r="C213" s="689"/>
      <c r="D213" s="495"/>
      <c r="E213" s="505"/>
      <c r="F213" s="506"/>
      <c r="G213" s="506"/>
      <c r="H213" s="495"/>
      <c r="I213" s="539"/>
      <c r="J213" s="539"/>
      <c r="K213" s="539"/>
      <c r="L213" s="690"/>
      <c r="M213" s="379"/>
      <c r="N213" s="540"/>
      <c r="O213" s="379"/>
    </row>
    <row r="214" spans="1:15" x14ac:dyDescent="0.2">
      <c r="A214" s="503"/>
      <c r="B214" s="511" t="s">
        <v>441</v>
      </c>
      <c r="C214" s="689"/>
      <c r="D214" s="495"/>
      <c r="E214" s="503"/>
      <c r="F214" s="495"/>
      <c r="G214" s="495"/>
      <c r="H214" s="495"/>
      <c r="I214" s="544"/>
      <c r="J214" s="544"/>
      <c r="K214" s="544"/>
      <c r="L214" s="584"/>
      <c r="M214" s="379"/>
      <c r="N214" s="541"/>
      <c r="O214" s="379"/>
    </row>
    <row r="215" spans="1:15" ht="15.75" x14ac:dyDescent="0.3">
      <c r="A215" s="503"/>
      <c r="B215" s="1301" t="s">
        <v>49</v>
      </c>
      <c r="C215" s="542">
        <v>3.3999999999999998E-3</v>
      </c>
      <c r="D215" s="495" t="s">
        <v>651</v>
      </c>
      <c r="E215" s="503"/>
      <c r="F215" s="495"/>
      <c r="G215" s="495"/>
      <c r="H215" s="495"/>
      <c r="I215" s="544">
        <f>$C215*$E$209*VLOOKUP($B215,'Standard values'!$C$9:$S$162,7, FALSE)/$E$265</f>
        <v>0.41070129999999994</v>
      </c>
      <c r="J215" s="544">
        <f>$C215*$E$209*VLOOKUP($B215,'Standard values'!$C$9:$S$162,8, FALSE)/$E$265</f>
        <v>1.0015833333333331E-3</v>
      </c>
      <c r="K215" s="544">
        <f>$C215*$E$209*VLOOKUP($B215,'Standard values'!$C$9:$S$162,9, FALSE)/$E$265</f>
        <v>1.8605555555555555E-5</v>
      </c>
      <c r="L215" s="516">
        <f>I215*'Standard values'!$D$10+J215*'Standard values'!$D$11+K215*'Standard values'!$D$12</f>
        <v>0.44128533888888882</v>
      </c>
      <c r="M215" s="379"/>
      <c r="N215" s="562">
        <f>L215/$E$164</f>
        <v>16.415814606666665</v>
      </c>
      <c r="O215" s="379"/>
    </row>
    <row r="216" spans="1:15" ht="14.25" x14ac:dyDescent="0.25">
      <c r="A216" s="519"/>
      <c r="B216" s="520"/>
      <c r="C216" s="520"/>
      <c r="D216" s="520"/>
      <c r="E216" s="519"/>
      <c r="F216" s="521"/>
      <c r="G216" s="521"/>
      <c r="H216" s="521" t="s">
        <v>534</v>
      </c>
      <c r="I216" s="520"/>
      <c r="J216" s="523" t="s">
        <v>747</v>
      </c>
      <c r="K216" s="549"/>
      <c r="L216" s="525">
        <f>L211+L215</f>
        <v>0.7979990485663081</v>
      </c>
      <c r="M216" s="379"/>
      <c r="N216" s="545">
        <f>L216/$E$164</f>
        <v>29.685564606666663</v>
      </c>
      <c r="O216" s="379"/>
    </row>
    <row r="217" spans="1:15" x14ac:dyDescent="0.2">
      <c r="A217" s="390"/>
      <c r="B217" s="390"/>
      <c r="C217" s="390"/>
      <c r="D217" s="390"/>
      <c r="E217" s="390"/>
      <c r="F217" s="376"/>
      <c r="G217" s="376"/>
      <c r="H217" s="376"/>
      <c r="I217" s="390"/>
      <c r="J217" s="550"/>
      <c r="K217" s="551"/>
      <c r="L217" s="597"/>
      <c r="M217" s="379"/>
      <c r="N217" s="390"/>
      <c r="O217" s="379"/>
    </row>
    <row r="218" spans="1:15" x14ac:dyDescent="0.2">
      <c r="A218" s="390"/>
      <c r="B218" s="390"/>
      <c r="C218" s="390"/>
      <c r="D218" s="390"/>
      <c r="E218" s="390"/>
      <c r="F218" s="376"/>
      <c r="G218" s="376"/>
      <c r="H218" s="376"/>
      <c r="I218" s="390"/>
      <c r="J218" s="550"/>
      <c r="K218" s="551"/>
      <c r="L218" s="597"/>
      <c r="M218" s="379"/>
      <c r="N218" s="379"/>
      <c r="O218" s="379"/>
    </row>
    <row r="219" spans="1:15" ht="15.75" x14ac:dyDescent="0.25">
      <c r="A219" s="530" t="s">
        <v>546</v>
      </c>
      <c r="B219" s="598"/>
      <c r="C219" s="599"/>
      <c r="D219" s="531"/>
      <c r="E219" s="600"/>
      <c r="F219" s="531"/>
      <c r="G219" s="531"/>
      <c r="H219" s="531"/>
      <c r="I219" s="531"/>
      <c r="J219" s="531"/>
      <c r="K219" s="531"/>
      <c r="L219" s="601"/>
      <c r="M219" s="379"/>
      <c r="N219" s="379"/>
      <c r="O219" s="379"/>
    </row>
    <row r="220" spans="1:15" ht="15.75" x14ac:dyDescent="0.25">
      <c r="A220" s="602"/>
      <c r="B220" s="603" t="s">
        <v>549</v>
      </c>
      <c r="C220" s="511" t="s">
        <v>908</v>
      </c>
      <c r="D220" s="495"/>
      <c r="E220" s="503"/>
      <c r="F220" s="495"/>
      <c r="G220" s="495"/>
      <c r="H220" s="495"/>
      <c r="I220" s="495"/>
      <c r="J220" s="495"/>
      <c r="K220" s="495"/>
      <c r="L220" s="537"/>
      <c r="M220" s="379"/>
      <c r="N220" s="390"/>
      <c r="O220" s="390"/>
    </row>
    <row r="221" spans="1:15" ht="15.75" customHeight="1" x14ac:dyDescent="0.25">
      <c r="A221" s="602"/>
      <c r="B221" s="511"/>
      <c r="C221" s="668"/>
      <c r="D221" s="691" t="s">
        <v>431</v>
      </c>
      <c r="E221" s="692" t="str">
        <f>IF(D223="Yes","From :  ", " ")</f>
        <v xml:space="preserve"> </v>
      </c>
      <c r="F221" s="1422" t="str">
        <f>IF(D223="Yes",LUC!H$35 &amp; " ; " &amp; LUC!H$36 &amp; " ; " &amp; LUC!H$39 &amp; " ; " &amp; LUC!H$40 &amp; " ; " &amp; LUC!H$45 &amp; " ; " &amp; LUC!H$46 &amp; " ; " &amp; LUC!H$47, " ")</f>
        <v xml:space="preserve"> </v>
      </c>
      <c r="G221" s="1422"/>
      <c r="H221" s="1422"/>
      <c r="I221" s="1422"/>
      <c r="J221" s="1422"/>
      <c r="K221" s="1422"/>
      <c r="L221" s="1423"/>
      <c r="M221" s="379"/>
      <c r="N221" s="390"/>
      <c r="O221" s="390"/>
    </row>
    <row r="222" spans="1:15" ht="15.75" x14ac:dyDescent="0.25">
      <c r="A222" s="602"/>
      <c r="B222" s="539" t="s">
        <v>450</v>
      </c>
      <c r="C222" s="693" t="s">
        <v>431</v>
      </c>
      <c r="D222" s="691" t="s">
        <v>432</v>
      </c>
      <c r="E222" s="513"/>
      <c r="F222" s="1422"/>
      <c r="G222" s="1422"/>
      <c r="H222" s="1422"/>
      <c r="I222" s="1422"/>
      <c r="J222" s="1422"/>
      <c r="K222" s="1422"/>
      <c r="L222" s="1423"/>
      <c r="M222" s="379"/>
      <c r="N222" s="390"/>
      <c r="O222" s="390"/>
    </row>
    <row r="223" spans="1:15" ht="15.75" customHeight="1" x14ac:dyDescent="0.25">
      <c r="A223" s="602"/>
      <c r="B223" s="511"/>
      <c r="C223" s="670" t="str">
        <f>IF(D223="Yes","Go to", " ")</f>
        <v xml:space="preserve"> </v>
      </c>
      <c r="D223" s="691" t="s">
        <v>432</v>
      </c>
      <c r="E223" s="692" t="str">
        <f>IF(D223="Yes","To    :   ", " ")</f>
        <v xml:space="preserve"> </v>
      </c>
      <c r="F223" s="1424" t="str">
        <f>IF(D223="Yes", LUC!D$35 &amp; " ; " &amp; LUC!D$36 &amp; " ; " &amp; LUC!D$39 &amp; " ; " &amp; LUC!D$40 &amp; " ; " &amp; LUC!D$45 &amp; " ; " &amp; LUC!D$46 &amp; " ; " &amp; LUC!D$47, " ")</f>
        <v xml:space="preserve"> </v>
      </c>
      <c r="G223" s="1424"/>
      <c r="H223" s="1424"/>
      <c r="I223" s="1424"/>
      <c r="J223" s="1424"/>
      <c r="K223" s="1424"/>
      <c r="L223" s="1425"/>
      <c r="M223" s="379"/>
      <c r="N223" s="390"/>
      <c r="O223" s="390"/>
    </row>
    <row r="224" spans="1:15" ht="15.75" x14ac:dyDescent="0.25">
      <c r="A224" s="602"/>
      <c r="B224" s="416"/>
      <c r="C224" s="671" t="str">
        <f>IF(D223="Yes","sheet 'LUC' ", " ")</f>
        <v xml:space="preserve"> </v>
      </c>
      <c r="D224" s="495"/>
      <c r="E224" s="696"/>
      <c r="F224" s="1424"/>
      <c r="G224" s="1424"/>
      <c r="H224" s="1424"/>
      <c r="I224" s="1424"/>
      <c r="J224" s="1424"/>
      <c r="K224" s="1424"/>
      <c r="L224" s="1425"/>
      <c r="M224" s="379"/>
      <c r="N224" s="390"/>
      <c r="O224" s="390"/>
    </row>
    <row r="225" spans="1:15" ht="15.75" x14ac:dyDescent="0.25">
      <c r="A225" s="602"/>
      <c r="B225" s="416"/>
      <c r="C225" s="670" t="str">
        <f>IF(D223="Yes","to calculate the land use change", " ")</f>
        <v xml:space="preserve"> </v>
      </c>
      <c r="D225" s="495"/>
      <c r="E225" s="696"/>
      <c r="F225" s="694"/>
      <c r="G225" s="694"/>
      <c r="H225" s="694"/>
      <c r="I225" s="492" t="s">
        <v>746</v>
      </c>
      <c r="J225" s="514"/>
      <c r="K225" s="694"/>
      <c r="L225" s="695"/>
      <c r="M225" s="379"/>
      <c r="N225" s="390"/>
      <c r="O225" s="390"/>
    </row>
    <row r="226" spans="1:15" ht="16.5" x14ac:dyDescent="0.3">
      <c r="A226" s="602"/>
      <c r="B226" s="416"/>
      <c r="C226" s="670"/>
      <c r="D226" s="495"/>
      <c r="E226" s="696"/>
      <c r="F226" s="694"/>
      <c r="G226" s="694"/>
      <c r="H226" s="694"/>
      <c r="I226" s="539" t="s">
        <v>1053</v>
      </c>
      <c r="J226" s="539" t="s">
        <v>1054</v>
      </c>
      <c r="K226" s="539" t="s">
        <v>1055</v>
      </c>
      <c r="L226" s="540" t="s">
        <v>1056</v>
      </c>
      <c r="M226" s="379"/>
      <c r="N226" s="390"/>
      <c r="O226" s="390"/>
    </row>
    <row r="227" spans="1:15" ht="16.5" x14ac:dyDescent="0.3">
      <c r="A227" s="602"/>
      <c r="B227" s="507" t="s">
        <v>451</v>
      </c>
      <c r="C227" s="697">
        <f>IF(D223="Yes",LUC!$J$86,0)</f>
        <v>0</v>
      </c>
      <c r="D227" s="497" t="s">
        <v>449</v>
      </c>
      <c r="E227" s="503"/>
      <c r="F227" s="495"/>
      <c r="G227" s="495"/>
      <c r="H227" s="495"/>
      <c r="I227" s="544">
        <f>$C227*1000000/$E$264</f>
        <v>0</v>
      </c>
      <c r="J227" s="544">
        <v>0</v>
      </c>
      <c r="K227" s="544">
        <v>0</v>
      </c>
      <c r="L227" s="419">
        <f>I227*'Standard values'!$D$10+J227*'Standard values'!$D$11+K227*'Standard values'!$D$12</f>
        <v>0</v>
      </c>
      <c r="M227" s="379"/>
      <c r="N227" s="390"/>
      <c r="O227" s="390"/>
    </row>
    <row r="228" spans="1:15" ht="15.75" x14ac:dyDescent="0.25">
      <c r="A228" s="602"/>
      <c r="B228" s="507"/>
      <c r="C228" s="698"/>
      <c r="D228" s="497"/>
      <c r="E228" s="503"/>
      <c r="F228" s="495"/>
      <c r="G228" s="495"/>
      <c r="H228" s="495"/>
      <c r="I228" s="544"/>
      <c r="J228" s="544"/>
      <c r="K228" s="544"/>
      <c r="L228" s="516">
        <f>SUM(L227:L227)</f>
        <v>0</v>
      </c>
      <c r="M228" s="379"/>
      <c r="N228" s="390"/>
      <c r="O228" s="390"/>
    </row>
    <row r="229" spans="1:15" ht="15.75" x14ac:dyDescent="0.25">
      <c r="A229" s="602"/>
      <c r="B229" s="416"/>
      <c r="C229" s="492"/>
      <c r="D229" s="495"/>
      <c r="E229" s="503"/>
      <c r="F229" s="495"/>
      <c r="G229" s="495"/>
      <c r="H229" s="495"/>
      <c r="I229" s="544"/>
      <c r="J229" s="544"/>
      <c r="K229" s="544"/>
      <c r="L229" s="516"/>
      <c r="M229" s="379"/>
      <c r="N229" s="390"/>
      <c r="O229" s="390"/>
    </row>
    <row r="230" spans="1:15" ht="15.75" x14ac:dyDescent="0.3">
      <c r="A230" s="503"/>
      <c r="B230" s="539" t="s">
        <v>452</v>
      </c>
      <c r="C230" s="595">
        <v>0</v>
      </c>
      <c r="D230" s="605" t="s">
        <v>672</v>
      </c>
      <c r="E230" s="699"/>
      <c r="F230" s="495"/>
      <c r="G230" s="495"/>
      <c r="H230" s="495"/>
      <c r="I230" s="544">
        <f>-C230</f>
        <v>0</v>
      </c>
      <c r="J230" s="544">
        <v>0</v>
      </c>
      <c r="K230" s="544">
        <v>0</v>
      </c>
      <c r="L230" s="419">
        <f>I230*'Standard values'!$D$10+J230*'Standard values'!$D$11+K230*'Standard values'!$D$12</f>
        <v>0</v>
      </c>
      <c r="M230" s="379"/>
      <c r="N230" s="390"/>
      <c r="O230" s="390"/>
    </row>
    <row r="231" spans="1:15" x14ac:dyDescent="0.2">
      <c r="A231" s="503"/>
      <c r="B231" s="539" t="str">
        <f>IF(C230=-29,"Year of conversion:","")</f>
        <v/>
      </c>
      <c r="C231" s="539" t="str">
        <f>IF(D230=-29,"Year of conversion:","")</f>
        <v/>
      </c>
      <c r="D231" s="605" t="str">
        <f>IF(C230=-29,"Fill in the year of conversion","")</f>
        <v/>
      </c>
      <c r="E231" s="503"/>
      <c r="F231" s="495"/>
      <c r="G231" s="495"/>
      <c r="H231" s="495"/>
      <c r="I231" s="495"/>
      <c r="J231" s="495"/>
      <c r="K231" s="544"/>
      <c r="L231" s="516">
        <f>SUM(L230:L230)</f>
        <v>0</v>
      </c>
      <c r="M231" s="379"/>
      <c r="N231" s="390"/>
      <c r="O231" s="390"/>
    </row>
    <row r="232" spans="1:15" x14ac:dyDescent="0.2">
      <c r="A232" s="503"/>
      <c r="B232" s="539"/>
      <c r="C232" s="539"/>
      <c r="D232" s="605"/>
      <c r="E232" s="503"/>
      <c r="F232" s="495"/>
      <c r="G232" s="495"/>
      <c r="H232" s="495"/>
      <c r="I232" s="495"/>
      <c r="J232" s="495"/>
      <c r="K232" s="544"/>
      <c r="L232" s="700"/>
      <c r="M232" s="379"/>
      <c r="N232" s="390"/>
      <c r="O232" s="390"/>
    </row>
    <row r="233" spans="1:15" ht="14.25" x14ac:dyDescent="0.25">
      <c r="A233" s="519"/>
      <c r="B233" s="520"/>
      <c r="C233" s="520"/>
      <c r="D233" s="520"/>
      <c r="E233" s="519"/>
      <c r="F233" s="521"/>
      <c r="G233" s="521"/>
      <c r="H233" s="521" t="s">
        <v>534</v>
      </c>
      <c r="I233" s="520"/>
      <c r="J233" s="523" t="s">
        <v>747</v>
      </c>
      <c r="K233" s="549"/>
      <c r="L233" s="525">
        <f>L228+L231</f>
        <v>0</v>
      </c>
      <c r="M233" s="379"/>
      <c r="N233" s="390"/>
      <c r="O233" s="390"/>
    </row>
    <row r="234" spans="1:15" x14ac:dyDescent="0.2">
      <c r="A234" s="390"/>
      <c r="B234" s="390"/>
      <c r="C234" s="390"/>
      <c r="D234" s="390"/>
      <c r="E234" s="390"/>
      <c r="F234" s="376"/>
      <c r="G234" s="376"/>
      <c r="H234" s="376"/>
      <c r="I234" s="390"/>
      <c r="J234" s="550"/>
      <c r="K234" s="551"/>
      <c r="L234" s="604"/>
      <c r="M234" s="379"/>
      <c r="N234" s="390"/>
      <c r="O234" s="390"/>
    </row>
    <row r="235" spans="1:15" x14ac:dyDescent="0.2">
      <c r="A235" s="390"/>
      <c r="B235" s="390"/>
      <c r="C235" s="390"/>
      <c r="D235" s="390"/>
      <c r="E235" s="390"/>
      <c r="F235" s="376"/>
      <c r="G235" s="376"/>
      <c r="H235" s="376"/>
      <c r="I235" s="390"/>
      <c r="J235" s="550"/>
      <c r="K235" s="551"/>
      <c r="L235" s="604"/>
      <c r="M235" s="379"/>
      <c r="N235" s="390"/>
      <c r="O235" s="390"/>
    </row>
    <row r="236" spans="1:15" ht="15.75" x14ac:dyDescent="0.25">
      <c r="A236" s="530" t="s">
        <v>547</v>
      </c>
      <c r="B236" s="598"/>
      <c r="C236" s="599"/>
      <c r="D236" s="531"/>
      <c r="E236" s="600"/>
      <c r="F236" s="531"/>
      <c r="G236" s="531"/>
      <c r="H236" s="531"/>
      <c r="I236" s="531"/>
      <c r="J236" s="531"/>
      <c r="K236" s="531"/>
      <c r="L236" s="601"/>
      <c r="M236" s="379"/>
      <c r="N236" s="390"/>
      <c r="O236" s="390"/>
    </row>
    <row r="237" spans="1:15" ht="15.75" x14ac:dyDescent="0.25">
      <c r="A237" s="602"/>
      <c r="B237" s="416" t="s">
        <v>548</v>
      </c>
      <c r="C237" s="492" t="s">
        <v>429</v>
      </c>
      <c r="D237" s="616"/>
      <c r="E237" s="503"/>
      <c r="F237" s="495"/>
      <c r="G237" s="495"/>
      <c r="H237" s="495"/>
      <c r="I237" s="492" t="s">
        <v>746</v>
      </c>
      <c r="J237" s="514"/>
      <c r="K237" s="514"/>
      <c r="L237" s="537"/>
      <c r="M237" s="379"/>
      <c r="N237" s="390"/>
      <c r="O237" s="390"/>
    </row>
    <row r="238" spans="1:15" ht="15.75" customHeight="1" x14ac:dyDescent="0.25">
      <c r="A238" s="602"/>
      <c r="B238" s="511"/>
      <c r="C238" s="668"/>
      <c r="D238" s="691" t="s">
        <v>431</v>
      </c>
      <c r="E238" s="692" t="str">
        <f>IF(D240="Yes","From :  ", " ")</f>
        <v xml:space="preserve"> </v>
      </c>
      <c r="F238" s="1422" t="str">
        <f>IF(D240="Yes",Esca!H$42 &amp; ", " &amp; Esca!H$43 &amp; " input ","")</f>
        <v/>
      </c>
      <c r="G238" s="1422"/>
      <c r="H238" s="1422"/>
      <c r="I238" s="1422"/>
      <c r="J238" s="1422"/>
      <c r="K238" s="1422"/>
      <c r="L238" s="1423"/>
      <c r="M238" s="379"/>
      <c r="N238" s="390"/>
      <c r="O238" s="390"/>
    </row>
    <row r="239" spans="1:15" ht="15.75" x14ac:dyDescent="0.25">
      <c r="A239" s="602"/>
      <c r="B239" s="539" t="s">
        <v>430</v>
      </c>
      <c r="C239" s="668"/>
      <c r="D239" s="691" t="s">
        <v>432</v>
      </c>
      <c r="E239" s="513"/>
      <c r="F239" s="1422"/>
      <c r="G239" s="1422"/>
      <c r="H239" s="1422"/>
      <c r="I239" s="1422"/>
      <c r="J239" s="1422"/>
      <c r="K239" s="1422"/>
      <c r="L239" s="1423"/>
      <c r="M239" s="379"/>
      <c r="N239" s="390"/>
      <c r="O239" s="390"/>
    </row>
    <row r="240" spans="1:15" ht="15.75" customHeight="1" x14ac:dyDescent="0.25">
      <c r="A240" s="602"/>
      <c r="B240" s="511"/>
      <c r="C240" s="670" t="str">
        <f>IF(D240="Yes","Go to", " ")</f>
        <v xml:space="preserve"> </v>
      </c>
      <c r="D240" s="691" t="s">
        <v>432</v>
      </c>
      <c r="E240" s="692" t="str">
        <f>IF(D240="Yes","To    :   ", " ")</f>
        <v xml:space="preserve"> </v>
      </c>
      <c r="F240" s="1422" t="str">
        <f>IF(D240="Yes",Esca!D$42 &amp; ", " &amp; Esca!D$43 &amp; " input ","")</f>
        <v/>
      </c>
      <c r="G240" s="1422"/>
      <c r="H240" s="1422"/>
      <c r="I240" s="1422"/>
      <c r="J240" s="1422"/>
      <c r="K240" s="1422"/>
      <c r="L240" s="1423"/>
      <c r="M240" s="379"/>
      <c r="N240" s="390"/>
      <c r="O240" s="390"/>
    </row>
    <row r="241" spans="1:15" ht="15.75" x14ac:dyDescent="0.25">
      <c r="A241" s="602"/>
      <c r="B241" s="416"/>
      <c r="C241" s="671" t="str">
        <f>IF(D240="Yes","sheet 'Esca' ", " ")</f>
        <v xml:space="preserve"> </v>
      </c>
      <c r="D241" s="495"/>
      <c r="E241" s="696"/>
      <c r="F241" s="1422"/>
      <c r="G241" s="1422"/>
      <c r="H241" s="1422"/>
      <c r="I241" s="1422"/>
      <c r="J241" s="1422"/>
      <c r="K241" s="1422"/>
      <c r="L241" s="1423"/>
      <c r="M241" s="379"/>
      <c r="N241" s="390"/>
      <c r="O241" s="390"/>
    </row>
    <row r="242" spans="1:15" ht="15.75" x14ac:dyDescent="0.25">
      <c r="A242" s="602"/>
      <c r="B242" s="416"/>
      <c r="C242" s="670" t="str">
        <f>IF(D240="Yes","to calculate the soil carbon accumulation", " ")</f>
        <v xml:space="preserve"> </v>
      </c>
      <c r="D242" s="495"/>
      <c r="E242" s="696"/>
      <c r="F242" s="694"/>
      <c r="G242" s="694"/>
      <c r="H242" s="694"/>
      <c r="I242" s="492" t="s">
        <v>746</v>
      </c>
      <c r="J242" s="514"/>
      <c r="K242" s="694"/>
      <c r="L242" s="695"/>
      <c r="M242" s="379"/>
      <c r="N242" s="390"/>
      <c r="O242" s="390"/>
    </row>
    <row r="243" spans="1:15" ht="16.5" x14ac:dyDescent="0.3">
      <c r="A243" s="602"/>
      <c r="B243" s="416"/>
      <c r="C243" s="670"/>
      <c r="D243" s="495"/>
      <c r="E243" s="696"/>
      <c r="F243" s="694"/>
      <c r="G243" s="694"/>
      <c r="H243" s="694"/>
      <c r="I243" s="539" t="s">
        <v>1053</v>
      </c>
      <c r="J243" s="539" t="s">
        <v>1054</v>
      </c>
      <c r="K243" s="539" t="s">
        <v>1055</v>
      </c>
      <c r="L243" s="540" t="s">
        <v>1056</v>
      </c>
      <c r="M243" s="379"/>
      <c r="N243" s="390"/>
      <c r="O243" s="390"/>
    </row>
    <row r="244" spans="1:15" ht="16.5" x14ac:dyDescent="0.3">
      <c r="A244" s="602"/>
      <c r="B244" s="507" t="s">
        <v>807</v>
      </c>
      <c r="C244" s="697">
        <f>IF(D240="yes",Esca!$J$81,0)</f>
        <v>0</v>
      </c>
      <c r="D244" s="497" t="s">
        <v>449</v>
      </c>
      <c r="E244" s="503"/>
      <c r="F244" s="495"/>
      <c r="G244" s="495"/>
      <c r="H244" s="495"/>
      <c r="I244" s="544">
        <f>$C244*1000000/$E$264</f>
        <v>0</v>
      </c>
      <c r="J244" s="544">
        <v>0</v>
      </c>
      <c r="K244" s="544">
        <v>0</v>
      </c>
      <c r="L244" s="419">
        <f>I244*'Standard values'!$D$10+J244*'Standard values'!$D$11+K244*'Standard values'!$D$12</f>
        <v>0</v>
      </c>
      <c r="M244" s="379"/>
      <c r="N244" s="390"/>
      <c r="O244" s="390"/>
    </row>
    <row r="245" spans="1:15" x14ac:dyDescent="0.2">
      <c r="A245" s="503"/>
      <c r="B245" s="539"/>
      <c r="C245" s="539"/>
      <c r="D245" s="605"/>
      <c r="E245" s="503"/>
      <c r="F245" s="495"/>
      <c r="G245" s="495"/>
      <c r="H245" s="495"/>
      <c r="I245" s="495"/>
      <c r="J245" s="495"/>
      <c r="K245" s="544"/>
      <c r="L245" s="516">
        <f>SUM(L244:L244)</f>
        <v>0</v>
      </c>
      <c r="M245" s="379"/>
      <c r="N245" s="390"/>
      <c r="O245" s="390"/>
    </row>
    <row r="246" spans="1:15" x14ac:dyDescent="0.2">
      <c r="A246" s="503"/>
      <c r="B246" s="539"/>
      <c r="C246" s="539"/>
      <c r="D246" s="605"/>
      <c r="E246" s="503"/>
      <c r="F246" s="495"/>
      <c r="G246" s="495"/>
      <c r="H246" s="495"/>
      <c r="I246" s="495"/>
      <c r="J246" s="495"/>
      <c r="K246" s="544"/>
      <c r="L246" s="700"/>
      <c r="M246" s="379"/>
      <c r="N246" s="390"/>
      <c r="O246" s="390"/>
    </row>
    <row r="247" spans="1:15" ht="14.25" x14ac:dyDescent="0.25">
      <c r="A247" s="519"/>
      <c r="B247" s="520"/>
      <c r="C247" s="520"/>
      <c r="D247" s="520"/>
      <c r="E247" s="519"/>
      <c r="F247" s="521"/>
      <c r="G247" s="521"/>
      <c r="H247" s="521" t="s">
        <v>534</v>
      </c>
      <c r="I247" s="520"/>
      <c r="J247" s="523" t="s">
        <v>747</v>
      </c>
      <c r="K247" s="549"/>
      <c r="L247" s="525">
        <f>L245</f>
        <v>0</v>
      </c>
      <c r="M247" s="379"/>
      <c r="N247" s="390"/>
      <c r="O247" s="390"/>
    </row>
    <row r="248" spans="1:15" x14ac:dyDescent="0.2">
      <c r="A248" s="390"/>
      <c r="B248" s="390"/>
      <c r="C248" s="390"/>
      <c r="D248" s="390"/>
      <c r="E248" s="390"/>
      <c r="F248" s="376"/>
      <c r="G248" s="376"/>
      <c r="H248" s="376"/>
      <c r="I248" s="390"/>
      <c r="J248" s="550"/>
      <c r="K248" s="551"/>
      <c r="L248" s="604"/>
      <c r="M248" s="379"/>
      <c r="N248" s="390"/>
      <c r="O248" s="390"/>
    </row>
    <row r="249" spans="1:15" x14ac:dyDescent="0.2">
      <c r="A249" s="390"/>
      <c r="B249" s="390"/>
      <c r="C249" s="390"/>
      <c r="D249" s="390"/>
      <c r="E249" s="390"/>
      <c r="F249" s="376"/>
      <c r="G249" s="376"/>
      <c r="H249" s="376"/>
      <c r="I249" s="390"/>
      <c r="J249" s="550"/>
      <c r="K249" s="551"/>
      <c r="L249" s="604"/>
      <c r="M249" s="379"/>
      <c r="N249" s="390"/>
      <c r="O249" s="390"/>
    </row>
    <row r="250" spans="1:15" ht="18.75" x14ac:dyDescent="0.35">
      <c r="A250" s="530" t="s">
        <v>168</v>
      </c>
      <c r="B250" s="598"/>
      <c r="C250" s="599"/>
      <c r="D250" s="531"/>
      <c r="E250" s="600"/>
      <c r="F250" s="531"/>
      <c r="G250" s="531"/>
      <c r="H250" s="531"/>
      <c r="I250" s="531"/>
      <c r="J250" s="531"/>
      <c r="K250" s="531"/>
      <c r="L250" s="601"/>
      <c r="M250" s="379"/>
      <c r="N250" s="390"/>
      <c r="O250" s="390"/>
    </row>
    <row r="251" spans="1:15" ht="15.75" x14ac:dyDescent="0.25">
      <c r="A251" s="602"/>
      <c r="B251" s="416" t="s">
        <v>166</v>
      </c>
      <c r="C251" s="492"/>
      <c r="D251" s="495"/>
      <c r="E251" s="503"/>
      <c r="F251" s="495"/>
      <c r="G251" s="495"/>
      <c r="H251" s="495"/>
      <c r="I251" s="492" t="s">
        <v>746</v>
      </c>
      <c r="J251" s="514"/>
      <c r="K251" s="514"/>
      <c r="L251" s="537"/>
      <c r="M251" s="379"/>
      <c r="N251" s="390"/>
      <c r="O251" s="390"/>
    </row>
    <row r="252" spans="1:15" ht="15.75" x14ac:dyDescent="0.3">
      <c r="A252" s="503"/>
      <c r="B252" s="539"/>
      <c r="C252" s="595">
        <v>0</v>
      </c>
      <c r="D252" s="605" t="s">
        <v>672</v>
      </c>
      <c r="E252" s="503"/>
      <c r="F252" s="495"/>
      <c r="G252" s="495"/>
      <c r="H252" s="495"/>
      <c r="I252" s="495"/>
      <c r="J252" s="495"/>
      <c r="K252" s="544"/>
      <c r="L252" s="516">
        <f>C252</f>
        <v>0</v>
      </c>
      <c r="M252" s="379"/>
      <c r="N252" s="390"/>
      <c r="O252" s="390"/>
    </row>
    <row r="253" spans="1:15" ht="14.25" x14ac:dyDescent="0.25">
      <c r="A253" s="519"/>
      <c r="B253" s="520"/>
      <c r="C253" s="701"/>
      <c r="D253" s="520"/>
      <c r="E253" s="519"/>
      <c r="F253" s="521"/>
      <c r="G253" s="521"/>
      <c r="H253" s="521" t="s">
        <v>534</v>
      </c>
      <c r="I253" s="520"/>
      <c r="J253" s="523" t="s">
        <v>747</v>
      </c>
      <c r="K253" s="549"/>
      <c r="L253" s="525">
        <f>C252</f>
        <v>0</v>
      </c>
      <c r="M253" s="379"/>
      <c r="N253" s="390"/>
      <c r="O253" s="390"/>
    </row>
    <row r="254" spans="1:15" x14ac:dyDescent="0.2">
      <c r="A254" s="390"/>
      <c r="B254" s="390"/>
      <c r="C254" s="390"/>
      <c r="D254" s="390"/>
      <c r="E254" s="390"/>
      <c r="F254" s="376"/>
      <c r="G254" s="376"/>
      <c r="H254" s="376"/>
      <c r="I254" s="390"/>
      <c r="J254" s="550"/>
      <c r="K254" s="551"/>
      <c r="L254" s="604"/>
      <c r="M254" s="379"/>
      <c r="N254" s="390"/>
      <c r="O254" s="390"/>
    </row>
    <row r="255" spans="1:15" x14ac:dyDescent="0.2">
      <c r="A255" s="390"/>
      <c r="B255" s="390"/>
      <c r="C255" s="390"/>
      <c r="D255" s="390"/>
      <c r="E255" s="390"/>
      <c r="F255" s="376"/>
      <c r="G255" s="376"/>
      <c r="H255" s="376"/>
      <c r="I255" s="390"/>
      <c r="J255" s="550"/>
      <c r="K255" s="551"/>
      <c r="L255" s="604"/>
      <c r="M255" s="379"/>
      <c r="N255" s="390"/>
      <c r="O255" s="390"/>
    </row>
    <row r="256" spans="1:15" ht="18.75" x14ac:dyDescent="0.35">
      <c r="A256" s="530" t="s">
        <v>169</v>
      </c>
      <c r="B256" s="598"/>
      <c r="C256" s="599"/>
      <c r="D256" s="531"/>
      <c r="E256" s="600"/>
      <c r="F256" s="531"/>
      <c r="G256" s="531"/>
      <c r="H256" s="531"/>
      <c r="I256" s="531"/>
      <c r="J256" s="531"/>
      <c r="K256" s="531"/>
      <c r="L256" s="601"/>
      <c r="M256" s="379"/>
      <c r="N256" s="390"/>
      <c r="O256" s="390"/>
    </row>
    <row r="257" spans="1:15" ht="15.75" x14ac:dyDescent="0.25">
      <c r="A257" s="602"/>
      <c r="B257" s="416" t="s">
        <v>167</v>
      </c>
      <c r="C257" s="492"/>
      <c r="D257" s="495"/>
      <c r="E257" s="503"/>
      <c r="F257" s="495"/>
      <c r="G257" s="495"/>
      <c r="H257" s="495"/>
      <c r="I257" s="492" t="s">
        <v>746</v>
      </c>
      <c r="J257" s="514"/>
      <c r="K257" s="514"/>
      <c r="L257" s="537"/>
      <c r="M257" s="379"/>
      <c r="N257" s="390"/>
      <c r="O257" s="390"/>
    </row>
    <row r="258" spans="1:15" ht="15.75" x14ac:dyDescent="0.3">
      <c r="A258" s="503"/>
      <c r="B258" s="539"/>
      <c r="C258" s="595">
        <v>0</v>
      </c>
      <c r="D258" s="605" t="s">
        <v>672</v>
      </c>
      <c r="E258" s="503"/>
      <c r="F258" s="495"/>
      <c r="G258" s="495"/>
      <c r="H258" s="495"/>
      <c r="I258" s="495"/>
      <c r="J258" s="495"/>
      <c r="K258" s="544"/>
      <c r="L258" s="516">
        <f>C258</f>
        <v>0</v>
      </c>
      <c r="M258" s="379"/>
      <c r="N258" s="390"/>
      <c r="O258" s="390"/>
    </row>
    <row r="259" spans="1:15" ht="14.25" x14ac:dyDescent="0.25">
      <c r="A259" s="519"/>
      <c r="B259" s="520"/>
      <c r="C259" s="520"/>
      <c r="D259" s="520"/>
      <c r="E259" s="519"/>
      <c r="F259" s="521"/>
      <c r="G259" s="521"/>
      <c r="H259" s="521" t="s">
        <v>534</v>
      </c>
      <c r="I259" s="520"/>
      <c r="J259" s="523" t="s">
        <v>747</v>
      </c>
      <c r="K259" s="549"/>
      <c r="L259" s="525">
        <f>C258</f>
        <v>0</v>
      </c>
      <c r="M259" s="379"/>
      <c r="N259" s="390"/>
      <c r="O259" s="390"/>
    </row>
    <row r="260" spans="1:15" x14ac:dyDescent="0.2">
      <c r="A260" s="390"/>
      <c r="B260" s="390"/>
      <c r="C260" s="390"/>
      <c r="D260" s="390"/>
      <c r="E260" s="390"/>
      <c r="F260" s="376"/>
      <c r="G260" s="376"/>
      <c r="H260" s="376"/>
      <c r="I260" s="390"/>
      <c r="J260" s="550"/>
      <c r="K260" s="551"/>
      <c r="L260" s="604"/>
      <c r="M260" s="379"/>
      <c r="N260" s="390"/>
      <c r="O260" s="390"/>
    </row>
    <row r="261" spans="1:15" x14ac:dyDescent="0.2">
      <c r="A261" s="390"/>
      <c r="B261" s="390"/>
      <c r="C261" s="390"/>
      <c r="D261" s="390"/>
      <c r="E261" s="390"/>
      <c r="F261" s="376"/>
      <c r="G261" s="376"/>
      <c r="H261" s="376"/>
      <c r="I261" s="390"/>
      <c r="J261" s="550"/>
      <c r="K261" s="551"/>
      <c r="L261" s="604"/>
      <c r="M261" s="379"/>
      <c r="N261" s="390"/>
      <c r="O261" s="390"/>
    </row>
    <row r="262" spans="1:15" ht="15.75" x14ac:dyDescent="0.25">
      <c r="A262" s="530" t="s">
        <v>457</v>
      </c>
      <c r="B262" s="531"/>
      <c r="C262" s="531"/>
      <c r="D262" s="531"/>
      <c r="E262" s="532"/>
      <c r="F262" s="606"/>
      <c r="G262" s="606"/>
      <c r="H262" s="606"/>
      <c r="I262" s="607"/>
      <c r="J262" s="608"/>
      <c r="K262" s="607"/>
      <c r="L262" s="609"/>
      <c r="M262" s="379"/>
      <c r="N262" s="390"/>
      <c r="O262" s="390"/>
    </row>
    <row r="263" spans="1:15" ht="15.75" x14ac:dyDescent="0.25">
      <c r="A263" s="610"/>
      <c r="B263" s="611"/>
      <c r="C263" s="611"/>
      <c r="D263" s="611"/>
      <c r="E263" s="612"/>
      <c r="F263" s="613"/>
      <c r="G263" s="613"/>
      <c r="H263" s="613"/>
      <c r="I263" s="613"/>
      <c r="J263" s="613"/>
      <c r="K263" s="613"/>
      <c r="L263" s="614"/>
      <c r="M263" s="379"/>
      <c r="N263" s="390"/>
      <c r="O263" s="390"/>
    </row>
    <row r="264" spans="1:15" ht="15.75" x14ac:dyDescent="0.3">
      <c r="A264" s="503"/>
      <c r="B264" s="495"/>
      <c r="C264" s="495"/>
      <c r="D264" s="546" t="s">
        <v>300</v>
      </c>
      <c r="E264" s="702">
        <f>E27*C59*C49*C71*C131*C151*C162*C196*C208</f>
        <v>149103.91827692304</v>
      </c>
      <c r="F264" s="499" t="s">
        <v>655</v>
      </c>
      <c r="G264" s="499"/>
      <c r="H264" s="495"/>
      <c r="I264" s="495"/>
      <c r="J264" s="495"/>
      <c r="K264" s="495"/>
      <c r="L264" s="616"/>
      <c r="M264" s="379"/>
      <c r="N264" s="390"/>
      <c r="O264" s="390"/>
    </row>
    <row r="265" spans="1:15" ht="15.75" x14ac:dyDescent="0.3">
      <c r="A265" s="503"/>
      <c r="B265" s="495"/>
      <c r="C265" s="495"/>
      <c r="D265" s="546" t="s">
        <v>299</v>
      </c>
      <c r="E265" s="615">
        <f>E264/E27</f>
        <v>0.49542769230769229</v>
      </c>
      <c r="F265" s="495" t="s">
        <v>418</v>
      </c>
      <c r="G265" s="495"/>
      <c r="H265" s="495"/>
      <c r="I265" s="544"/>
      <c r="J265" s="495"/>
      <c r="K265" s="495"/>
      <c r="L265" s="616"/>
      <c r="M265" s="379"/>
      <c r="N265" s="390"/>
      <c r="O265" s="390"/>
    </row>
    <row r="266" spans="1:15" x14ac:dyDescent="0.2">
      <c r="A266" s="503"/>
      <c r="B266" s="495"/>
      <c r="C266" s="495"/>
      <c r="D266" s="495"/>
      <c r="E266" s="495"/>
      <c r="F266" s="617"/>
      <c r="G266" s="617"/>
      <c r="H266" s="495"/>
      <c r="I266" s="544"/>
      <c r="J266" s="495"/>
      <c r="K266" s="495"/>
      <c r="L266" s="616"/>
      <c r="M266" s="379"/>
      <c r="N266" s="390"/>
      <c r="O266" s="390"/>
    </row>
    <row r="267" spans="1:15" x14ac:dyDescent="0.2">
      <c r="A267" s="503"/>
      <c r="B267" s="495"/>
      <c r="C267" s="495"/>
      <c r="D267" s="495"/>
      <c r="E267" s="495"/>
      <c r="F267" s="617"/>
      <c r="G267" s="617"/>
      <c r="H267" s="495"/>
      <c r="I267" s="495"/>
      <c r="J267" s="495"/>
      <c r="K267" s="495"/>
      <c r="L267" s="616"/>
      <c r="M267" s="379"/>
      <c r="N267" s="390"/>
      <c r="O267" s="390"/>
    </row>
    <row r="268" spans="1:15" ht="14.25" x14ac:dyDescent="0.25">
      <c r="A268" s="703"/>
      <c r="B268" s="404"/>
      <c r="C268" s="404"/>
      <c r="D268" s="404"/>
      <c r="E268" s="704" t="s">
        <v>1059</v>
      </c>
      <c r="F268" s="705"/>
      <c r="G268" s="705"/>
      <c r="H268" s="423"/>
      <c r="I268" s="404"/>
      <c r="J268" s="704" t="s">
        <v>747</v>
      </c>
      <c r="K268" s="423"/>
      <c r="L268" s="706">
        <f>L45+L55+L66+L100+L126+L147+L157+L183+L204+L216+L233-L247-L253-L259</f>
        <v>39.53031409012997</v>
      </c>
      <c r="M268" s="379"/>
      <c r="N268" s="390"/>
      <c r="O268" s="390"/>
    </row>
    <row r="269" spans="1:15" ht="14.25" x14ac:dyDescent="0.25">
      <c r="A269" s="707"/>
      <c r="B269" s="708"/>
      <c r="C269" s="709"/>
      <c r="D269" s="404"/>
      <c r="E269" s="704" t="s">
        <v>1060</v>
      </c>
      <c r="F269" s="404"/>
      <c r="G269" s="404"/>
      <c r="H269" s="404"/>
      <c r="I269" s="404"/>
      <c r="J269" s="704" t="s">
        <v>747</v>
      </c>
      <c r="K269" s="404"/>
      <c r="L269" s="710">
        <f>L192+L204+L216+(L228*J6*J9)+L231-L247-L253-L259</f>
        <v>37.135469793986914</v>
      </c>
      <c r="M269" s="379"/>
      <c r="N269" s="390"/>
      <c r="O269" s="390"/>
    </row>
    <row r="270" spans="1:15" x14ac:dyDescent="0.2">
      <c r="A270" s="703"/>
      <c r="B270" s="404"/>
      <c r="C270" s="404"/>
      <c r="D270" s="404"/>
      <c r="E270" s="404"/>
      <c r="F270" s="711"/>
      <c r="G270" s="711"/>
      <c r="H270" s="404"/>
      <c r="I270" s="404"/>
      <c r="J270" s="404"/>
      <c r="K270" s="404"/>
      <c r="L270" s="712"/>
      <c r="M270" s="379"/>
      <c r="N270" s="390"/>
      <c r="O270" s="390"/>
    </row>
    <row r="271" spans="1:15" x14ac:dyDescent="0.2">
      <c r="A271" s="519"/>
      <c r="B271" s="520"/>
      <c r="C271" s="520"/>
      <c r="D271" s="520"/>
      <c r="E271" s="713" t="s">
        <v>1061</v>
      </c>
      <c r="F271" s="632"/>
      <c r="G271" s="632"/>
      <c r="H271" s="632"/>
      <c r="I271" s="632"/>
      <c r="J271" s="632"/>
      <c r="K271" s="632"/>
      <c r="L271" s="633">
        <f>(83.8-L269)/83.8</f>
        <v>0.55685596904550216</v>
      </c>
      <c r="M271" s="379"/>
      <c r="N271" s="390"/>
      <c r="O271" s="390"/>
    </row>
    <row r="272" spans="1:15" x14ac:dyDescent="0.2">
      <c r="M272" s="361"/>
    </row>
    <row r="273" spans="5:14" x14ac:dyDescent="0.2">
      <c r="E273" s="634"/>
      <c r="F273" s="634"/>
      <c r="G273" s="634"/>
      <c r="H273" s="635"/>
      <c r="I273" s="634"/>
      <c r="J273" s="634"/>
      <c r="K273" s="634"/>
      <c r="L273" s="636"/>
      <c r="M273" s="361"/>
    </row>
    <row r="274" spans="5:14" x14ac:dyDescent="0.2">
      <c r="F274" s="634"/>
      <c r="G274" s="634"/>
      <c r="H274" s="634"/>
      <c r="I274" s="637"/>
      <c r="J274" s="634"/>
      <c r="K274" s="634"/>
      <c r="L274" s="638"/>
      <c r="M274" s="639"/>
      <c r="N274" s="361"/>
    </row>
    <row r="275" spans="5:14" x14ac:dyDescent="0.2">
      <c r="F275" s="634"/>
      <c r="G275" s="634"/>
      <c r="H275" s="634"/>
      <c r="I275" s="637"/>
      <c r="J275" s="634"/>
      <c r="K275" s="634"/>
      <c r="L275" s="638"/>
      <c r="M275" s="639"/>
      <c r="N275" s="361"/>
    </row>
    <row r="276" spans="5:14" ht="15.75" x14ac:dyDescent="0.25">
      <c r="F276" s="640"/>
      <c r="G276" s="640"/>
      <c r="H276" s="634"/>
      <c r="I276" s="634"/>
      <c r="J276" s="634"/>
      <c r="K276" s="634"/>
      <c r="L276" s="634"/>
      <c r="M276" s="634"/>
      <c r="N276" s="361"/>
    </row>
    <row r="277" spans="5:14" x14ac:dyDescent="0.2">
      <c r="F277" s="634"/>
      <c r="G277" s="634"/>
      <c r="H277" s="637"/>
      <c r="I277" s="634"/>
      <c r="J277" s="634"/>
      <c r="K277" s="634"/>
      <c r="L277" s="634"/>
      <c r="M277" s="634"/>
      <c r="N277" s="634"/>
    </row>
    <row r="278" spans="5:14" x14ac:dyDescent="0.2">
      <c r="F278" s="637"/>
      <c r="G278" s="637"/>
      <c r="H278" s="634"/>
      <c r="I278" s="641"/>
      <c r="J278" s="634"/>
      <c r="K278" s="634"/>
      <c r="L278" s="634"/>
      <c r="M278" s="634"/>
      <c r="N278" s="634"/>
    </row>
    <row r="279" spans="5:14" x14ac:dyDescent="0.2">
      <c r="F279" s="637"/>
      <c r="G279" s="637"/>
      <c r="H279" s="634"/>
      <c r="I279" s="641"/>
      <c r="J279" s="634"/>
      <c r="K279" s="634"/>
      <c r="L279" s="634"/>
      <c r="M279" s="634"/>
      <c r="N279" s="634"/>
    </row>
    <row r="280" spans="5:14" x14ac:dyDescent="0.2">
      <c r="F280" s="634"/>
      <c r="G280" s="634"/>
      <c r="H280" s="639"/>
      <c r="I280" s="634"/>
      <c r="J280" s="634"/>
      <c r="K280" s="634"/>
      <c r="L280" s="634"/>
      <c r="M280" s="634"/>
      <c r="N280" s="634"/>
    </row>
    <row r="281" spans="5:14" x14ac:dyDescent="0.2">
      <c r="F281" s="634"/>
      <c r="G281" s="634"/>
      <c r="H281" s="634"/>
      <c r="I281" s="634"/>
      <c r="J281" s="634"/>
      <c r="K281" s="634"/>
      <c r="L281" s="634"/>
      <c r="M281" s="634"/>
      <c r="N281" s="634"/>
    </row>
    <row r="282" spans="5:14" x14ac:dyDescent="0.2">
      <c r="F282" s="634"/>
      <c r="G282" s="634"/>
      <c r="H282" s="634"/>
      <c r="I282" s="634"/>
      <c r="J282" s="634"/>
      <c r="K282" s="634"/>
      <c r="L282" s="634"/>
      <c r="M282" s="634"/>
      <c r="N282" s="634"/>
    </row>
    <row r="283" spans="5:14" x14ac:dyDescent="0.2">
      <c r="F283" s="634"/>
      <c r="G283" s="634"/>
      <c r="H283" s="634"/>
      <c r="I283" s="634"/>
      <c r="J283" s="634"/>
      <c r="K283" s="634"/>
      <c r="L283" s="634"/>
      <c r="M283" s="634"/>
      <c r="N283" s="634"/>
    </row>
    <row r="284" spans="5:14" x14ac:dyDescent="0.2">
      <c r="F284" s="634"/>
      <c r="G284" s="634"/>
      <c r="H284" s="634"/>
      <c r="I284" s="634"/>
      <c r="J284" s="634"/>
      <c r="K284" s="634"/>
      <c r="L284" s="634"/>
      <c r="M284" s="634"/>
      <c r="N284" s="634"/>
    </row>
    <row r="285" spans="5:14" x14ac:dyDescent="0.2">
      <c r="F285" s="634"/>
      <c r="G285" s="634"/>
      <c r="H285" s="634"/>
      <c r="I285" s="634"/>
      <c r="J285" s="634"/>
      <c r="K285" s="634"/>
      <c r="L285" s="634"/>
      <c r="M285" s="634"/>
      <c r="N285" s="634"/>
    </row>
    <row r="286" spans="5:14" x14ac:dyDescent="0.2">
      <c r="F286" s="634"/>
      <c r="G286" s="634"/>
      <c r="H286" s="634"/>
      <c r="I286" s="634"/>
      <c r="J286" s="634"/>
      <c r="K286" s="634"/>
      <c r="L286" s="634"/>
      <c r="M286" s="634"/>
      <c r="N286" s="634"/>
    </row>
    <row r="287" spans="5:14" x14ac:dyDescent="0.2">
      <c r="F287" s="634"/>
      <c r="G287" s="634"/>
      <c r="H287" s="634"/>
      <c r="I287" s="634"/>
      <c r="J287" s="634"/>
      <c r="K287" s="634"/>
      <c r="L287" s="634"/>
      <c r="M287" s="634"/>
      <c r="N287" s="634"/>
    </row>
    <row r="288" spans="5:14" x14ac:dyDescent="0.2">
      <c r="F288" s="634"/>
      <c r="G288" s="634"/>
      <c r="H288" s="634"/>
      <c r="I288" s="634"/>
      <c r="J288" s="634"/>
      <c r="K288" s="634"/>
      <c r="L288" s="634"/>
      <c r="M288" s="634"/>
      <c r="N288" s="634"/>
    </row>
    <row r="289" spans="6:14" x14ac:dyDescent="0.2">
      <c r="F289" s="634"/>
      <c r="G289" s="634"/>
      <c r="H289" s="634"/>
      <c r="I289" s="634"/>
      <c r="J289" s="634"/>
      <c r="K289" s="634"/>
      <c r="L289" s="634"/>
      <c r="M289" s="634"/>
      <c r="N289" s="634"/>
    </row>
    <row r="290" spans="6:14" x14ac:dyDescent="0.2">
      <c r="F290" s="634"/>
      <c r="G290" s="634"/>
      <c r="H290" s="634"/>
      <c r="I290" s="634"/>
      <c r="J290" s="634"/>
      <c r="K290" s="634"/>
      <c r="L290" s="634"/>
      <c r="M290" s="634"/>
      <c r="N290" s="634"/>
    </row>
    <row r="291" spans="6:14" x14ac:dyDescent="0.2">
      <c r="F291" s="634"/>
      <c r="G291" s="634"/>
      <c r="H291" s="634"/>
      <c r="I291" s="634"/>
      <c r="J291" s="634"/>
      <c r="K291" s="634"/>
      <c r="L291" s="634"/>
      <c r="M291" s="634"/>
      <c r="N291" s="634"/>
    </row>
    <row r="292" spans="6:14" x14ac:dyDescent="0.2">
      <c r="F292" s="634"/>
      <c r="G292" s="634"/>
      <c r="H292" s="634"/>
      <c r="I292" s="634"/>
      <c r="J292" s="634"/>
      <c r="K292" s="634"/>
      <c r="L292" s="634"/>
      <c r="M292" s="634"/>
      <c r="N292" s="634"/>
    </row>
  </sheetData>
  <sheetProtection insertColumns="0" insertRows="0" deleteColumns="0" deleteRows="0"/>
  <customSheetViews>
    <customSheetView guid="{AD88818B-9F97-4B1E-9426-0DECE603685E}" scale="80" showGridLines="0" fitToPage="1" showRuler="0">
      <pane ySplit="22" topLeftCell="A23" activePane="bottomLeft" state="frozen"/>
      <selection pane="bottomLeft" activeCell="E3" sqref="E3"/>
      <pageMargins left="0.75" right="0.75" top="1" bottom="1" header="0.5" footer="0.5"/>
      <pageSetup paperSize="8" fitToHeight="0" orientation="landscape"/>
      <headerFooter alignWithMargins="0">
        <oddFooter>&amp;L&amp;8&amp;F&amp;C&amp;8&amp;A&amp;R&amp;8page&amp;P</oddFooter>
      </headerFooter>
    </customSheetView>
    <customSheetView guid="{7EB5D807-CE20-46E2-AEE6-2C193E010EA4}" scale="80" showGridLines="0" fitToPage="1" showRuler="0">
      <pane ySplit="22" topLeftCell="A23" activePane="bottomLeft" state="frozen"/>
      <selection pane="bottomLeft" activeCell="E3" sqref="E3"/>
      <pageMargins left="0.75" right="0.75" top="1" bottom="1" header="0.5" footer="0.5"/>
      <pageSetup paperSize="8" fitToHeight="0" orientation="landscape"/>
      <headerFooter alignWithMargins="0">
        <oddFooter>&amp;L&amp;8&amp;F&amp;C&amp;8&amp;A&amp;R&amp;8page&amp;P</oddFooter>
      </headerFooter>
    </customSheetView>
  </customSheetViews>
  <mergeCells count="6">
    <mergeCell ref="F238:L239"/>
    <mergeCell ref="F240:L241"/>
    <mergeCell ref="H11:H12"/>
    <mergeCell ref="O11:O12"/>
    <mergeCell ref="F221:L222"/>
    <mergeCell ref="F223:L224"/>
  </mergeCells>
  <phoneticPr fontId="0" type="noConversion"/>
  <conditionalFormatting sqref="O9:O23">
    <cfRule type="cellIs" dxfId="52" priority="2" stopIfTrue="1" operator="notBetween">
      <formula>-0.05</formula>
      <formula>0.05</formula>
    </cfRule>
  </conditionalFormatting>
  <conditionalFormatting sqref="E19">
    <cfRule type="expression" dxfId="51" priority="4" stopIfTrue="1">
      <formula>($E19="Combined result of previous calculation")</formula>
    </cfRule>
  </conditionalFormatting>
  <conditionalFormatting sqref="A19:D19 F19:G19">
    <cfRule type="expression" dxfId="50" priority="5" stopIfTrue="1">
      <formula>($E19="Combined result of previous calculation")</formula>
    </cfRule>
  </conditionalFormatting>
  <conditionalFormatting sqref="A10:G10 A7:G8 A14:G15">
    <cfRule type="expression" dxfId="49" priority="6" stopIfTrue="1">
      <formula>($E7&lt;&gt;"")</formula>
    </cfRule>
  </conditionalFormatting>
  <conditionalFormatting sqref="A20:D20 F20:G20">
    <cfRule type="expression" dxfId="48" priority="7" stopIfTrue="1">
      <formula>($E20="Esca included in combined result of previous calculation")</formula>
    </cfRule>
  </conditionalFormatting>
  <conditionalFormatting sqref="E20">
    <cfRule type="expression" dxfId="47" priority="8" stopIfTrue="1">
      <formula>($E20="Esca included in combined result of previous calculation")</formula>
    </cfRule>
  </conditionalFormatting>
  <conditionalFormatting sqref="A16:E16">
    <cfRule type="expression" dxfId="46" priority="1" stopIfTrue="1">
      <formula>($E16&lt;&gt;"")</formula>
    </cfRule>
  </conditionalFormatting>
  <dataValidations count="8">
    <dataValidation type="list" allowBlank="1" showInputMessage="1" showErrorMessage="1" sqref="F6 F9 F13" xr:uid="{00000000-0002-0000-1500-000000000000}">
      <formula1>"A,D"</formula1>
    </dataValidation>
    <dataValidation type="list" showDropDown="1" showInputMessage="1" showErrorMessage="1" errorTitle="Wrong input" error="Only values &quot;0&quot; and &quot;29&quot; are allowed_x000a_" sqref="C230" xr:uid="{00000000-0002-0000-1500-000001000000}">
      <formula1>"0,29"</formula1>
    </dataValidation>
    <dataValidation allowBlank="1" showInputMessage="1" showErrorMessage="1" promptTitle="Input value for manure" prompt="Use of manure will not lead to direct GHG emissions as the emission coeffient is 0 g CO2,eq/MJ._x000a_Use of manure will indirectly lead to GHG emissions. When using actual inputs, field N2O emissions must be calculated which increase due to use of manure." sqref="C35" xr:uid="{00000000-0002-0000-1500-000002000000}"/>
    <dataValidation type="list" allowBlank="1" showInputMessage="1" showErrorMessage="1" sqref="E19" xr:uid="{00000000-0002-0000-1500-000003000000}">
      <formula1>"- , Combined result of previous calculation"</formula1>
    </dataValidation>
    <dataValidation type="list" allowBlank="1" showInputMessage="1" showErrorMessage="1" sqref="E7:E8 E10 E14:E16" xr:uid="{00000000-0002-0000-1500-000004000000}">
      <formula1>"- ,Individual result of previous calculation, Combined result of previous calculation"</formula1>
    </dataValidation>
    <dataValidation type="list" allowBlank="1" showInputMessage="1" showErrorMessage="1" sqref="E20" xr:uid="{00000000-0002-0000-1500-000005000000}">
      <formula1>"- , Esca included in combined result of previous calculation"</formula1>
    </dataValidation>
    <dataValidation allowBlank="1" showInputMessage="1" showErrorMessage="1" promptTitle="Please note !" prompt="When changing the value in this cell, you must indicate in column E under &quot;overview results&quot; that you have used the result of a previous calculation. Please refer to paragraph 4.2 of the user manual for further instructions and examples." sqref="N98 N43 N52 N64" xr:uid="{00000000-0002-0000-1500-000006000000}"/>
    <dataValidation allowBlank="1" showInputMessage="1" showErrorMessage="1" promptTitle="Electricity mix" sqref="B215 B203 B63 B121 B123 B134 B141 B166 B173" xr:uid="{00000000-0002-0000-1500-000007000000}"/>
  </dataValidations>
  <hyperlinks>
    <hyperlink ref="O51" location="Menu!A6" display="Back to menu" xr:uid="{00000000-0004-0000-1500-000000000000}"/>
    <hyperlink ref="O197" location="Menu!A6" display="Back to menu" xr:uid="{00000000-0004-0000-1500-000001000000}"/>
    <hyperlink ref="O50" location="Menu!A6" display="Back to menu" xr:uid="{00000000-0004-0000-1500-000002000000}"/>
    <hyperlink ref="O196" location="Menu!A6" display="Back to menu" xr:uid="{00000000-0004-0000-1500-000003000000}"/>
    <hyperlink ref="O115" location="Menu!A6" display="Back to menu" xr:uid="{00000000-0004-0000-1500-000004000000}"/>
    <hyperlink ref="O114" location="Menu!A6" display="Back to menu" xr:uid="{00000000-0004-0000-1500-000005000000}"/>
    <hyperlink ref="C241" location="Esca!A1" display="Esca!A1" xr:uid="{00000000-0004-0000-1500-000006000000}"/>
    <hyperlink ref="C224" location="LUC!A1" display="LUC!A1" xr:uid="{00000000-0004-0000-1500-000007000000}"/>
    <hyperlink ref="C44" location="'N2O emissions IPCC '!A1" display="N2O emissions IPCC" xr:uid="{00000000-0004-0000-1500-000008000000}"/>
  </hyperlinks>
  <pageMargins left="0.75" right="0.75" top="1" bottom="1" header="0.5" footer="0.5"/>
  <pageSetup paperSize="8" fitToHeight="0" orientation="landscape"/>
  <headerFooter alignWithMargins="0">
    <oddFooter>&amp;L&amp;8&amp;F&amp;C&amp;8&amp;A&amp;R&amp;8page&amp;P</oddFooter>
  </headerFooter>
  <drawing r:id="rId1"/>
  <legacyDrawing r:id="rId2"/>
  <controls>
    <mc:AlternateContent xmlns:mc="http://schemas.openxmlformats.org/markup-compatibility/2006">
      <mc:Choice Requires="x14">
        <control shapeId="15364" r:id="rId3" name="CheckBox2">
          <controlPr autoLine="0" linkedCell="About!N86" r:id="rId4">
            <anchor moveWithCells="1">
              <from>
                <xdr:col>9</xdr:col>
                <xdr:colOff>38100</xdr:colOff>
                <xdr:row>18</xdr:row>
                <xdr:rowOff>47625</xdr:rowOff>
              </from>
              <to>
                <xdr:col>13</xdr:col>
                <xdr:colOff>885825</xdr:colOff>
                <xdr:row>20</xdr:row>
                <xdr:rowOff>85725</xdr:rowOff>
              </to>
            </anchor>
          </controlPr>
        </control>
      </mc:Choice>
      <mc:Fallback>
        <control shapeId="15364" r:id="rId3" name="CheckBox2"/>
      </mc:Fallback>
    </mc:AlternateContent>
    <mc:AlternateContent xmlns:mc="http://schemas.openxmlformats.org/markup-compatibility/2006">
      <mc:Choice Requires="x14">
        <control shapeId="15365" r:id="rId5" name="CheckBox1">
          <controlPr autoLine="0" linkedCell="About!N88" r:id="rId6">
            <anchor moveWithCells="1">
              <from>
                <xdr:col>9</xdr:col>
                <xdr:colOff>38100</xdr:colOff>
                <xdr:row>16</xdr:row>
                <xdr:rowOff>0</xdr:rowOff>
              </from>
              <to>
                <xdr:col>13</xdr:col>
                <xdr:colOff>866775</xdr:colOff>
                <xdr:row>18</xdr:row>
                <xdr:rowOff>161925</xdr:rowOff>
              </to>
            </anchor>
          </controlPr>
        </control>
      </mc:Choice>
      <mc:Fallback>
        <control shapeId="15365" r:id="rId5" name="CheckBox1"/>
      </mc:Fallback>
    </mc:AlternateContent>
    <mc:AlternateContent xmlns:mc="http://schemas.openxmlformats.org/markup-compatibility/2006">
      <mc:Choice Requires="x14">
        <control shapeId="15395" r:id="rId7" name="ComboBox1">
          <controlPr locked="0" defaultSize="0" autoLine="0" linkedCell="D223" listFillRange="D221:D222" r:id="rId8">
            <anchor moveWithCells="1">
              <from>
                <xdr:col>1</xdr:col>
                <xdr:colOff>1704975</xdr:colOff>
                <xdr:row>220</xdr:row>
                <xdr:rowOff>190500</xdr:rowOff>
              </from>
              <to>
                <xdr:col>3</xdr:col>
                <xdr:colOff>19050</xdr:colOff>
                <xdr:row>222</xdr:row>
                <xdr:rowOff>28575</xdr:rowOff>
              </to>
            </anchor>
          </controlPr>
        </control>
      </mc:Choice>
      <mc:Fallback>
        <control shapeId="15395" r:id="rId7" name="ComboBox1"/>
      </mc:Fallback>
    </mc:AlternateContent>
    <mc:AlternateContent xmlns:mc="http://schemas.openxmlformats.org/markup-compatibility/2006">
      <mc:Choice Requires="x14">
        <control shapeId="15633" r:id="rId9" name="ComboBox2">
          <controlPr locked="0" defaultSize="0" autoLine="0" linkedCell="D240" listFillRange="D238:D239" r:id="rId10">
            <anchor moveWithCells="1">
              <from>
                <xdr:col>2</xdr:col>
                <xdr:colOff>0</xdr:colOff>
                <xdr:row>238</xdr:row>
                <xdr:rowOff>38100</xdr:rowOff>
              </from>
              <to>
                <xdr:col>3</xdr:col>
                <xdr:colOff>9525</xdr:colOff>
                <xdr:row>239</xdr:row>
                <xdr:rowOff>47625</xdr:rowOff>
              </to>
            </anchor>
          </controlPr>
        </control>
      </mc:Choice>
      <mc:Fallback>
        <control shapeId="15633" r:id="rId9" name="ComboBox2"/>
      </mc:Fallback>
    </mc:AlternateContent>
    <mc:AlternateContent xmlns:mc="http://schemas.openxmlformats.org/markup-compatibility/2006">
      <mc:Choice Requires="x14">
        <control shapeId="15961" r:id="rId11" name="cmdTrackChanges">
          <controlPr defaultSize="0" autoLine="0" r:id="rId12">
            <anchor moveWithCells="1">
              <from>
                <xdr:col>1</xdr:col>
                <xdr:colOff>1295400</xdr:colOff>
                <xdr:row>22</xdr:row>
                <xdr:rowOff>85725</xdr:rowOff>
              </from>
              <to>
                <xdr:col>3</xdr:col>
                <xdr:colOff>466725</xdr:colOff>
                <xdr:row>23</xdr:row>
                <xdr:rowOff>209550</xdr:rowOff>
              </to>
            </anchor>
          </controlPr>
        </control>
      </mc:Choice>
      <mc:Fallback>
        <control shapeId="15961" r:id="rId11" name="cmdTrackChanges"/>
      </mc:Fallback>
    </mc:AlternateContent>
    <mc:AlternateContent xmlns:mc="http://schemas.openxmlformats.org/markup-compatibility/2006">
      <mc:Choice Requires="x14">
        <control shapeId="16044" r:id="rId13" name="Label 684">
          <controlPr defaultSize="0" autoFill="0" autoLine="0" autoPict="0" macro="[0]!GoToAbout">
            <anchor moveWithCells="1" sizeWithCells="1">
              <from>
                <xdr:col>10</xdr:col>
                <xdr:colOff>428625</xdr:colOff>
                <xdr:row>0</xdr:row>
                <xdr:rowOff>800100</xdr:rowOff>
              </from>
              <to>
                <xdr:col>12</xdr:col>
                <xdr:colOff>76200</xdr:colOff>
                <xdr:row>1</xdr:row>
                <xdr:rowOff>0</xdr:rowOff>
              </to>
            </anchor>
          </controlPr>
        </control>
      </mc:Choice>
    </mc:AlternateContent>
    <mc:AlternateContent xmlns:mc="http://schemas.openxmlformats.org/markup-compatibility/2006">
      <mc:Choice Requires="x14">
        <control shapeId="16045" r:id="rId14" name="Label 685">
          <controlPr defaultSize="0" autoFill="0" autoLine="0" autoPict="0" macro="[0]!GoToDirectory">
            <anchor moveWithCells="1" sizeWithCells="1">
              <from>
                <xdr:col>12</xdr:col>
                <xdr:colOff>161925</xdr:colOff>
                <xdr:row>0</xdr:row>
                <xdr:rowOff>800100</xdr:rowOff>
              </from>
              <to>
                <xdr:col>13</xdr:col>
                <xdr:colOff>990600</xdr:colOff>
                <xdr:row>1</xdr:row>
                <xdr:rowOff>0</xdr:rowOff>
              </to>
            </anchor>
          </controlPr>
        </control>
      </mc:Choice>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F6">
    <pageSetUpPr fitToPage="1"/>
  </sheetPr>
  <dimension ref="A1:O180"/>
  <sheetViews>
    <sheetView showGridLines="0" zoomScale="80" workbookViewId="0">
      <selection activeCell="A2" sqref="A2"/>
    </sheetView>
  </sheetViews>
  <sheetFormatPr baseColWidth="10" defaultColWidth="8.85546875" defaultRowHeight="12.75" x14ac:dyDescent="0.2"/>
  <cols>
    <col min="1" max="1" width="22.5703125" style="360" customWidth="1"/>
    <col min="2" max="2" width="25.85546875" style="360" customWidth="1"/>
    <col min="3" max="3" width="9.7109375" style="360" customWidth="1"/>
    <col min="4" max="4" width="20.140625" style="360" customWidth="1"/>
    <col min="5" max="5" width="14.85546875" style="360" customWidth="1"/>
    <col min="6" max="6" width="8.5703125" style="360" customWidth="1"/>
    <col min="7" max="7" width="2.85546875" style="360" customWidth="1"/>
    <col min="8" max="8" width="19.5703125" style="360" customWidth="1"/>
    <col min="9" max="12" width="9.140625" style="360" customWidth="1"/>
    <col min="13" max="13" width="2.5703125" style="360" customWidth="1"/>
    <col min="14" max="14" width="16.7109375" style="360" customWidth="1"/>
    <col min="15" max="15" width="13.7109375" style="360" customWidth="1"/>
    <col min="16" max="16384" width="8.85546875" style="361"/>
  </cols>
  <sheetData>
    <row r="1" spans="1:15" ht="102" customHeight="1" x14ac:dyDescent="0.2"/>
    <row r="2" spans="1:15" ht="27.75" customHeight="1" x14ac:dyDescent="0.25">
      <c r="A2" s="362" t="s">
        <v>372</v>
      </c>
      <c r="B2" s="363"/>
      <c r="C2" s="364"/>
      <c r="D2" s="364"/>
      <c r="E2" s="364"/>
      <c r="F2" s="365"/>
      <c r="G2" s="365"/>
      <c r="H2" s="364"/>
      <c r="I2" s="367"/>
      <c r="J2" s="368"/>
      <c r="K2" s="369"/>
      <c r="L2" s="370"/>
      <c r="M2" s="367"/>
      <c r="N2" s="367"/>
      <c r="O2" s="371" t="str">
        <f>About!D2</f>
        <v>Version 4d for Testing</v>
      </c>
    </row>
    <row r="3" spans="1:15" ht="27.75" customHeight="1" x14ac:dyDescent="0.25">
      <c r="A3" s="372" t="s">
        <v>1050</v>
      </c>
      <c r="B3" s="373"/>
      <c r="C3" s="374"/>
      <c r="D3" s="374"/>
      <c r="E3" s="373"/>
      <c r="F3" s="373"/>
      <c r="G3" s="373"/>
      <c r="H3" s="375"/>
      <c r="I3" s="376"/>
      <c r="J3" s="377"/>
      <c r="K3" s="378"/>
      <c r="L3" s="377"/>
      <c r="M3" s="377"/>
      <c r="N3" s="379"/>
      <c r="O3" s="378"/>
    </row>
    <row r="4" spans="1:15" ht="16.5" customHeight="1" x14ac:dyDescent="0.25">
      <c r="A4" s="380" t="s">
        <v>861</v>
      </c>
      <c r="B4" s="381" t="s">
        <v>854</v>
      </c>
      <c r="C4" s="381" t="s">
        <v>1057</v>
      </c>
      <c r="D4" s="381" t="s">
        <v>852</v>
      </c>
      <c r="E4" s="382" t="s">
        <v>1047</v>
      </c>
      <c r="F4" s="383" t="s">
        <v>1125</v>
      </c>
      <c r="G4" s="384"/>
      <c r="H4" s="385" t="s">
        <v>869</v>
      </c>
      <c r="I4" s="386"/>
      <c r="J4" s="387" t="s">
        <v>1063</v>
      </c>
      <c r="K4" s="388"/>
      <c r="L4" s="389"/>
      <c r="M4" s="390"/>
      <c r="N4" s="387" t="s">
        <v>391</v>
      </c>
      <c r="O4" s="391"/>
    </row>
    <row r="5" spans="1:15" ht="16.5" customHeight="1" x14ac:dyDescent="0.25">
      <c r="A5" s="392" t="s">
        <v>862</v>
      </c>
      <c r="B5" s="393" t="s">
        <v>853</v>
      </c>
      <c r="C5" s="393" t="s">
        <v>1062</v>
      </c>
      <c r="D5" s="393" t="s">
        <v>853</v>
      </c>
      <c r="E5" s="394"/>
      <c r="F5" s="395" t="s">
        <v>1126</v>
      </c>
      <c r="G5" s="396"/>
      <c r="H5" s="397" t="s">
        <v>866</v>
      </c>
      <c r="I5" s="390"/>
      <c r="J5" s="398" t="str">
        <f>A72</f>
        <v>Esterification</v>
      </c>
      <c r="K5" s="399"/>
      <c r="L5" s="400"/>
      <c r="M5" s="390"/>
      <c r="N5" s="398" t="s">
        <v>395</v>
      </c>
      <c r="O5" s="400"/>
    </row>
    <row r="6" spans="1:15" ht="16.5" customHeight="1" x14ac:dyDescent="0.35">
      <c r="A6" s="401" t="s">
        <v>170</v>
      </c>
      <c r="B6" s="402"/>
      <c r="C6" s="403"/>
      <c r="D6" s="404"/>
      <c r="E6" s="405">
        <f>IF(F6="A",D7,H6)</f>
        <v>0</v>
      </c>
      <c r="F6" s="406" t="s">
        <v>1127</v>
      </c>
      <c r="G6" s="407"/>
      <c r="H6" s="408">
        <v>0</v>
      </c>
      <c r="I6" s="390"/>
      <c r="J6" s="409">
        <f>F95/F$98</f>
        <v>0.94498210059105825</v>
      </c>
      <c r="K6" s="410" t="s">
        <v>662</v>
      </c>
      <c r="L6" s="411"/>
      <c r="M6" s="390"/>
      <c r="N6" s="412">
        <v>83.8</v>
      </c>
      <c r="O6" s="413" t="s">
        <v>394</v>
      </c>
    </row>
    <row r="7" spans="1:15" ht="12" customHeight="1" x14ac:dyDescent="0.2">
      <c r="A7" s="398" t="str">
        <f>A21</f>
        <v>Collection of waste vegetable or animal oil</v>
      </c>
      <c r="B7" s="414">
        <f>L28</f>
        <v>0</v>
      </c>
      <c r="C7" s="415">
        <f>J6</f>
        <v>0.94498210059105825</v>
      </c>
      <c r="D7" s="416">
        <f>C7*B7</f>
        <v>0</v>
      </c>
      <c r="E7" s="1215"/>
      <c r="F7" s="418"/>
      <c r="G7" s="418"/>
      <c r="H7" s="419">
        <v>0</v>
      </c>
      <c r="I7" s="390"/>
      <c r="J7" s="409">
        <f>F96/F$98</f>
        <v>4.082729118467604E-2</v>
      </c>
      <c r="K7" s="733" t="s">
        <v>317</v>
      </c>
      <c r="L7" s="411"/>
      <c r="M7" s="390"/>
      <c r="N7" s="398" t="s">
        <v>393</v>
      </c>
      <c r="O7" s="400"/>
    </row>
    <row r="8" spans="1:15" ht="16.5" customHeight="1" x14ac:dyDescent="0.35">
      <c r="A8" s="401" t="s">
        <v>544</v>
      </c>
      <c r="B8" s="423"/>
      <c r="C8" s="423"/>
      <c r="D8" s="424"/>
      <c r="E8" s="425">
        <f>IF(F8="A",D9+D10,H8)</f>
        <v>20.123935958357137</v>
      </c>
      <c r="F8" s="406" t="s">
        <v>1127</v>
      </c>
      <c r="G8" s="407"/>
      <c r="H8" s="408">
        <v>13</v>
      </c>
      <c r="I8" s="390"/>
      <c r="J8" s="734">
        <f>F97/F$98</f>
        <v>1.4190608224265587E-2</v>
      </c>
      <c r="K8" s="421" t="s">
        <v>145</v>
      </c>
      <c r="L8" s="422"/>
      <c r="M8" s="390"/>
      <c r="N8" s="426">
        <f>(N6-E17)/N6</f>
        <v>0.74477718194191489</v>
      </c>
      <c r="O8" s="427"/>
    </row>
    <row r="9" spans="1:15" ht="12" customHeight="1" x14ac:dyDescent="0.2">
      <c r="A9" s="398" t="str">
        <f>A41</f>
        <v>Refining of vegetable oil</v>
      </c>
      <c r="B9" s="414">
        <f>L59</f>
        <v>1.0815386882104192</v>
      </c>
      <c r="C9" s="415">
        <f>J6</f>
        <v>0.94498210059105825</v>
      </c>
      <c r="D9" s="416">
        <f>C9*B9</f>
        <v>1.0220347014555795</v>
      </c>
      <c r="E9" s="417"/>
      <c r="F9" s="418"/>
      <c r="G9" s="418"/>
      <c r="H9" s="1429">
        <f>1.4*9.14</f>
        <v>12.795999999999999</v>
      </c>
      <c r="I9" s="390"/>
      <c r="J9" s="390"/>
      <c r="K9" s="390"/>
      <c r="L9" s="390"/>
      <c r="M9" s="390"/>
      <c r="N9" s="390"/>
      <c r="O9" s="1428"/>
    </row>
    <row r="10" spans="1:15" ht="12" customHeight="1" x14ac:dyDescent="0.2">
      <c r="A10" s="398" t="str">
        <f>A72</f>
        <v>Esterification</v>
      </c>
      <c r="B10" s="414">
        <f>L89</f>
        <v>20.214035001249108</v>
      </c>
      <c r="C10" s="415">
        <f>J6</f>
        <v>0.94498210059105825</v>
      </c>
      <c r="D10" s="416">
        <f>C10*B10</f>
        <v>19.101901256901556</v>
      </c>
      <c r="E10" s="417"/>
      <c r="F10" s="418"/>
      <c r="G10" s="418"/>
      <c r="H10" s="1431"/>
      <c r="I10" s="390"/>
      <c r="J10" s="390"/>
      <c r="K10" s="390"/>
      <c r="L10" s="390"/>
      <c r="M10" s="390"/>
      <c r="N10" s="390"/>
      <c r="O10" s="1428"/>
    </row>
    <row r="11" spans="1:15" ht="16.5" customHeight="1" x14ac:dyDescent="0.35">
      <c r="A11" s="401" t="s">
        <v>545</v>
      </c>
      <c r="B11" s="423"/>
      <c r="C11" s="423"/>
      <c r="D11" s="424"/>
      <c r="E11" s="425">
        <f>IF(F11="A",D12+D13+D14+D15, H11)</f>
        <v>1.2637361949103942</v>
      </c>
      <c r="F11" s="406" t="s">
        <v>1127</v>
      </c>
      <c r="G11" s="407"/>
      <c r="H11" s="648">
        <v>1</v>
      </c>
      <c r="I11" s="390"/>
      <c r="J11" s="390"/>
      <c r="K11" s="390"/>
      <c r="L11" s="390"/>
      <c r="M11" s="390"/>
      <c r="N11" s="390"/>
      <c r="O11" s="435"/>
    </row>
    <row r="12" spans="1:15" ht="12" customHeight="1" thickBot="1" x14ac:dyDescent="0.25">
      <c r="A12" s="398" t="str">
        <f>A31</f>
        <v>Transport of waste vegetable or animal oil</v>
      </c>
      <c r="B12" s="414">
        <f>L38</f>
        <v>0</v>
      </c>
      <c r="C12" s="415">
        <f>J6</f>
        <v>0.94498210059105825</v>
      </c>
      <c r="D12" s="416">
        <f>C12*B12</f>
        <v>0</v>
      </c>
      <c r="E12" s="436"/>
      <c r="F12" s="437"/>
      <c r="G12" s="437"/>
      <c r="H12" s="419">
        <v>0</v>
      </c>
      <c r="I12" s="390"/>
      <c r="J12" s="390"/>
      <c r="K12" s="390"/>
      <c r="L12" s="390"/>
      <c r="M12" s="390"/>
      <c r="N12" s="390"/>
      <c r="O12" s="435"/>
    </row>
    <row r="13" spans="1:15" ht="12" customHeight="1" x14ac:dyDescent="0.2">
      <c r="A13" s="398" t="str">
        <f>A62</f>
        <v>Transport of refined oil</v>
      </c>
      <c r="B13" s="414">
        <f>L69</f>
        <v>0</v>
      </c>
      <c r="C13" s="415">
        <f>J6</f>
        <v>0.94498210059105825</v>
      </c>
      <c r="D13" s="416">
        <f>C13*B13</f>
        <v>0</v>
      </c>
      <c r="E13" s="436"/>
      <c r="F13" s="437"/>
      <c r="G13" s="437"/>
      <c r="H13" s="419">
        <v>0</v>
      </c>
      <c r="I13" s="390"/>
      <c r="J13" s="432" t="s">
        <v>140</v>
      </c>
      <c r="K13" s="433"/>
      <c r="L13" s="433"/>
      <c r="M13" s="433"/>
      <c r="N13" s="434"/>
      <c r="O13" s="430"/>
    </row>
    <row r="14" spans="1:15" ht="12" customHeight="1" x14ac:dyDescent="0.2">
      <c r="A14" s="398" t="str">
        <f>A102</f>
        <v>Transport of FAME to depot</v>
      </c>
      <c r="B14" s="414">
        <f>L111</f>
        <v>0.46573714634408603</v>
      </c>
      <c r="C14" s="415">
        <v>1</v>
      </c>
      <c r="D14" s="416">
        <f>C14*B14</f>
        <v>0.46573714634408603</v>
      </c>
      <c r="E14" s="436"/>
      <c r="F14" s="437"/>
      <c r="G14" s="437"/>
      <c r="H14" s="419">
        <f>0.83</f>
        <v>0.83</v>
      </c>
      <c r="I14" s="390"/>
      <c r="J14" s="438"/>
      <c r="K14" s="439"/>
      <c r="L14" s="439"/>
      <c r="M14" s="439"/>
      <c r="N14" s="440"/>
      <c r="O14" s="441"/>
    </row>
    <row r="15" spans="1:15" ht="12" customHeight="1" x14ac:dyDescent="0.2">
      <c r="A15" s="398" t="str">
        <f>A114</f>
        <v>Transport to filling station</v>
      </c>
      <c r="B15" s="414">
        <f>L123</f>
        <v>0.79799904856630821</v>
      </c>
      <c r="C15" s="415">
        <v>1</v>
      </c>
      <c r="D15" s="416">
        <f>C15*B15</f>
        <v>0.79799904856630821</v>
      </c>
      <c r="E15" s="436"/>
      <c r="F15" s="437"/>
      <c r="G15" s="437"/>
      <c r="H15" s="419">
        <f>0.44</f>
        <v>0.44</v>
      </c>
      <c r="I15" s="379"/>
      <c r="J15" s="438"/>
      <c r="K15" s="439"/>
      <c r="L15" s="439"/>
      <c r="M15" s="442"/>
      <c r="N15" s="443"/>
      <c r="O15" s="441"/>
    </row>
    <row r="16" spans="1:15" ht="17.25" customHeight="1" x14ac:dyDescent="0.35">
      <c r="A16" s="444" t="s">
        <v>725</v>
      </c>
      <c r="B16" s="445">
        <f>L141+L147</f>
        <v>0</v>
      </c>
      <c r="C16" s="446">
        <v>1</v>
      </c>
      <c r="D16" s="445">
        <f>C16*B16</f>
        <v>0</v>
      </c>
      <c r="E16" s="425">
        <f>D16</f>
        <v>0</v>
      </c>
      <c r="F16" s="451"/>
      <c r="G16" s="451"/>
      <c r="H16" s="447">
        <v>0</v>
      </c>
      <c r="I16" s="379"/>
      <c r="J16" s="438"/>
      <c r="K16" s="439"/>
      <c r="L16" s="439"/>
      <c r="M16" s="448"/>
      <c r="N16" s="449"/>
      <c r="O16" s="649"/>
    </row>
    <row r="17" spans="1:15" ht="16.5" customHeight="1" x14ac:dyDescent="0.25">
      <c r="A17" s="452" t="s">
        <v>1049</v>
      </c>
      <c r="B17" s="453">
        <f>SUM(B7:B15)-B16</f>
        <v>22.55930988436992</v>
      </c>
      <c r="C17" s="454"/>
      <c r="D17" s="454"/>
      <c r="E17" s="456">
        <f>SUM(E6:E15)-E16</f>
        <v>21.38767215326753</v>
      </c>
      <c r="F17" s="457"/>
      <c r="G17" s="457"/>
      <c r="H17" s="458">
        <v>14</v>
      </c>
      <c r="I17" s="361"/>
      <c r="J17" s="438"/>
      <c r="K17" s="439"/>
      <c r="L17" s="439"/>
      <c r="M17" s="448"/>
      <c r="N17" s="449"/>
      <c r="O17" s="649"/>
    </row>
    <row r="18" spans="1:15" ht="16.5" customHeight="1" thickBot="1" x14ac:dyDescent="0.3">
      <c r="I18" s="379"/>
      <c r="J18" s="459" t="s">
        <v>1</v>
      </c>
      <c r="K18" s="460"/>
      <c r="L18" s="460"/>
      <c r="M18" s="461"/>
      <c r="N18" s="462"/>
      <c r="O18" s="463"/>
    </row>
    <row r="19" spans="1:15" ht="16.5" customHeight="1" x14ac:dyDescent="0.25">
      <c r="A19" s="464"/>
      <c r="B19" s="465"/>
      <c r="E19" s="466" t="s">
        <v>859</v>
      </c>
      <c r="F19" s="467"/>
      <c r="G19" s="467"/>
      <c r="H19" s="468"/>
      <c r="I19" s="469"/>
      <c r="J19" s="470"/>
      <c r="K19" s="433"/>
      <c r="L19" s="471"/>
      <c r="M19" s="433"/>
      <c r="N19" s="433"/>
      <c r="O19" s="472"/>
    </row>
    <row r="20" spans="1:15" ht="22.5" customHeight="1" thickBot="1" x14ac:dyDescent="0.25">
      <c r="A20" s="473" t="s">
        <v>1051</v>
      </c>
      <c r="B20" s="379"/>
      <c r="E20" s="474" t="s">
        <v>860</v>
      </c>
      <c r="F20" s="442"/>
      <c r="G20" s="442"/>
      <c r="H20" s="442"/>
      <c r="I20" s="439"/>
      <c r="J20" s="475"/>
      <c r="K20" s="475"/>
      <c r="L20" s="476"/>
      <c r="M20" s="477"/>
      <c r="N20" s="1205"/>
      <c r="O20" s="1206"/>
    </row>
    <row r="21" spans="1:15" ht="15.75" x14ac:dyDescent="0.25">
      <c r="A21" s="479" t="s">
        <v>823</v>
      </c>
      <c r="B21" s="480"/>
      <c r="C21" s="480"/>
      <c r="D21" s="480"/>
      <c r="E21" s="479" t="s">
        <v>513</v>
      </c>
      <c r="F21" s="481"/>
      <c r="G21" s="481"/>
      <c r="H21" s="480"/>
      <c r="I21" s="482" t="s">
        <v>532</v>
      </c>
      <c r="J21" s="481"/>
      <c r="K21" s="481"/>
      <c r="L21" s="483"/>
      <c r="M21" s="715"/>
      <c r="N21" s="530" t="s">
        <v>162</v>
      </c>
      <c r="O21" s="773"/>
    </row>
    <row r="22" spans="1:15" ht="15.75" x14ac:dyDescent="0.25">
      <c r="A22" s="486"/>
      <c r="B22" s="487" t="s">
        <v>524</v>
      </c>
      <c r="C22" s="488"/>
      <c r="D22" s="488"/>
      <c r="E22" s="489"/>
      <c r="F22" s="490"/>
      <c r="G22" s="490"/>
      <c r="H22" s="491"/>
      <c r="I22" s="492" t="s">
        <v>746</v>
      </c>
      <c r="J22" s="490"/>
      <c r="K22" s="490"/>
      <c r="L22" s="493"/>
      <c r="M22" s="484"/>
      <c r="N22" s="1207" t="s">
        <v>780</v>
      </c>
      <c r="O22" s="1208"/>
    </row>
    <row r="23" spans="1:15" ht="16.5" x14ac:dyDescent="0.3">
      <c r="A23" s="494"/>
      <c r="B23" s="495" t="s">
        <v>303</v>
      </c>
      <c r="C23" s="655">
        <v>1</v>
      </c>
      <c r="D23" s="497" t="s">
        <v>501</v>
      </c>
      <c r="E23" s="505">
        <v>1</v>
      </c>
      <c r="F23" s="506" t="s">
        <v>302</v>
      </c>
      <c r="G23" s="506"/>
      <c r="H23" s="499"/>
      <c r="I23" s="500" t="s">
        <v>1053</v>
      </c>
      <c r="J23" s="500" t="s">
        <v>1054</v>
      </c>
      <c r="K23" s="500" t="s">
        <v>1055</v>
      </c>
      <c r="L23" s="501" t="s">
        <v>1056</v>
      </c>
      <c r="M23" s="379"/>
      <c r="N23" s="699" t="s">
        <v>1056</v>
      </c>
      <c r="O23" s="657"/>
    </row>
    <row r="24" spans="1:15" ht="15.75" x14ac:dyDescent="0.3">
      <c r="A24" s="503"/>
      <c r="B24" s="495" t="s">
        <v>521</v>
      </c>
      <c r="C24" s="658">
        <v>0</v>
      </c>
      <c r="D24" s="497"/>
      <c r="E24" s="513">
        <f>VLOOKUP(B43,'Standard values'!$C$9:$S$162,14, FALSE)</f>
        <v>37.1</v>
      </c>
      <c r="F24" s="506" t="s">
        <v>779</v>
      </c>
      <c r="G24" s="506"/>
      <c r="H24" s="495"/>
      <c r="I24" s="507"/>
      <c r="J24" s="508"/>
      <c r="K24" s="508"/>
      <c r="L24" s="509"/>
      <c r="M24" s="379"/>
      <c r="N24" s="503"/>
      <c r="O24" s="616"/>
    </row>
    <row r="25" spans="1:15" ht="15.75" x14ac:dyDescent="0.3">
      <c r="A25" s="503"/>
      <c r="B25" s="495"/>
      <c r="C25" s="512"/>
      <c r="D25" s="497"/>
      <c r="E25" s="510">
        <f>(1/(E24*(1-C24)))/$E$153</f>
        <v>2.8701836917562725E-2</v>
      </c>
      <c r="F25" s="506" t="s">
        <v>778</v>
      </c>
      <c r="G25" s="506"/>
      <c r="H25" s="495"/>
      <c r="I25" s="508"/>
      <c r="J25" s="508"/>
      <c r="K25" s="508"/>
      <c r="L25" s="509"/>
      <c r="M25" s="379"/>
      <c r="N25" s="1209"/>
      <c r="O25" s="1210"/>
    </row>
    <row r="26" spans="1:15" x14ac:dyDescent="0.2">
      <c r="A26" s="503"/>
      <c r="B26" s="511"/>
      <c r="C26" s="512"/>
      <c r="D26" s="495"/>
      <c r="E26" s="513"/>
      <c r="F26" s="514"/>
      <c r="G26" s="514"/>
      <c r="H26" s="514" t="s">
        <v>1047</v>
      </c>
      <c r="I26" s="515">
        <f>SUM(I24:I25)</f>
        <v>0</v>
      </c>
      <c r="J26" s="515">
        <f>SUM(J24:J25)</f>
        <v>0</v>
      </c>
      <c r="K26" s="515">
        <f>SUM(K24:K25)</f>
        <v>0</v>
      </c>
      <c r="L26" s="516">
        <f>I26*'Standard values'!$D$10+J26*'Standard values'!$D$11+K26*'Standard values'!$D$12</f>
        <v>0</v>
      </c>
      <c r="M26" s="379"/>
      <c r="N26" s="1201">
        <f>+L26/E$25</f>
        <v>0</v>
      </c>
      <c r="O26" s="1212"/>
    </row>
    <row r="27" spans="1:15" x14ac:dyDescent="0.2">
      <c r="A27" s="503"/>
      <c r="B27" s="511"/>
      <c r="C27" s="512"/>
      <c r="D27" s="495"/>
      <c r="E27" s="513"/>
      <c r="F27" s="514"/>
      <c r="G27" s="514"/>
      <c r="H27" s="514"/>
      <c r="I27" s="416"/>
      <c r="J27" s="416"/>
      <c r="K27" s="416"/>
      <c r="L27" s="436"/>
      <c r="M27" s="379"/>
      <c r="N27" s="1211"/>
      <c r="O27" s="1213"/>
    </row>
    <row r="28" spans="1:15" ht="14.25" x14ac:dyDescent="0.25">
      <c r="A28" s="519"/>
      <c r="B28" s="520"/>
      <c r="C28" s="520"/>
      <c r="D28" s="520"/>
      <c r="E28" s="519"/>
      <c r="F28" s="521"/>
      <c r="G28" s="521"/>
      <c r="H28" s="521" t="s">
        <v>534</v>
      </c>
      <c r="I28" s="522"/>
      <c r="J28" s="523" t="s">
        <v>747</v>
      </c>
      <c r="K28" s="524"/>
      <c r="L28" s="525">
        <f>N26*$E25</f>
        <v>0</v>
      </c>
      <c r="M28" s="379"/>
      <c r="N28" s="390"/>
      <c r="O28" s="390"/>
    </row>
    <row r="29" spans="1:15" x14ac:dyDescent="0.2">
      <c r="A29" s="379"/>
      <c r="B29" s="379"/>
      <c r="C29" s="379"/>
      <c r="D29" s="379"/>
      <c r="E29" s="379"/>
      <c r="F29" s="526"/>
      <c r="G29" s="526"/>
      <c r="H29" s="526"/>
      <c r="I29" s="527"/>
      <c r="J29" s="528"/>
      <c r="K29" s="484"/>
      <c r="L29" s="430"/>
      <c r="M29" s="379"/>
      <c r="N29" s="390"/>
      <c r="O29" s="390"/>
    </row>
    <row r="30" spans="1:15" x14ac:dyDescent="0.2">
      <c r="A30" s="390"/>
      <c r="B30" s="390"/>
      <c r="C30" s="390"/>
      <c r="D30" s="379"/>
      <c r="E30" s="379"/>
      <c r="F30" s="551"/>
      <c r="G30" s="551"/>
      <c r="H30" s="437"/>
      <c r="I30" s="378"/>
      <c r="J30" s="379"/>
      <c r="K30" s="379"/>
      <c r="L30" s="586"/>
      <c r="M30" s="379"/>
      <c r="O30" s="390"/>
    </row>
    <row r="31" spans="1:15" ht="15.75" x14ac:dyDescent="0.25">
      <c r="A31" s="530" t="s">
        <v>1213</v>
      </c>
      <c r="B31" s="531"/>
      <c r="C31" s="531"/>
      <c r="D31" s="531"/>
      <c r="E31" s="530" t="s">
        <v>513</v>
      </c>
      <c r="F31" s="532"/>
      <c r="G31" s="532"/>
      <c r="H31" s="531"/>
      <c r="I31" s="532" t="s">
        <v>532</v>
      </c>
      <c r="J31" s="533"/>
      <c r="K31" s="533"/>
      <c r="L31" s="534"/>
      <c r="M31" s="379"/>
      <c r="N31" s="535" t="s">
        <v>162</v>
      </c>
      <c r="O31" s="390"/>
    </row>
    <row r="32" spans="1:15" ht="15.75" x14ac:dyDescent="0.3">
      <c r="A32" s="503"/>
      <c r="B32" s="511" t="s">
        <v>304</v>
      </c>
      <c r="C32" s="593">
        <v>1</v>
      </c>
      <c r="D32" s="495" t="s">
        <v>645</v>
      </c>
      <c r="E32" s="553"/>
      <c r="F32" s="499"/>
      <c r="G32" s="499"/>
      <c r="H32" s="495"/>
      <c r="I32" s="492" t="s">
        <v>746</v>
      </c>
      <c r="J32" s="514"/>
      <c r="K32" s="514"/>
      <c r="L32" s="537"/>
      <c r="M32" s="379"/>
      <c r="N32" s="554" t="s">
        <v>588</v>
      </c>
      <c r="O32" s="390"/>
    </row>
    <row r="33" spans="1:15" ht="15.75" x14ac:dyDescent="0.3">
      <c r="A33" s="503"/>
      <c r="B33" s="495"/>
      <c r="C33" s="495"/>
      <c r="D33" s="495"/>
      <c r="E33" s="505">
        <f>E23*C32</f>
        <v>1</v>
      </c>
      <c r="F33" s="506" t="s">
        <v>302</v>
      </c>
      <c r="G33" s="506"/>
      <c r="H33" s="495"/>
      <c r="I33" s="539" t="s">
        <v>1053</v>
      </c>
      <c r="J33" s="539" t="s">
        <v>1054</v>
      </c>
      <c r="K33" s="539" t="s">
        <v>1055</v>
      </c>
      <c r="L33" s="540" t="s">
        <v>1056</v>
      </c>
      <c r="M33" s="379"/>
      <c r="N33" s="540" t="s">
        <v>1056</v>
      </c>
      <c r="O33" s="390"/>
    </row>
    <row r="34" spans="1:15" x14ac:dyDescent="0.2">
      <c r="A34" s="503"/>
      <c r="B34" s="511" t="s">
        <v>498</v>
      </c>
      <c r="C34" s="495"/>
      <c r="D34" s="495"/>
      <c r="E34" s="505"/>
      <c r="F34" s="506"/>
      <c r="G34" s="506"/>
      <c r="H34" s="495"/>
      <c r="I34" s="539"/>
      <c r="J34" s="539"/>
      <c r="K34" s="539"/>
      <c r="L34" s="540"/>
      <c r="M34" s="379"/>
      <c r="N34" s="541"/>
      <c r="O34" s="390"/>
    </row>
    <row r="35" spans="1:15" ht="15.75" x14ac:dyDescent="0.3">
      <c r="A35" s="503"/>
      <c r="B35" s="495" t="s">
        <v>159</v>
      </c>
      <c r="C35" s="595">
        <v>0</v>
      </c>
      <c r="D35" s="495" t="s">
        <v>510</v>
      </c>
      <c r="E35" s="543">
        <f>(C35*E33)/(VLOOKUP($B32,'Standard values'!$C$9:$S$162,14, FALSE))/(1-$C$24)/1000</f>
        <v>0</v>
      </c>
      <c r="F35" s="506" t="s">
        <v>171</v>
      </c>
      <c r="G35" s="495"/>
      <c r="H35" s="495"/>
      <c r="I35" s="544">
        <f>$E35*VLOOKUP($B35,'Standard values'!$C$9:$S$162,15, FALSE)*VLOOKUP(C36,'Standard values'!$C$9:$S$162,7, FALSE)/$E$153</f>
        <v>0</v>
      </c>
      <c r="J35" s="544">
        <f>$E35*((VLOOKUP($B35,'Standard values'!$C$9:$S$162,15, FALSE)*VLOOKUP(C36,'Standard values'!$C$9:$S$162,8, FALSE))+VLOOKUP($B35,'Standard values'!$C$9:$S$162,16, FALSE))/$E$153</f>
        <v>0</v>
      </c>
      <c r="K35" s="544">
        <f>$E35*((VLOOKUP($B35,'Standard values'!$C$9:$S$162,15, FALSE)*VLOOKUP(C36,'Standard values'!$C$9:$S$162,9, FALSE))+VLOOKUP($B35,'Standard values'!$C$9:$S$162,17, FALSE))/$E$153</f>
        <v>0</v>
      </c>
      <c r="L35" s="516">
        <f>I35*'Standard values'!$D$10+J35*'Standard values'!$D$11+K35*'Standard values'!$D$12</f>
        <v>0</v>
      </c>
      <c r="M35" s="379"/>
      <c r="N35" s="545">
        <f>L35/$E$25</f>
        <v>0</v>
      </c>
      <c r="O35" s="390"/>
    </row>
    <row r="36" spans="1:15" x14ac:dyDescent="0.2">
      <c r="A36" s="503"/>
      <c r="B36" s="546" t="s">
        <v>54</v>
      </c>
      <c r="C36" s="673" t="s">
        <v>509</v>
      </c>
      <c r="D36" s="495"/>
      <c r="E36" s="543"/>
      <c r="F36" s="495"/>
      <c r="G36" s="495"/>
      <c r="H36" s="495"/>
      <c r="I36" s="544"/>
      <c r="J36" s="544"/>
      <c r="K36" s="544"/>
      <c r="L36" s="516"/>
      <c r="M36" s="379"/>
      <c r="N36" s="390"/>
      <c r="O36" s="390"/>
    </row>
    <row r="37" spans="1:15" x14ac:dyDescent="0.2">
      <c r="A37" s="503"/>
      <c r="B37" s="495"/>
      <c r="C37" s="495"/>
      <c r="D37" s="495"/>
      <c r="E37" s="503"/>
      <c r="F37" s="495"/>
      <c r="G37" s="495"/>
      <c r="H37" s="548"/>
      <c r="I37" s="544"/>
      <c r="J37" s="544"/>
      <c r="K37" s="544"/>
      <c r="L37" s="516"/>
      <c r="M37" s="379"/>
      <c r="N37" s="390"/>
      <c r="O37" s="390"/>
    </row>
    <row r="38" spans="1:15" ht="14.25" x14ac:dyDescent="0.25">
      <c r="A38" s="519"/>
      <c r="B38" s="520"/>
      <c r="C38" s="520"/>
      <c r="D38" s="520"/>
      <c r="E38" s="519"/>
      <c r="F38" s="521"/>
      <c r="G38" s="521"/>
      <c r="H38" s="521" t="s">
        <v>534</v>
      </c>
      <c r="I38" s="520"/>
      <c r="J38" s="523" t="s">
        <v>747</v>
      </c>
      <c r="K38" s="549"/>
      <c r="L38" s="525">
        <f>N35*E$25</f>
        <v>0</v>
      </c>
      <c r="M38" s="379"/>
      <c r="N38" s="390"/>
      <c r="O38" s="390"/>
    </row>
    <row r="39" spans="1:15" x14ac:dyDescent="0.2">
      <c r="A39" s="390"/>
      <c r="B39" s="390"/>
      <c r="C39" s="390"/>
      <c r="D39" s="379"/>
      <c r="E39" s="379"/>
      <c r="F39" s="551"/>
      <c r="G39" s="551"/>
      <c r="H39" s="437"/>
      <c r="I39" s="378"/>
      <c r="J39" s="379"/>
      <c r="K39" s="379"/>
      <c r="L39" s="586"/>
      <c r="M39" s="379"/>
      <c r="O39" s="390"/>
    </row>
    <row r="40" spans="1:15" x14ac:dyDescent="0.2">
      <c r="A40" s="390"/>
      <c r="B40" s="390"/>
      <c r="C40" s="390"/>
      <c r="D40" s="379"/>
      <c r="E40" s="379"/>
      <c r="F40" s="551"/>
      <c r="G40" s="551"/>
      <c r="H40" s="437"/>
      <c r="I40" s="378"/>
      <c r="J40" s="379"/>
      <c r="K40" s="379"/>
      <c r="L40" s="586"/>
      <c r="M40" s="379"/>
      <c r="N40" s="379"/>
      <c r="O40" s="379"/>
    </row>
    <row r="41" spans="1:15" ht="15.75" x14ac:dyDescent="0.25">
      <c r="A41" s="530" t="s">
        <v>642</v>
      </c>
      <c r="B41" s="531"/>
      <c r="C41" s="531"/>
      <c r="D41" s="531"/>
      <c r="E41" s="530" t="s">
        <v>513</v>
      </c>
      <c r="F41" s="532"/>
      <c r="G41" s="532"/>
      <c r="H41" s="531"/>
      <c r="I41" s="532" t="s">
        <v>532</v>
      </c>
      <c r="J41" s="533"/>
      <c r="K41" s="533"/>
      <c r="L41" s="534"/>
      <c r="M41" s="379"/>
      <c r="N41" s="485"/>
      <c r="O41" s="379"/>
    </row>
    <row r="42" spans="1:15" x14ac:dyDescent="0.2">
      <c r="A42" s="503"/>
      <c r="B42" s="511" t="s">
        <v>524</v>
      </c>
      <c r="C42" s="495"/>
      <c r="D42" s="495"/>
      <c r="E42" s="553"/>
      <c r="F42" s="499"/>
      <c r="G42" s="499"/>
      <c r="H42" s="495"/>
      <c r="I42" s="492" t="s">
        <v>746</v>
      </c>
      <c r="J42" s="514"/>
      <c r="K42" s="514"/>
      <c r="L42" s="537"/>
      <c r="M42" s="379"/>
      <c r="N42" s="378"/>
      <c r="O42" s="379"/>
    </row>
    <row r="43" spans="1:15" ht="15.75" x14ac:dyDescent="0.3">
      <c r="A43" s="503"/>
      <c r="B43" s="495" t="s">
        <v>304</v>
      </c>
      <c r="C43" s="593">
        <v>0.96</v>
      </c>
      <c r="D43" s="495" t="s">
        <v>645</v>
      </c>
      <c r="E43" s="505">
        <f>E23*C43</f>
        <v>0.96</v>
      </c>
      <c r="F43" s="506" t="s">
        <v>302</v>
      </c>
      <c r="G43" s="506"/>
      <c r="H43" s="495"/>
      <c r="I43" s="539" t="s">
        <v>1053</v>
      </c>
      <c r="J43" s="539" t="s">
        <v>1054</v>
      </c>
      <c r="K43" s="539" t="s">
        <v>1055</v>
      </c>
      <c r="L43" s="540" t="s">
        <v>1056</v>
      </c>
      <c r="M43" s="379"/>
      <c r="N43" s="735"/>
      <c r="O43" s="379"/>
    </row>
    <row r="44" spans="1:15" x14ac:dyDescent="0.2">
      <c r="A44" s="563"/>
      <c r="B44" s="506"/>
      <c r="C44" s="564"/>
      <c r="D44" s="506"/>
      <c r="E44" s="563"/>
      <c r="F44" s="495"/>
      <c r="G44" s="495"/>
      <c r="H44" s="495"/>
      <c r="I44" s="495"/>
      <c r="J44" s="495"/>
      <c r="K44" s="495"/>
      <c r="L44" s="541"/>
      <c r="M44" s="379"/>
      <c r="N44" s="379"/>
      <c r="O44" s="379"/>
    </row>
    <row r="45" spans="1:15" x14ac:dyDescent="0.2">
      <c r="A45" s="563"/>
      <c r="B45" s="511" t="s">
        <v>525</v>
      </c>
      <c r="C45" s="495"/>
      <c r="D45" s="506"/>
      <c r="E45" s="563"/>
      <c r="F45" s="495"/>
      <c r="G45" s="495"/>
      <c r="H45" s="495"/>
      <c r="I45" s="495"/>
      <c r="J45" s="495"/>
      <c r="K45" s="495"/>
      <c r="L45" s="541"/>
      <c r="M45" s="379"/>
      <c r="N45" s="379"/>
      <c r="O45" s="379"/>
    </row>
    <row r="46" spans="1:15" ht="15.75" x14ac:dyDescent="0.3">
      <c r="A46" s="503"/>
      <c r="B46" s="1301" t="s">
        <v>50</v>
      </c>
      <c r="C46" s="676">
        <f>1.4*0.0006</f>
        <v>8.3999999999999993E-4</v>
      </c>
      <c r="D46" s="495" t="s">
        <v>644</v>
      </c>
      <c r="E46" s="513"/>
      <c r="F46" s="495"/>
      <c r="G46" s="495"/>
      <c r="H46" s="495"/>
      <c r="I46" s="544">
        <f>$C46*$E$43*VLOOKUP($B46,'Standard values'!$C$9:$S$162,7, FALSE)/$E$153</f>
        <v>0.10249455984005376</v>
      </c>
      <c r="J46" s="544">
        <f>$C46*$E$43*VLOOKUP($B46,'Standard values'!$C$9:$S$162,8, FALSE)/$E$153</f>
        <v>2.4994903293010755E-4</v>
      </c>
      <c r="K46" s="544">
        <f>$C46*$E$43*VLOOKUP($B46,'Standard values'!$C$9:$S$162,9, FALSE)/$E$153</f>
        <v>4.6273606630824376E-6</v>
      </c>
      <c r="L46" s="419">
        <f>I46*'Standard values'!$D$10+J46*'Standard values'!$D$11+K46*'Standard values'!$D$12</f>
        <v>0.11012223914090501</v>
      </c>
      <c r="M46" s="379"/>
      <c r="N46" s="379"/>
      <c r="O46" s="379"/>
    </row>
    <row r="47" spans="1:15" ht="15.75" x14ac:dyDescent="0.3">
      <c r="A47" s="503"/>
      <c r="B47" s="495" t="s">
        <v>496</v>
      </c>
      <c r="C47" s="675">
        <f>1.4*0.00822222222222222</f>
        <v>1.1511111111111106E-2</v>
      </c>
      <c r="D47" s="495" t="s">
        <v>644</v>
      </c>
      <c r="E47" s="503"/>
      <c r="F47" s="495"/>
      <c r="G47" s="495"/>
      <c r="H47" s="495"/>
      <c r="I47" s="544"/>
      <c r="J47" s="544"/>
      <c r="K47" s="544"/>
      <c r="L47" s="419"/>
      <c r="M47" s="379"/>
      <c r="N47" s="736"/>
      <c r="O47" s="379"/>
    </row>
    <row r="48" spans="1:15" x14ac:dyDescent="0.2">
      <c r="A48" s="503"/>
      <c r="B48" s="571" t="s">
        <v>729</v>
      </c>
      <c r="C48" s="566"/>
      <c r="D48" s="566"/>
      <c r="E48" s="567"/>
      <c r="F48" s="568"/>
      <c r="G48" s="568"/>
      <c r="H48" s="568"/>
      <c r="I48" s="569" t="s">
        <v>830</v>
      </c>
      <c r="J48" s="568"/>
      <c r="K48" s="568"/>
      <c r="L48" s="688"/>
      <c r="M48" s="379"/>
      <c r="N48" s="736"/>
      <c r="O48" s="379"/>
    </row>
    <row r="49" spans="1:15" ht="15.75" x14ac:dyDescent="0.3">
      <c r="A49" s="503"/>
      <c r="B49" s="679" t="s">
        <v>826</v>
      </c>
      <c r="C49" s="573"/>
      <c r="D49" s="566"/>
      <c r="E49" s="567"/>
      <c r="F49" s="568"/>
      <c r="G49" s="568"/>
      <c r="H49" s="568"/>
      <c r="I49" s="574">
        <f>$C47*$E$43*VLOOKUP($B49,'Standard values'!$C$9:$S$159,7, FALSE)/$E$153</f>
        <v>0</v>
      </c>
      <c r="J49" s="574">
        <f>$C47*$E$43*VLOOKUP($B49,'Standard values'!$C$9:$S$159,8, FALSE)/$E$153</f>
        <v>3.2686587348997731E-5</v>
      </c>
      <c r="K49" s="574">
        <f>$C47*$E$43*VLOOKUP($B49,'Standard values'!$C$9:$S$159,9, FALSE)/$E$153</f>
        <v>1.3074634939599093E-5</v>
      </c>
      <c r="L49" s="575">
        <f>I49*'Standard values'!$D$10+J49*'Standard values'!$D$11+K49*'Standard values'!$D$12</f>
        <v>4.7134058957254725E-3</v>
      </c>
      <c r="M49" s="379"/>
      <c r="N49" s="736"/>
      <c r="O49" s="379"/>
    </row>
    <row r="50" spans="1:15" ht="14.25" x14ac:dyDescent="0.25">
      <c r="A50" s="503"/>
      <c r="B50" s="582" t="s">
        <v>828</v>
      </c>
      <c r="C50" s="536">
        <f>1/0.9</f>
        <v>1.1111111111111112</v>
      </c>
      <c r="D50" s="568" t="s">
        <v>419</v>
      </c>
      <c r="E50" s="567"/>
      <c r="F50" s="568"/>
      <c r="G50" s="568"/>
      <c r="H50" s="568"/>
      <c r="I50" s="574"/>
      <c r="J50" s="581"/>
      <c r="K50" s="581"/>
      <c r="L50" s="575"/>
      <c r="M50" s="379"/>
      <c r="N50" s="736"/>
      <c r="O50" s="379"/>
    </row>
    <row r="51" spans="1:15" ht="29.25" customHeight="1" x14ac:dyDescent="0.3">
      <c r="A51" s="503"/>
      <c r="B51" s="680" t="s">
        <v>158</v>
      </c>
      <c r="C51" s="573">
        <f>C50*C47</f>
        <v>1.2790123456790118E-2</v>
      </c>
      <c r="D51" s="568" t="s">
        <v>644</v>
      </c>
      <c r="E51" s="567"/>
      <c r="F51" s="568"/>
      <c r="G51" s="568"/>
      <c r="H51" s="568"/>
      <c r="I51" s="574">
        <f>$C51*$E$43*VLOOKUP($B51,'Standard values'!$C$9:$S$162,7, FALSE)/$E$153</f>
        <v>0.82323131433691732</v>
      </c>
      <c r="J51" s="574">
        <f>$C51*$E$43*VLOOKUP($B51,'Standard values'!$C$9:$S$162,8, FALSE)/$E$153</f>
        <v>2.5905936395600091E-3</v>
      </c>
      <c r="K51" s="574">
        <f>$C51*$E$43*VLOOKUP($B51,'Standard values'!$C$9:$S$162,9, FALSE)/$E$153</f>
        <v>2.9054744310220208E-6</v>
      </c>
      <c r="L51" s="575">
        <f>I51*'Standard values'!$D$10+J51*'Standard values'!$D$11+K51*'Standard values'!$D$12</f>
        <v>0.88886198670636218</v>
      </c>
      <c r="M51" s="379"/>
      <c r="N51" s="736"/>
      <c r="O51" s="379"/>
    </row>
    <row r="52" spans="1:15" ht="14.25" x14ac:dyDescent="0.25">
      <c r="A52" s="503"/>
      <c r="B52" s="582" t="s">
        <v>829</v>
      </c>
      <c r="C52" s="536">
        <v>0.02</v>
      </c>
      <c r="D52" s="568" t="s">
        <v>419</v>
      </c>
      <c r="E52" s="567"/>
      <c r="F52" s="568"/>
      <c r="G52" s="568"/>
      <c r="H52" s="568"/>
      <c r="I52" s="574"/>
      <c r="J52" s="581"/>
      <c r="K52" s="581"/>
      <c r="L52" s="575"/>
      <c r="M52" s="379"/>
      <c r="N52" s="736"/>
      <c r="O52" s="379"/>
    </row>
    <row r="53" spans="1:15" ht="15.75" x14ac:dyDescent="0.3">
      <c r="A53" s="503"/>
      <c r="B53" s="1301" t="s">
        <v>50</v>
      </c>
      <c r="C53" s="573">
        <f>C52*C47</f>
        <v>2.3022222222222213E-4</v>
      </c>
      <c r="D53" s="568" t="s">
        <v>644</v>
      </c>
      <c r="E53" s="567"/>
      <c r="F53" s="568"/>
      <c r="G53" s="568"/>
      <c r="H53" s="568"/>
      <c r="I53" s="574">
        <f>$C53*$E$43*VLOOKUP($B53,'Standard values'!$C$9:$S$162,7, FALSE)/$E$153</f>
        <v>2.8091101585792502E-2</v>
      </c>
      <c r="J53" s="574">
        <f>$C53*$E$43*VLOOKUP($B53,'Standard values'!$C$9:$S$162,8, FALSE)/$E$153</f>
        <v>6.850454976602946E-5</v>
      </c>
      <c r="K53" s="574">
        <f>$C53*$E$43*VLOOKUP($B53,'Standard values'!$C$9:$S$162,9, FALSE)/$E$153</f>
        <v>1.268239589141112E-6</v>
      </c>
      <c r="L53" s="575">
        <f>I53*'Standard values'!$D$10+J53*'Standard values'!$D$11+K53*'Standard values'!$D$12</f>
        <v>3.0181650727507288E-2</v>
      </c>
      <c r="M53" s="379"/>
      <c r="N53" s="736"/>
      <c r="O53" s="379"/>
    </row>
    <row r="54" spans="1:15" x14ac:dyDescent="0.2">
      <c r="A54" s="503"/>
      <c r="B54" s="495"/>
      <c r="C54" s="499"/>
      <c r="D54" s="495"/>
      <c r="E54" s="503"/>
      <c r="F54" s="495"/>
      <c r="G54" s="495"/>
      <c r="H54" s="495"/>
      <c r="I54" s="544"/>
      <c r="J54" s="544"/>
      <c r="K54" s="544"/>
      <c r="L54" s="419"/>
      <c r="M54" s="379"/>
      <c r="N54" s="736"/>
      <c r="O54" s="379"/>
    </row>
    <row r="55" spans="1:15" x14ac:dyDescent="0.2">
      <c r="A55" s="503"/>
      <c r="B55" s="511" t="s">
        <v>641</v>
      </c>
      <c r="C55" s="499"/>
      <c r="D55" s="495"/>
      <c r="E55" s="503"/>
      <c r="F55" s="495"/>
      <c r="G55" s="495"/>
      <c r="H55" s="495"/>
      <c r="I55" s="544"/>
      <c r="J55" s="544"/>
      <c r="K55" s="544"/>
      <c r="L55" s="419"/>
      <c r="M55" s="379"/>
      <c r="N55" s="736"/>
      <c r="O55" s="379"/>
    </row>
    <row r="56" spans="1:15" ht="15.75" x14ac:dyDescent="0.3">
      <c r="A56" s="503"/>
      <c r="B56" s="674" t="s">
        <v>142</v>
      </c>
      <c r="C56" s="675">
        <f>1.4*0.000166666666666667</f>
        <v>2.3333333333333379E-4</v>
      </c>
      <c r="D56" s="495" t="s">
        <v>646</v>
      </c>
      <c r="E56" s="503"/>
      <c r="F56" s="495"/>
      <c r="G56" s="495"/>
      <c r="H56" s="495"/>
      <c r="I56" s="544">
        <f>$C56*$E$43*VLOOKUP($B56,'Standard values'!$C$9:$S$162,3, FALSE)/$E$153</f>
        <v>4.6989177867383602E-2</v>
      </c>
      <c r="J56" s="544">
        <f>$C56*$E$43*VLOOKUP($B56,'Standard values'!$C$9:$S$162,4, FALSE)/$E$153</f>
        <v>8.8969357078853226E-6</v>
      </c>
      <c r="K56" s="544">
        <f>$C56*$E$43*VLOOKUP($B56,'Standard values'!$C$9:$S$162,5, FALSE)/$E$153</f>
        <v>1.5026995967741966E-6</v>
      </c>
      <c r="L56" s="419">
        <f>I56*'Standard values'!$D$10+J56*'Standard values'!$D$11+K56*'Standard values'!$D$12</f>
        <v>4.7659405739919447E-2</v>
      </c>
      <c r="M56" s="379"/>
      <c r="N56" s="736"/>
      <c r="O56" s="379"/>
    </row>
    <row r="57" spans="1:15" x14ac:dyDescent="0.2">
      <c r="A57" s="503"/>
      <c r="B57" s="682"/>
      <c r="C57" s="499"/>
      <c r="D57" s="499"/>
      <c r="E57" s="681"/>
      <c r="F57" s="495"/>
      <c r="G57" s="495"/>
      <c r="H57" s="514" t="s">
        <v>1047</v>
      </c>
      <c r="I57" s="583">
        <f>SUM(I44:I56)</f>
        <v>1.0008061536301471</v>
      </c>
      <c r="J57" s="583">
        <f>SUM(J44:J56)</f>
        <v>2.9506307453130293E-3</v>
      </c>
      <c r="K57" s="583">
        <f>SUM(K44:K56)</f>
        <v>2.3378409219618856E-5</v>
      </c>
      <c r="L57" s="516">
        <f>I57*'Standard values'!$D$10+J57*'Standard values'!$D$11+K57*'Standard values'!$D$12</f>
        <v>1.0815386882104192</v>
      </c>
      <c r="M57" s="379"/>
      <c r="N57" s="517"/>
      <c r="O57" s="379"/>
    </row>
    <row r="58" spans="1:15" x14ac:dyDescent="0.2">
      <c r="A58" s="503"/>
      <c r="B58" s="682"/>
      <c r="C58" s="499"/>
      <c r="D58" s="499"/>
      <c r="E58" s="503"/>
      <c r="F58" s="495"/>
      <c r="G58" s="495"/>
      <c r="H58" s="495"/>
      <c r="I58" s="495"/>
      <c r="J58" s="495"/>
      <c r="K58" s="495"/>
      <c r="L58" s="541"/>
      <c r="M58" s="379"/>
      <c r="N58" s="379"/>
      <c r="O58" s="379"/>
    </row>
    <row r="59" spans="1:15" ht="14.25" x14ac:dyDescent="0.25">
      <c r="A59" s="519"/>
      <c r="B59" s="520"/>
      <c r="C59" s="520"/>
      <c r="D59" s="520"/>
      <c r="E59" s="519"/>
      <c r="F59" s="521"/>
      <c r="G59" s="521"/>
      <c r="H59" s="521" t="s">
        <v>534</v>
      </c>
      <c r="I59" s="520"/>
      <c r="J59" s="523" t="s">
        <v>747</v>
      </c>
      <c r="K59" s="549"/>
      <c r="L59" s="525">
        <f>L57</f>
        <v>1.0815386882104192</v>
      </c>
      <c r="M59" s="379"/>
      <c r="N59" s="379"/>
      <c r="O59" s="379"/>
    </row>
    <row r="60" spans="1:15" x14ac:dyDescent="0.2">
      <c r="A60" s="390"/>
      <c r="B60" s="390"/>
      <c r="C60" s="390"/>
      <c r="D60" s="379"/>
      <c r="E60" s="379"/>
      <c r="F60" s="551"/>
      <c r="G60" s="551"/>
      <c r="H60" s="437"/>
      <c r="I60" s="378"/>
      <c r="J60" s="379"/>
      <c r="K60" s="379"/>
      <c r="L60" s="586"/>
      <c r="M60" s="379"/>
      <c r="N60" s="379"/>
      <c r="O60" s="379"/>
    </row>
    <row r="61" spans="1:15" x14ac:dyDescent="0.2">
      <c r="A61" s="390"/>
      <c r="B61" s="390"/>
      <c r="C61" s="390"/>
      <c r="D61" s="379"/>
      <c r="E61" s="379"/>
      <c r="F61" s="551"/>
      <c r="G61" s="551"/>
      <c r="H61" s="437"/>
      <c r="I61" s="378"/>
      <c r="J61" s="379"/>
      <c r="K61" s="379"/>
      <c r="L61" s="586"/>
      <c r="M61" s="379"/>
      <c r="N61" s="379"/>
      <c r="O61" s="379"/>
    </row>
    <row r="62" spans="1:15" ht="15.75" x14ac:dyDescent="0.25">
      <c r="A62" s="530" t="s">
        <v>1214</v>
      </c>
      <c r="B62" s="531"/>
      <c r="C62" s="531"/>
      <c r="D62" s="531"/>
      <c r="E62" s="530" t="s">
        <v>513</v>
      </c>
      <c r="F62" s="532"/>
      <c r="G62" s="532"/>
      <c r="H62" s="531"/>
      <c r="I62" s="532" t="s">
        <v>532</v>
      </c>
      <c r="J62" s="533"/>
      <c r="K62" s="533"/>
      <c r="L62" s="534"/>
      <c r="M62" s="379"/>
      <c r="N62" s="379"/>
      <c r="O62" s="379"/>
    </row>
    <row r="63" spans="1:15" ht="15.75" x14ac:dyDescent="0.3">
      <c r="A63" s="503"/>
      <c r="B63" s="511" t="s">
        <v>1210</v>
      </c>
      <c r="C63" s="593">
        <v>1</v>
      </c>
      <c r="D63" s="495" t="s">
        <v>645</v>
      </c>
      <c r="E63" s="553"/>
      <c r="F63" s="499"/>
      <c r="G63" s="499"/>
      <c r="H63" s="495"/>
      <c r="I63" s="492" t="s">
        <v>746</v>
      </c>
      <c r="J63" s="514"/>
      <c r="K63" s="514"/>
      <c r="L63" s="537"/>
      <c r="M63" s="379"/>
      <c r="N63" s="379"/>
      <c r="O63" s="379"/>
    </row>
    <row r="64" spans="1:15" ht="15.75" x14ac:dyDescent="0.3">
      <c r="A64" s="503"/>
      <c r="B64" s="495"/>
      <c r="C64" s="495"/>
      <c r="D64" s="495"/>
      <c r="E64" s="505">
        <f>E43*C63</f>
        <v>0.96</v>
      </c>
      <c r="F64" s="506" t="s">
        <v>302</v>
      </c>
      <c r="G64" s="506"/>
      <c r="H64" s="495"/>
      <c r="I64" s="539" t="s">
        <v>1053</v>
      </c>
      <c r="J64" s="539" t="s">
        <v>1054</v>
      </c>
      <c r="K64" s="539" t="s">
        <v>1055</v>
      </c>
      <c r="L64" s="540" t="s">
        <v>1056</v>
      </c>
      <c r="M64" s="379"/>
      <c r="N64" s="379"/>
      <c r="O64" s="379"/>
    </row>
    <row r="65" spans="1:15" x14ac:dyDescent="0.2">
      <c r="A65" s="503"/>
      <c r="B65" s="511" t="s">
        <v>498</v>
      </c>
      <c r="C65" s="495"/>
      <c r="D65" s="495"/>
      <c r="E65" s="505"/>
      <c r="F65" s="506"/>
      <c r="G65" s="506"/>
      <c r="H65" s="495"/>
      <c r="I65" s="539"/>
      <c r="J65" s="539"/>
      <c r="K65" s="539"/>
      <c r="L65" s="540"/>
      <c r="M65" s="379"/>
      <c r="N65" s="379"/>
      <c r="O65" s="379"/>
    </row>
    <row r="66" spans="1:15" ht="15.75" x14ac:dyDescent="0.3">
      <c r="A66" s="503"/>
      <c r="B66" s="495" t="s">
        <v>159</v>
      </c>
      <c r="C66" s="595">
        <v>0</v>
      </c>
      <c r="D66" s="495" t="s">
        <v>510</v>
      </c>
      <c r="E66" s="543">
        <f>(C66*E64)/(VLOOKUP($B63,'Standard values'!$C$9:$S$162,14, FALSE))/1000</f>
        <v>0</v>
      </c>
      <c r="F66" s="506" t="s">
        <v>171</v>
      </c>
      <c r="G66" s="495"/>
      <c r="H66" s="495"/>
      <c r="I66" s="544">
        <f>$E66*VLOOKUP($B66,'Standard values'!$C$9:$S$162,15, FALSE)*VLOOKUP(C67,'Standard values'!$C$9:$S$162,7, FALSE)/$E$153</f>
        <v>0</v>
      </c>
      <c r="J66" s="544">
        <f>$E66*((VLOOKUP($B66,'Standard values'!$C$9:$S$162,15, FALSE)*VLOOKUP(C67,'Standard values'!$C$9:$S$162,8, FALSE))+VLOOKUP($B66,'Standard values'!$C$9:$S$162,16, FALSE))/$E$153</f>
        <v>0</v>
      </c>
      <c r="K66" s="544">
        <f>$E66*((VLOOKUP($B66,'Standard values'!$C$9:$S$162,15, FALSE)*VLOOKUP(C67,'Standard values'!$C$9:$S$162,9, FALSE))+VLOOKUP($B66,'Standard values'!$C$9:$S$162,17, FALSE))/$E$153</f>
        <v>0</v>
      </c>
      <c r="L66" s="516">
        <f>I66*'Standard values'!$D$10+J66*'Standard values'!$D$11+K66*'Standard values'!$D$12</f>
        <v>0</v>
      </c>
      <c r="M66" s="379"/>
      <c r="N66" s="379"/>
      <c r="O66" s="379"/>
    </row>
    <row r="67" spans="1:15" x14ac:dyDescent="0.2">
      <c r="A67" s="503"/>
      <c r="B67" s="546" t="s">
        <v>54</v>
      </c>
      <c r="C67" s="673" t="s">
        <v>509</v>
      </c>
      <c r="D67" s="495"/>
      <c r="E67" s="543"/>
      <c r="F67" s="495"/>
      <c r="G67" s="495"/>
      <c r="H67" s="495"/>
      <c r="I67" s="544"/>
      <c r="J67" s="544"/>
      <c r="K67" s="544"/>
      <c r="L67" s="516"/>
      <c r="M67" s="379"/>
      <c r="N67" s="379"/>
      <c r="O67" s="379"/>
    </row>
    <row r="68" spans="1:15" x14ac:dyDescent="0.2">
      <c r="A68" s="503"/>
      <c r="B68" s="495"/>
      <c r="C68" s="495"/>
      <c r="D68" s="495"/>
      <c r="E68" s="503"/>
      <c r="F68" s="495"/>
      <c r="G68" s="495"/>
      <c r="H68" s="548"/>
      <c r="I68" s="544"/>
      <c r="J68" s="544"/>
      <c r="K68" s="544"/>
      <c r="L68" s="516"/>
      <c r="M68" s="379"/>
      <c r="N68" s="379"/>
      <c r="O68" s="379"/>
    </row>
    <row r="69" spans="1:15" ht="14.25" x14ac:dyDescent="0.25">
      <c r="A69" s="519"/>
      <c r="B69" s="520"/>
      <c r="C69" s="520"/>
      <c r="D69" s="520"/>
      <c r="E69" s="519"/>
      <c r="F69" s="521"/>
      <c r="G69" s="521"/>
      <c r="H69" s="521" t="s">
        <v>534</v>
      </c>
      <c r="I69" s="520"/>
      <c r="J69" s="523" t="s">
        <v>747</v>
      </c>
      <c r="K69" s="549"/>
      <c r="L69" s="525">
        <f>L66</f>
        <v>0</v>
      </c>
      <c r="M69" s="379"/>
      <c r="N69" s="390"/>
      <c r="O69" s="390"/>
    </row>
    <row r="70" spans="1:15" x14ac:dyDescent="0.2">
      <c r="A70" s="390"/>
      <c r="B70" s="390"/>
      <c r="C70" s="390"/>
      <c r="D70" s="379"/>
      <c r="E70" s="379"/>
      <c r="F70" s="551"/>
      <c r="G70" s="551"/>
      <c r="H70" s="437"/>
      <c r="I70" s="378"/>
      <c r="J70" s="379"/>
      <c r="K70" s="379"/>
      <c r="L70" s="586"/>
      <c r="M70" s="379"/>
      <c r="O70" s="390"/>
    </row>
    <row r="71" spans="1:15" x14ac:dyDescent="0.2">
      <c r="A71" s="390"/>
      <c r="B71" s="390"/>
      <c r="C71" s="390"/>
      <c r="D71" s="379"/>
      <c r="E71" s="379"/>
      <c r="F71" s="551"/>
      <c r="G71" s="551"/>
      <c r="H71" s="437"/>
      <c r="I71" s="378"/>
      <c r="J71" s="379"/>
      <c r="K71" s="379"/>
      <c r="L71" s="586"/>
      <c r="M71" s="379"/>
      <c r="N71" s="379"/>
      <c r="O71" s="379"/>
    </row>
    <row r="72" spans="1:15" ht="15.75" x14ac:dyDescent="0.25">
      <c r="A72" s="530" t="s">
        <v>647</v>
      </c>
      <c r="B72" s="531"/>
      <c r="C72" s="531"/>
      <c r="D72" s="531"/>
      <c r="E72" s="530" t="s">
        <v>513</v>
      </c>
      <c r="F72" s="532"/>
      <c r="G72" s="532"/>
      <c r="H72" s="531"/>
      <c r="I72" s="532" t="s">
        <v>532</v>
      </c>
      <c r="J72" s="533"/>
      <c r="K72" s="533"/>
      <c r="L72" s="534"/>
      <c r="M72" s="379"/>
      <c r="N72" s="485"/>
      <c r="O72" s="379"/>
    </row>
    <row r="73" spans="1:15" x14ac:dyDescent="0.2">
      <c r="A73" s="503"/>
      <c r="B73" s="511" t="s">
        <v>524</v>
      </c>
      <c r="C73" s="495"/>
      <c r="D73" s="495"/>
      <c r="E73" s="553"/>
      <c r="F73" s="499"/>
      <c r="G73" s="499"/>
      <c r="H73" s="495"/>
      <c r="I73" s="492" t="s">
        <v>746</v>
      </c>
      <c r="J73" s="514"/>
      <c r="K73" s="514"/>
      <c r="L73" s="537"/>
      <c r="M73" s="379"/>
      <c r="N73" s="378"/>
      <c r="O73" s="379"/>
    </row>
    <row r="74" spans="1:15" ht="15.75" x14ac:dyDescent="0.3">
      <c r="A74" s="503"/>
      <c r="B74" s="495" t="s">
        <v>1094</v>
      </c>
      <c r="C74" s="675">
        <v>0.97823943199000718</v>
      </c>
      <c r="D74" s="495" t="s">
        <v>649</v>
      </c>
      <c r="E74" s="505">
        <f>E64*C74</f>
        <v>0.93910985471040687</v>
      </c>
      <c r="F74" s="506" t="s">
        <v>302</v>
      </c>
      <c r="G74" s="506"/>
      <c r="H74" s="495"/>
      <c r="I74" s="539" t="s">
        <v>1053</v>
      </c>
      <c r="J74" s="539" t="s">
        <v>1054</v>
      </c>
      <c r="K74" s="539" t="s">
        <v>1055</v>
      </c>
      <c r="L74" s="540" t="s">
        <v>1056</v>
      </c>
      <c r="M74" s="379"/>
      <c r="N74" s="735"/>
      <c r="O74" s="379"/>
    </row>
    <row r="75" spans="1:15" ht="15.75" x14ac:dyDescent="0.3">
      <c r="A75" s="563"/>
      <c r="B75" s="495" t="s">
        <v>128</v>
      </c>
      <c r="C75" s="675">
        <v>4.3204301075268806E-2</v>
      </c>
      <c r="D75" s="495" t="s">
        <v>651</v>
      </c>
      <c r="E75" s="513"/>
      <c r="F75" s="495"/>
      <c r="G75" s="495"/>
      <c r="H75" s="495"/>
      <c r="I75" s="495"/>
      <c r="J75" s="495"/>
      <c r="K75" s="495"/>
      <c r="L75" s="541"/>
      <c r="M75" s="379"/>
      <c r="N75" s="379"/>
      <c r="O75" s="379"/>
    </row>
    <row r="76" spans="1:15" ht="15.75" x14ac:dyDescent="0.3">
      <c r="A76" s="563"/>
      <c r="B76" s="495" t="s">
        <v>132</v>
      </c>
      <c r="C76" s="737">
        <v>1.5016801075268814E-2</v>
      </c>
      <c r="D76" s="495" t="s">
        <v>651</v>
      </c>
      <c r="E76" s="513"/>
      <c r="F76" s="495"/>
      <c r="G76" s="495"/>
      <c r="H76" s="495"/>
      <c r="I76" s="495"/>
      <c r="J76" s="495"/>
      <c r="K76" s="495"/>
      <c r="L76" s="541"/>
      <c r="M76" s="379"/>
      <c r="N76" s="379"/>
      <c r="O76" s="379"/>
    </row>
    <row r="77" spans="1:15" x14ac:dyDescent="0.2">
      <c r="A77" s="563"/>
      <c r="B77" s="506"/>
      <c r="C77" s="564"/>
      <c r="D77" s="506"/>
      <c r="E77" s="563"/>
      <c r="F77" s="682"/>
      <c r="G77" s="682"/>
      <c r="H77" s="495"/>
      <c r="I77" s="495"/>
      <c r="J77" s="495"/>
      <c r="K77" s="495"/>
      <c r="L77" s="541"/>
      <c r="M77" s="379"/>
      <c r="N77" s="379"/>
      <c r="O77" s="379"/>
    </row>
    <row r="78" spans="1:15" x14ac:dyDescent="0.2">
      <c r="A78" s="503"/>
      <c r="B78" s="511" t="s">
        <v>525</v>
      </c>
      <c r="C78" s="564"/>
      <c r="D78" s="495"/>
      <c r="E78" s="513"/>
      <c r="F78" s="682"/>
      <c r="G78" s="682"/>
      <c r="H78" s="495"/>
      <c r="I78" s="495"/>
      <c r="J78" s="495"/>
      <c r="K78" s="495"/>
      <c r="L78" s="541"/>
      <c r="M78" s="379"/>
      <c r="N78" s="379"/>
      <c r="O78" s="379"/>
    </row>
    <row r="79" spans="1:15" ht="15.75" x14ac:dyDescent="0.3">
      <c r="A79" s="503"/>
      <c r="B79" s="1301" t="s">
        <v>50</v>
      </c>
      <c r="C79" s="676">
        <f>1.4*0.00406947890818859</f>
        <v>5.6972704714640257E-3</v>
      </c>
      <c r="D79" s="495" t="s">
        <v>651</v>
      </c>
      <c r="E79" s="503"/>
      <c r="F79" s="495"/>
      <c r="G79" s="495"/>
      <c r="H79" s="495"/>
      <c r="I79" s="544">
        <f>$C79*$E$74*VLOOKUP($B79,'Standard values'!$C$9:$S$162,7, FALSE)/$E$153</f>
        <v>0.68003854755996762</v>
      </c>
      <c r="J79" s="544">
        <f>$C79*$E$74*VLOOKUP($B79,'Standard values'!$C$9:$S$162,8, FALSE)/$E$153</f>
        <v>1.6583804797353201E-3</v>
      </c>
      <c r="K79" s="544">
        <f>$C79*$E$74*VLOOKUP($B79,'Standard values'!$C$9:$S$162,9, FALSE)/$E$153</f>
        <v>3.070195754066725E-5</v>
      </c>
      <c r="L79" s="419">
        <f>I79*'Standard values'!$D$10+J79*'Standard values'!$D$11+K79*'Standard values'!$D$12</f>
        <v>0.73064724290046956</v>
      </c>
      <c r="M79" s="379"/>
      <c r="N79" s="736"/>
      <c r="O79" s="379"/>
    </row>
    <row r="80" spans="1:15" ht="15.75" x14ac:dyDescent="0.3">
      <c r="A80" s="503"/>
      <c r="B80" s="495" t="s">
        <v>158</v>
      </c>
      <c r="C80" s="675">
        <f>1.4*0.0981429280397022</f>
        <v>0.13740009925558308</v>
      </c>
      <c r="D80" s="495" t="s">
        <v>651</v>
      </c>
      <c r="E80" s="503"/>
      <c r="F80" s="495"/>
      <c r="G80" s="495"/>
      <c r="H80" s="495"/>
      <c r="I80" s="544">
        <f>$C80*$E$74*VLOOKUP($B80,'Standard values'!$C$9:$S$162,7, FALSE)/$E$153</f>
        <v>8.6512598495285324</v>
      </c>
      <c r="J80" s="544">
        <f>$C80*$E$74*VLOOKUP($B80,'Standard values'!$C$9:$S$162,8, FALSE)/$E$153</f>
        <v>2.7224302999724281E-2</v>
      </c>
      <c r="K80" s="544">
        <f>$C80*$E$74*VLOOKUP($B80,'Standard values'!$C$9:$S$162,9, FALSE)/$E$153</f>
        <v>3.0533355390129577E-5</v>
      </c>
      <c r="L80" s="419">
        <f>I80*'Standard values'!$D$10+J80*'Standard values'!$D$11+K80*'Standard values'!$D$12</f>
        <v>9.3409663644278993</v>
      </c>
      <c r="M80" s="379"/>
      <c r="N80" s="736"/>
      <c r="O80" s="379"/>
    </row>
    <row r="81" spans="1:15" x14ac:dyDescent="0.2">
      <c r="A81" s="503"/>
      <c r="B81" s="495"/>
      <c r="C81" s="499"/>
      <c r="D81" s="495"/>
      <c r="E81" s="503"/>
      <c r="F81" s="495"/>
      <c r="G81" s="495"/>
      <c r="H81" s="495"/>
      <c r="I81" s="544"/>
      <c r="J81" s="544"/>
      <c r="K81" s="544"/>
      <c r="L81" s="419"/>
      <c r="M81" s="379"/>
      <c r="N81" s="736"/>
      <c r="O81" s="379"/>
    </row>
    <row r="82" spans="1:15" x14ac:dyDescent="0.2">
      <c r="A82" s="503"/>
      <c r="B82" s="511" t="s">
        <v>641</v>
      </c>
      <c r="C82" s="499"/>
      <c r="D82" s="495"/>
      <c r="E82" s="503"/>
      <c r="F82" s="495"/>
      <c r="G82" s="495"/>
      <c r="H82" s="495"/>
      <c r="I82" s="544"/>
      <c r="J82" s="544"/>
      <c r="K82" s="544"/>
      <c r="L82" s="419"/>
      <c r="M82" s="379"/>
      <c r="N82" s="736"/>
      <c r="O82" s="379"/>
    </row>
    <row r="83" spans="1:15" ht="15.75" x14ac:dyDescent="0.3">
      <c r="A83" s="503"/>
      <c r="B83" s="674" t="s">
        <v>241</v>
      </c>
      <c r="C83" s="738">
        <f>1.4*0.000391183354342462</f>
        <v>5.4765669607944668E-4</v>
      </c>
      <c r="D83" s="495" t="s">
        <v>652</v>
      </c>
      <c r="E83" s="503"/>
      <c r="F83" s="495"/>
      <c r="G83" s="495"/>
      <c r="H83" s="495"/>
      <c r="I83" s="544">
        <f>$C83*$E$74*VLOOKUP($B83,'Standard values'!$C$9:$S$162,3, FALSE)/$E$153</f>
        <v>1.5202949883165442</v>
      </c>
      <c r="J83" s="544">
        <f>$C83*$E$74*VLOOKUP($B83,'Standard values'!$C$9:$S$162,4, FALSE)/$E$153</f>
        <v>4.8888217945620054E-3</v>
      </c>
      <c r="K83" s="544">
        <f>$C83*$E$74*VLOOKUP($B83,'Standard values'!$C$9:$S$162,5, FALSE)/$E$153</f>
        <v>5.6299108356967127E-5</v>
      </c>
      <c r="L83" s="419">
        <f>I83*'Standard values'!$D$10+J83*'Standard values'!$D$11+K83*'Standard values'!$D$12</f>
        <v>1.6592926674709705</v>
      </c>
      <c r="M83" s="379"/>
      <c r="N83" s="736"/>
      <c r="O83" s="379"/>
    </row>
    <row r="84" spans="1:15" ht="15.75" x14ac:dyDescent="0.3">
      <c r="A84" s="503"/>
      <c r="B84" s="674" t="s">
        <v>1108</v>
      </c>
      <c r="C84" s="738">
        <f>1.4*0.000363937138130687</f>
        <v>5.0951199338296175E-4</v>
      </c>
      <c r="D84" s="495" t="s">
        <v>652</v>
      </c>
      <c r="E84" s="503"/>
      <c r="F84" s="495"/>
      <c r="G84" s="495"/>
      <c r="H84" s="495"/>
      <c r="I84" s="544">
        <f>$C84*$E$74*VLOOKUP($B84,'Standard values'!$C$9:$S$162,3, FALSE)/$E$153</f>
        <v>0</v>
      </c>
      <c r="J84" s="544">
        <f>$C84*$E$74*VLOOKUP($B84,'Standard values'!$C$9:$S$162,4, FALSE)/$E$153</f>
        <v>0</v>
      </c>
      <c r="K84" s="544">
        <f>$C84*$E$74*VLOOKUP($B84,'Standard values'!$C$9:$S$162,5, FALSE)/$E$153</f>
        <v>0</v>
      </c>
      <c r="L84" s="419">
        <f>I84*'Standard values'!$D$10+J84*'Standard values'!$D$11+K84*'Standard values'!$D$12</f>
        <v>0</v>
      </c>
      <c r="M84" s="379"/>
      <c r="N84" s="736"/>
      <c r="O84" s="379"/>
    </row>
    <row r="85" spans="1:15" ht="15.75" x14ac:dyDescent="0.3">
      <c r="A85" s="503"/>
      <c r="B85" s="674" t="s">
        <v>319</v>
      </c>
      <c r="C85" s="738">
        <f>-1.4*0.000716845878136201</f>
        <v>-1.0035842293906814E-3</v>
      </c>
      <c r="D85" s="495" t="s">
        <v>652</v>
      </c>
      <c r="E85" s="541" t="s">
        <v>626</v>
      </c>
      <c r="F85" s="503"/>
      <c r="G85" s="495"/>
      <c r="H85" s="495"/>
      <c r="I85" s="544"/>
      <c r="J85" s="544"/>
      <c r="K85" s="544"/>
      <c r="L85" s="419"/>
      <c r="M85" s="379"/>
      <c r="N85" s="736"/>
      <c r="O85" s="379"/>
    </row>
    <row r="86" spans="1:15" ht="15.75" x14ac:dyDescent="0.3">
      <c r="A86" s="503"/>
      <c r="B86" s="674" t="s">
        <v>500</v>
      </c>
      <c r="C86" s="672">
        <f>1.4*0.0605045492142266</f>
        <v>8.4706368899917228E-2</v>
      </c>
      <c r="D86" s="495" t="s">
        <v>651</v>
      </c>
      <c r="E86" s="503"/>
      <c r="F86" s="495"/>
      <c r="G86" s="495"/>
      <c r="H86" s="495"/>
      <c r="I86" s="544">
        <f>$C86*$E$74*VLOOKUP($B86,'Standard values'!$C$9:$S$162,7, FALSE)/$E$153</f>
        <v>7.8605345620806863</v>
      </c>
      <c r="J86" s="544">
        <f>$C86*$E$74*VLOOKUP($B86,'Standard values'!$C$9:$S$162,8, FALSE)/$E$153</f>
        <v>2.4567199935667659E-2</v>
      </c>
      <c r="K86" s="544">
        <f>$C86*$E$74*VLOOKUP($B86,'Standard values'!$C$9:$S$162,9, FALSE)/$E$153</f>
        <v>2.8235456299972409E-5</v>
      </c>
      <c r="L86" s="419">
        <f>I86*'Standard values'!$D$10+J86*'Standard values'!$D$11+K86*'Standard values'!$D$12</f>
        <v>8.4831287264497703</v>
      </c>
      <c r="M86" s="379"/>
      <c r="N86" s="736"/>
      <c r="O86" s="379"/>
    </row>
    <row r="87" spans="1:15" x14ac:dyDescent="0.2">
      <c r="A87" s="503"/>
      <c r="B87" s="682"/>
      <c r="C87" s="499"/>
      <c r="D87" s="499"/>
      <c r="E87" s="681"/>
      <c r="F87" s="495"/>
      <c r="G87" s="495"/>
      <c r="H87" s="514" t="s">
        <v>1047</v>
      </c>
      <c r="I87" s="583">
        <f>SUM(I75:I86)</f>
        <v>18.71212794748573</v>
      </c>
      <c r="J87" s="583">
        <f>SUM(J75:J86)</f>
        <v>5.8338705209689271E-2</v>
      </c>
      <c r="K87" s="583">
        <f>SUM(K75:K86)</f>
        <v>1.4576987758773636E-4</v>
      </c>
      <c r="L87" s="516">
        <f>I87*'Standard values'!$D$10+J87*'Standard values'!$D$11+K87*'Standard values'!$D$12</f>
        <v>20.214035001249108</v>
      </c>
      <c r="M87" s="379"/>
      <c r="N87" s="517"/>
      <c r="O87" s="379"/>
    </row>
    <row r="88" spans="1:15" x14ac:dyDescent="0.2">
      <c r="A88" s="503"/>
      <c r="B88" s="682"/>
      <c r="C88" s="499"/>
      <c r="D88" s="499"/>
      <c r="E88" s="503"/>
      <c r="F88" s="495"/>
      <c r="G88" s="495"/>
      <c r="H88" s="495"/>
      <c r="I88" s="495"/>
      <c r="J88" s="495"/>
      <c r="K88" s="495"/>
      <c r="L88" s="541"/>
      <c r="M88" s="379"/>
      <c r="N88" s="379"/>
      <c r="O88" s="379"/>
    </row>
    <row r="89" spans="1:15" ht="14.25" x14ac:dyDescent="0.25">
      <c r="A89" s="519"/>
      <c r="B89" s="520"/>
      <c r="C89" s="520"/>
      <c r="D89" s="520"/>
      <c r="E89" s="519"/>
      <c r="F89" s="521"/>
      <c r="G89" s="521"/>
      <c r="H89" s="521" t="s">
        <v>534</v>
      </c>
      <c r="I89" s="520"/>
      <c r="J89" s="523" t="s">
        <v>747</v>
      </c>
      <c r="K89" s="549"/>
      <c r="L89" s="525">
        <f>L87</f>
        <v>20.214035001249108</v>
      </c>
      <c r="M89" s="379"/>
      <c r="N89" s="379"/>
      <c r="O89" s="379"/>
    </row>
    <row r="90" spans="1:15" x14ac:dyDescent="0.2">
      <c r="A90" s="390"/>
      <c r="B90" s="390"/>
      <c r="C90" s="390"/>
      <c r="D90" s="379"/>
      <c r="E90" s="379"/>
      <c r="F90" s="551"/>
      <c r="G90" s="551"/>
      <c r="H90" s="437"/>
      <c r="I90" s="378"/>
      <c r="J90" s="379"/>
      <c r="K90" s="379"/>
      <c r="L90" s="586"/>
      <c r="M90" s="379"/>
      <c r="N90" s="379"/>
      <c r="O90" s="379"/>
    </row>
    <row r="91" spans="1:15" x14ac:dyDescent="0.2">
      <c r="A91" s="390"/>
      <c r="B91" s="390"/>
      <c r="C91" s="390"/>
      <c r="D91" s="379"/>
      <c r="E91" s="379"/>
      <c r="F91" s="551"/>
      <c r="G91" s="551"/>
      <c r="H91" s="437"/>
      <c r="I91" s="378"/>
      <c r="J91" s="379"/>
      <c r="K91" s="379"/>
      <c r="L91" s="586"/>
      <c r="M91" s="379"/>
      <c r="N91" s="379"/>
      <c r="O91" s="379"/>
    </row>
    <row r="92" spans="1:15" ht="15.75" x14ac:dyDescent="0.25">
      <c r="A92" s="530" t="s">
        <v>1057</v>
      </c>
      <c r="B92" s="531"/>
      <c r="C92" s="531"/>
      <c r="D92" s="531"/>
      <c r="E92" s="608" t="s">
        <v>526</v>
      </c>
      <c r="F92" s="606"/>
      <c r="G92" s="606"/>
      <c r="H92" s="606"/>
      <c r="I92" s="607"/>
      <c r="J92" s="608" t="s">
        <v>747</v>
      </c>
      <c r="K92" s="607"/>
      <c r="L92" s="609">
        <f>L28+L38+L59+L69+L89</f>
        <v>21.295573689459527</v>
      </c>
      <c r="M92" s="379"/>
      <c r="N92" s="390"/>
      <c r="O92" s="390"/>
    </row>
    <row r="93" spans="1:15" ht="15.75" x14ac:dyDescent="0.25">
      <c r="A93" s="610" t="s">
        <v>937</v>
      </c>
      <c r="B93" s="611"/>
      <c r="C93" s="611"/>
      <c r="D93" s="611"/>
      <c r="E93" s="613"/>
      <c r="F93" s="613"/>
      <c r="G93" s="613"/>
      <c r="H93" s="613"/>
      <c r="I93" s="613"/>
      <c r="J93" s="613"/>
      <c r="K93" s="613"/>
      <c r="L93" s="614"/>
      <c r="M93" s="379"/>
      <c r="N93" s="390"/>
      <c r="O93" s="390"/>
    </row>
    <row r="94" spans="1:15" ht="15.75" x14ac:dyDescent="0.3">
      <c r="A94" s="567"/>
      <c r="B94" s="568"/>
      <c r="C94" s="568"/>
      <c r="D94" s="683"/>
      <c r="E94" s="683"/>
      <c r="F94" s="683"/>
      <c r="G94" s="683"/>
      <c r="H94" s="683" t="s">
        <v>667</v>
      </c>
      <c r="I94" s="684">
        <f>L92</f>
        <v>21.295573689459527</v>
      </c>
      <c r="J94" s="568" t="s">
        <v>321</v>
      </c>
      <c r="K94" s="568"/>
      <c r="L94" s="685"/>
      <c r="M94" s="379"/>
      <c r="N94" s="390"/>
      <c r="O94" s="390"/>
    </row>
    <row r="95" spans="1:15" ht="15.75" x14ac:dyDescent="0.3">
      <c r="A95" s="567"/>
      <c r="B95" s="739"/>
      <c r="C95" s="568" t="s">
        <v>51</v>
      </c>
      <c r="D95" s="568"/>
      <c r="E95" s="568" t="s">
        <v>1094</v>
      </c>
      <c r="F95" s="740">
        <v>1000</v>
      </c>
      <c r="G95" s="741"/>
      <c r="H95" s="568" t="s">
        <v>501</v>
      </c>
      <c r="I95" s="574">
        <f>$I$94*F95/F$98</f>
        <v>20.123935958357137</v>
      </c>
      <c r="J95" s="568" t="s">
        <v>321</v>
      </c>
      <c r="K95" s="568"/>
      <c r="L95" s="685"/>
      <c r="M95" s="379"/>
      <c r="N95" s="390"/>
      <c r="O95" s="390"/>
    </row>
    <row r="96" spans="1:15" ht="15.75" x14ac:dyDescent="0.3">
      <c r="A96" s="567"/>
      <c r="B96" s="568"/>
      <c r="C96" s="568" t="s">
        <v>123</v>
      </c>
      <c r="D96" s="683" t="s">
        <v>318</v>
      </c>
      <c r="E96" s="568" t="s">
        <v>1037</v>
      </c>
      <c r="F96" s="740">
        <f>C75*F95</f>
        <v>43.204301075268809</v>
      </c>
      <c r="G96" s="741"/>
      <c r="H96" s="568" t="s">
        <v>501</v>
      </c>
      <c r="I96" s="574">
        <f>$I$94*F96/F$98</f>
        <v>0.86944058796428991</v>
      </c>
      <c r="J96" s="568" t="s">
        <v>321</v>
      </c>
      <c r="K96" s="568"/>
      <c r="L96" s="685"/>
      <c r="M96" s="379"/>
      <c r="N96" s="390"/>
      <c r="O96" s="390"/>
    </row>
    <row r="97" spans="1:15" ht="15.75" x14ac:dyDescent="0.3">
      <c r="A97" s="567"/>
      <c r="B97" s="568"/>
      <c r="C97" s="568" t="s">
        <v>123</v>
      </c>
      <c r="D97" s="568"/>
      <c r="E97" s="742" t="s">
        <v>320</v>
      </c>
      <c r="F97" s="740">
        <f>C76*F95</f>
        <v>15.016801075268814</v>
      </c>
      <c r="G97" s="741"/>
      <c r="H97" s="568" t="s">
        <v>501</v>
      </c>
      <c r="I97" s="574">
        <f>$I$94*F97/F$98</f>
        <v>0.3021971431380982</v>
      </c>
      <c r="J97" s="568" t="s">
        <v>321</v>
      </c>
      <c r="K97" s="568"/>
      <c r="L97" s="685"/>
      <c r="M97" s="379"/>
      <c r="N97" s="390"/>
      <c r="O97" s="390"/>
    </row>
    <row r="98" spans="1:15" x14ac:dyDescent="0.2">
      <c r="A98" s="567"/>
      <c r="B98" s="568"/>
      <c r="C98" s="568"/>
      <c r="D98" s="568"/>
      <c r="E98" s="568" t="s">
        <v>533</v>
      </c>
      <c r="F98" s="740">
        <f>SUM(F95:F97)</f>
        <v>1058.2211021505377</v>
      </c>
      <c r="G98" s="741"/>
      <c r="H98" s="568" t="s">
        <v>501</v>
      </c>
      <c r="I98" s="568"/>
      <c r="J98" s="568"/>
      <c r="K98" s="568"/>
      <c r="L98" s="685"/>
      <c r="M98" s="379"/>
      <c r="N98" s="390"/>
      <c r="O98" s="390"/>
    </row>
    <row r="99" spans="1:15" ht="14.25" x14ac:dyDescent="0.25">
      <c r="A99" s="519"/>
      <c r="B99" s="520"/>
      <c r="C99" s="520"/>
      <c r="D99" s="520"/>
      <c r="E99" s="523" t="s">
        <v>1058</v>
      </c>
      <c r="F99" s="521"/>
      <c r="G99" s="521"/>
      <c r="H99" s="687"/>
      <c r="I99" s="520"/>
      <c r="J99" s="523" t="s">
        <v>747</v>
      </c>
      <c r="K99" s="687"/>
      <c r="L99" s="525">
        <f>I95</f>
        <v>20.123935958357137</v>
      </c>
      <c r="M99" s="379"/>
      <c r="N99" s="379"/>
      <c r="O99" s="379"/>
    </row>
    <row r="100" spans="1:15" x14ac:dyDescent="0.2">
      <c r="A100" s="390"/>
      <c r="B100" s="390"/>
      <c r="C100" s="390"/>
      <c r="D100" s="379"/>
      <c r="E100" s="379"/>
      <c r="F100" s="551"/>
      <c r="G100" s="551"/>
      <c r="H100" s="437"/>
      <c r="I100" s="378"/>
      <c r="J100" s="379"/>
      <c r="K100" s="379"/>
      <c r="L100" s="586"/>
      <c r="M100" s="379"/>
      <c r="N100" s="379"/>
      <c r="O100" s="379"/>
    </row>
    <row r="101" spans="1:15" x14ac:dyDescent="0.2">
      <c r="A101" s="375"/>
      <c r="B101" s="585"/>
      <c r="C101" s="386"/>
      <c r="D101" s="390"/>
      <c r="E101" s="379"/>
      <c r="F101" s="379"/>
      <c r="G101" s="379"/>
      <c r="H101" s="379"/>
      <c r="I101" s="379"/>
      <c r="J101" s="591"/>
      <c r="K101" s="379"/>
      <c r="L101" s="379"/>
      <c r="M101" s="379"/>
      <c r="N101" s="379"/>
      <c r="O101" s="379"/>
    </row>
    <row r="102" spans="1:15" ht="15.75" x14ac:dyDescent="0.25">
      <c r="A102" s="530" t="s">
        <v>812</v>
      </c>
      <c r="B102" s="532"/>
      <c r="C102" s="531"/>
      <c r="D102" s="531"/>
      <c r="E102" s="530" t="s">
        <v>513</v>
      </c>
      <c r="F102" s="532"/>
      <c r="G102" s="532"/>
      <c r="H102" s="531"/>
      <c r="I102" s="532" t="s">
        <v>532</v>
      </c>
      <c r="J102" s="533"/>
      <c r="K102" s="533"/>
      <c r="L102" s="534"/>
      <c r="M102" s="379"/>
      <c r="N102" s="485"/>
      <c r="O102" s="379"/>
    </row>
    <row r="103" spans="1:15" ht="15.75" x14ac:dyDescent="0.3">
      <c r="A103" s="503"/>
      <c r="B103" s="511" t="s">
        <v>1094</v>
      </c>
      <c r="C103" s="593">
        <v>1</v>
      </c>
      <c r="D103" s="495" t="s">
        <v>653</v>
      </c>
      <c r="E103" s="513"/>
      <c r="F103" s="499"/>
      <c r="G103" s="499"/>
      <c r="H103" s="594"/>
      <c r="I103" s="492" t="s">
        <v>746</v>
      </c>
      <c r="J103" s="514"/>
      <c r="K103" s="514"/>
      <c r="L103" s="537"/>
      <c r="M103" s="379"/>
      <c r="N103" s="378"/>
      <c r="O103" s="379"/>
    </row>
    <row r="104" spans="1:15" ht="15.75" x14ac:dyDescent="0.3">
      <c r="A104" s="503"/>
      <c r="B104" s="495"/>
      <c r="C104" s="689"/>
      <c r="D104" s="495"/>
      <c r="E104" s="505">
        <f>E74*C103</f>
        <v>0.93910985471040687</v>
      </c>
      <c r="F104" s="506" t="s">
        <v>302</v>
      </c>
      <c r="G104" s="506"/>
      <c r="H104" s="594"/>
      <c r="I104" s="539" t="s">
        <v>1053</v>
      </c>
      <c r="J104" s="539" t="s">
        <v>1054</v>
      </c>
      <c r="K104" s="539" t="s">
        <v>1055</v>
      </c>
      <c r="L104" s="540" t="s">
        <v>1056</v>
      </c>
      <c r="M104" s="379"/>
      <c r="N104" s="735"/>
      <c r="O104" s="379"/>
    </row>
    <row r="105" spans="1:15" x14ac:dyDescent="0.2">
      <c r="A105" s="503"/>
      <c r="B105" s="511" t="s">
        <v>498</v>
      </c>
      <c r="C105" s="689"/>
      <c r="D105" s="495"/>
      <c r="E105" s="513"/>
      <c r="F105" s="495"/>
      <c r="G105" s="495"/>
      <c r="H105" s="495"/>
      <c r="I105" s="495"/>
      <c r="J105" s="495"/>
      <c r="K105" s="495"/>
      <c r="L105" s="541"/>
      <c r="M105" s="379"/>
      <c r="N105" s="379"/>
      <c r="O105" s="379"/>
    </row>
    <row r="106" spans="1:15" ht="15.75" x14ac:dyDescent="0.3">
      <c r="A106" s="503"/>
      <c r="B106" s="495" t="s">
        <v>159</v>
      </c>
      <c r="C106" s="595">
        <v>150</v>
      </c>
      <c r="D106" s="495" t="s">
        <v>510</v>
      </c>
      <c r="E106" s="543">
        <f>(C106*E104/VLOOKUP($B103,'Standard values'!$C$9:$S$162,14, FALSE))/1000</f>
        <v>3.7867332851226083E-3</v>
      </c>
      <c r="F106" s="506" t="s">
        <v>171</v>
      </c>
      <c r="G106" s="506"/>
      <c r="H106" s="495"/>
      <c r="I106" s="544">
        <f>$E106*VLOOKUP($B106,'Standard values'!$C$9:$S$162,15, FALSE)*VLOOKUP(C107,'Standard values'!$C$9:$S$162,7, FALSE)/$E$153</f>
        <v>0.35620967741935483</v>
      </c>
      <c r="J106" s="544">
        <f>$E106*((VLOOKUP($B106,'Standard values'!$C$9:$S$162,15, FALSE)*VLOOKUP(C107,'Standard values'!$C$9:$S$162,8, FALSE))+VLOOKUP($B106,'Standard values'!$C$9:$S$162,16, FALSE))/$E$153</f>
        <v>2.0161290322580645E-5</v>
      </c>
      <c r="K106" s="544">
        <f>$E106*((VLOOKUP($B106,'Standard values'!$C$9:$S$162,15, FALSE)*VLOOKUP(C107,'Standard values'!$C$9:$S$162,9, FALSE))+VLOOKUP($B106,'Standard values'!$C$9:$S$162,17, FALSE))/$E$153</f>
        <v>0</v>
      </c>
      <c r="L106" s="516">
        <f>I106*'Standard values'!$D$10+J106*'Standard values'!$D$11+K106*'Standard values'!$D$12</f>
        <v>0.35671370967741933</v>
      </c>
      <c r="M106" s="379"/>
      <c r="N106" s="379"/>
      <c r="O106" s="379"/>
    </row>
    <row r="107" spans="1:15" x14ac:dyDescent="0.2">
      <c r="A107" s="503"/>
      <c r="B107" s="546" t="s">
        <v>54</v>
      </c>
      <c r="C107" s="673" t="s">
        <v>509</v>
      </c>
      <c r="D107" s="495"/>
      <c r="E107" s="503"/>
      <c r="F107" s="506"/>
      <c r="G107" s="506"/>
      <c r="H107" s="495"/>
      <c r="I107" s="544"/>
      <c r="J107" s="544"/>
      <c r="K107" s="544"/>
      <c r="L107" s="516"/>
      <c r="M107" s="379"/>
      <c r="N107" s="379"/>
      <c r="O107" s="379"/>
    </row>
    <row r="108" spans="1:15" x14ac:dyDescent="0.2">
      <c r="A108" s="503"/>
      <c r="B108" s="495"/>
      <c r="C108" s="689"/>
      <c r="D108" s="495"/>
      <c r="E108" s="543"/>
      <c r="F108" s="495"/>
      <c r="G108" s="495"/>
      <c r="H108" s="495"/>
      <c r="I108" s="544"/>
      <c r="J108" s="544"/>
      <c r="K108" s="544"/>
      <c r="L108" s="516"/>
      <c r="M108" s="379"/>
      <c r="N108" s="379"/>
      <c r="O108" s="379"/>
    </row>
    <row r="109" spans="1:15" x14ac:dyDescent="0.2">
      <c r="A109" s="503"/>
      <c r="B109" s="511" t="s">
        <v>444</v>
      </c>
      <c r="C109" s="689"/>
      <c r="D109" s="495"/>
      <c r="E109" s="503"/>
      <c r="F109" s="495"/>
      <c r="G109" s="495"/>
      <c r="H109" s="495"/>
      <c r="I109" s="544"/>
      <c r="J109" s="544"/>
      <c r="K109" s="544"/>
      <c r="L109" s="584"/>
      <c r="M109" s="379"/>
      <c r="N109" s="379"/>
      <c r="O109" s="379"/>
    </row>
    <row r="110" spans="1:15" ht="15.75" x14ac:dyDescent="0.3">
      <c r="A110" s="590"/>
      <c r="B110" s="1301" t="s">
        <v>49</v>
      </c>
      <c r="C110" s="542">
        <v>8.4000000000000003E-4</v>
      </c>
      <c r="D110" s="495" t="s">
        <v>651</v>
      </c>
      <c r="E110" s="503"/>
      <c r="F110" s="495"/>
      <c r="G110" s="495"/>
      <c r="H110" s="495"/>
      <c r="I110" s="544">
        <f>$C110*$E$104*VLOOKUP($B110,'Standard values'!$C$9:$S$162,7, FALSE)/$E$153</f>
        <v>0.10146738000000001</v>
      </c>
      <c r="J110" s="544">
        <f>$C110*$E$104*VLOOKUP($B110,'Standard values'!$C$9:$S$162,8, FALSE)/$E$153</f>
        <v>2.4744999999999997E-4</v>
      </c>
      <c r="K110" s="544">
        <f>$C110*$E$104*VLOOKUP($B110,'Standard values'!$C$9:$S$162,9, FALSE)/$E$153</f>
        <v>4.596666666666667E-6</v>
      </c>
      <c r="L110" s="516">
        <f>I110*'Standard values'!$D$10+J110*'Standard values'!$D$11+K110*'Standard values'!$D$12</f>
        <v>0.10902343666666668</v>
      </c>
      <c r="M110" s="379"/>
      <c r="N110" s="517"/>
      <c r="O110" s="379"/>
    </row>
    <row r="111" spans="1:15" ht="14.25" x14ac:dyDescent="0.25">
      <c r="A111" s="519"/>
      <c r="B111" s="520"/>
      <c r="C111" s="520"/>
      <c r="D111" s="520"/>
      <c r="E111" s="519"/>
      <c r="F111" s="521"/>
      <c r="G111" s="521"/>
      <c r="H111" s="521" t="s">
        <v>534</v>
      </c>
      <c r="I111" s="520"/>
      <c r="J111" s="523" t="s">
        <v>747</v>
      </c>
      <c r="K111" s="549"/>
      <c r="L111" s="525">
        <f>L110+L106</f>
        <v>0.46573714634408603</v>
      </c>
      <c r="M111" s="379"/>
      <c r="N111" s="517"/>
      <c r="O111" s="379"/>
    </row>
    <row r="112" spans="1:15" x14ac:dyDescent="0.2">
      <c r="A112" s="390"/>
      <c r="B112" s="390"/>
      <c r="C112" s="390"/>
      <c r="D112" s="390"/>
      <c r="E112" s="390"/>
      <c r="F112" s="376"/>
      <c r="G112" s="376"/>
      <c r="H112" s="376"/>
      <c r="I112" s="390"/>
      <c r="J112" s="550"/>
      <c r="K112" s="551"/>
      <c r="L112" s="552"/>
      <c r="M112" s="379"/>
      <c r="N112" s="379"/>
      <c r="O112" s="379"/>
    </row>
    <row r="113" spans="1:15" x14ac:dyDescent="0.2">
      <c r="A113" s="390"/>
      <c r="B113" s="390"/>
      <c r="C113" s="390"/>
      <c r="D113" s="390"/>
      <c r="E113" s="390"/>
      <c r="F113" s="376"/>
      <c r="G113" s="376"/>
      <c r="H113" s="376"/>
      <c r="I113" s="390"/>
      <c r="J113" s="550"/>
      <c r="K113" s="551"/>
      <c r="L113" s="552"/>
      <c r="M113" s="379"/>
      <c r="N113" s="379"/>
      <c r="O113" s="379"/>
    </row>
    <row r="114" spans="1:15" ht="15.75" x14ac:dyDescent="0.25">
      <c r="A114" s="530" t="s">
        <v>810</v>
      </c>
      <c r="B114" s="531"/>
      <c r="C114" s="531"/>
      <c r="D114" s="531"/>
      <c r="E114" s="530" t="s">
        <v>513</v>
      </c>
      <c r="F114" s="531"/>
      <c r="G114" s="531"/>
      <c r="H114" s="531"/>
      <c r="I114" s="531"/>
      <c r="J114" s="531"/>
      <c r="K114" s="531"/>
      <c r="L114" s="596"/>
      <c r="M114" s="379"/>
      <c r="N114" s="485"/>
      <c r="O114" s="379"/>
    </row>
    <row r="115" spans="1:15" ht="15.75" x14ac:dyDescent="0.3">
      <c r="A115" s="503"/>
      <c r="B115" s="511" t="s">
        <v>1094</v>
      </c>
      <c r="C115" s="593">
        <v>1</v>
      </c>
      <c r="D115" s="495" t="s">
        <v>653</v>
      </c>
      <c r="E115" s="513"/>
      <c r="F115" s="499"/>
      <c r="G115" s="499"/>
      <c r="H115" s="495"/>
      <c r="I115" s="492" t="s">
        <v>746</v>
      </c>
      <c r="J115" s="514"/>
      <c r="K115" s="514"/>
      <c r="L115" s="537"/>
      <c r="M115" s="379"/>
      <c r="N115" s="378"/>
      <c r="O115" s="379"/>
    </row>
    <row r="116" spans="1:15" ht="15.75" x14ac:dyDescent="0.3">
      <c r="A116" s="503"/>
      <c r="B116" s="495"/>
      <c r="C116" s="689"/>
      <c r="D116" s="495"/>
      <c r="E116" s="505">
        <f>E104*C115</f>
        <v>0.93910985471040687</v>
      </c>
      <c r="F116" s="506" t="s">
        <v>302</v>
      </c>
      <c r="G116" s="506"/>
      <c r="H116" s="495"/>
      <c r="I116" s="539" t="s">
        <v>1053</v>
      </c>
      <c r="J116" s="539" t="s">
        <v>1054</v>
      </c>
      <c r="K116" s="539" t="s">
        <v>1055</v>
      </c>
      <c r="L116" s="540" t="s">
        <v>1056</v>
      </c>
      <c r="M116" s="379"/>
      <c r="N116" s="735"/>
      <c r="O116" s="379"/>
    </row>
    <row r="117" spans="1:15" x14ac:dyDescent="0.2">
      <c r="A117" s="503"/>
      <c r="B117" s="511" t="s">
        <v>498</v>
      </c>
      <c r="C117" s="689"/>
      <c r="D117" s="495"/>
      <c r="E117" s="513"/>
      <c r="F117" s="495"/>
      <c r="G117" s="495"/>
      <c r="H117" s="495"/>
      <c r="I117" s="495"/>
      <c r="J117" s="495"/>
      <c r="K117" s="495"/>
      <c r="L117" s="541"/>
      <c r="M117" s="379"/>
      <c r="N117" s="735"/>
      <c r="O117" s="379"/>
    </row>
    <row r="118" spans="1:15" ht="15.75" x14ac:dyDescent="0.3">
      <c r="A118" s="503"/>
      <c r="B118" s="495" t="s">
        <v>159</v>
      </c>
      <c r="C118" s="595">
        <v>150</v>
      </c>
      <c r="D118" s="495" t="s">
        <v>510</v>
      </c>
      <c r="E118" s="543">
        <f>(C118*E116/VLOOKUP($B115,'Standard values'!$C$9:$S$162,14, FALSE))/1000</f>
        <v>3.7867332851226083E-3</v>
      </c>
      <c r="F118" s="506" t="s">
        <v>171</v>
      </c>
      <c r="G118" s="506"/>
      <c r="H118" s="495"/>
      <c r="I118" s="544">
        <f>$E118*VLOOKUP($B118,'Standard values'!$C$9:$S$162,15, FALSE)*VLOOKUP(C119,'Standard values'!$C$9:$S$162,7, FALSE)/$E$153</f>
        <v>0.35620967741935483</v>
      </c>
      <c r="J118" s="544">
        <f>$E118*((VLOOKUP($B118,'Standard values'!$C$9:$S$162,15, FALSE)*VLOOKUP(C119,'Standard values'!$C$9:$S$162,8, FALSE))+VLOOKUP($B118,'Standard values'!$C$9:$S$162,16, FALSE))/$E$153</f>
        <v>2.0161290322580645E-5</v>
      </c>
      <c r="K118" s="544">
        <f>$E118*((VLOOKUP($B118,'Standard values'!$C$9:$S$162,15, FALSE)*VLOOKUP(C119,'Standard values'!$C$9:$S$162,9, FALSE))+VLOOKUP($B118,'Standard values'!$C$9:$S$162,17, FALSE))/$E$153</f>
        <v>0</v>
      </c>
      <c r="L118" s="516">
        <f>I118*'Standard values'!$D$10+J118*'Standard values'!$D$11+K118*'Standard values'!$D$12</f>
        <v>0.35671370967741933</v>
      </c>
      <c r="M118" s="379"/>
      <c r="N118" s="735"/>
      <c r="O118" s="379"/>
    </row>
    <row r="119" spans="1:15" x14ac:dyDescent="0.2">
      <c r="A119" s="503"/>
      <c r="B119" s="546" t="s">
        <v>54</v>
      </c>
      <c r="C119" s="673" t="s">
        <v>509</v>
      </c>
      <c r="D119" s="495"/>
      <c r="E119" s="503"/>
      <c r="F119" s="506"/>
      <c r="G119" s="506"/>
      <c r="H119" s="495"/>
      <c r="I119" s="544"/>
      <c r="J119" s="544"/>
      <c r="K119" s="544"/>
      <c r="L119" s="516"/>
      <c r="M119" s="379"/>
      <c r="N119" s="735"/>
      <c r="O119" s="379"/>
    </row>
    <row r="120" spans="1:15" x14ac:dyDescent="0.2">
      <c r="A120" s="503"/>
      <c r="B120" s="495"/>
      <c r="C120" s="689"/>
      <c r="D120" s="495"/>
      <c r="E120" s="505"/>
      <c r="F120" s="506"/>
      <c r="G120" s="506"/>
      <c r="H120" s="495"/>
      <c r="I120" s="539"/>
      <c r="J120" s="539"/>
      <c r="K120" s="539"/>
      <c r="L120" s="690"/>
      <c r="M120" s="379"/>
      <c r="N120" s="735"/>
      <c r="O120" s="379"/>
    </row>
    <row r="121" spans="1:15" x14ac:dyDescent="0.2">
      <c r="A121" s="503"/>
      <c r="B121" s="511" t="s">
        <v>441</v>
      </c>
      <c r="C121" s="689"/>
      <c r="D121" s="495"/>
      <c r="E121" s="503"/>
      <c r="F121" s="495"/>
      <c r="G121" s="495"/>
      <c r="H121" s="495"/>
      <c r="I121" s="544"/>
      <c r="J121" s="544"/>
      <c r="K121" s="544"/>
      <c r="L121" s="584"/>
      <c r="M121" s="379"/>
      <c r="N121" s="379"/>
      <c r="O121" s="379"/>
    </row>
    <row r="122" spans="1:15" ht="15.75" x14ac:dyDescent="0.3">
      <c r="A122" s="503"/>
      <c r="B122" s="1301" t="s">
        <v>49</v>
      </c>
      <c r="C122" s="542">
        <v>3.3999999999999998E-3</v>
      </c>
      <c r="D122" s="495" t="s">
        <v>651</v>
      </c>
      <c r="E122" s="503"/>
      <c r="F122" s="495"/>
      <c r="G122" s="495"/>
      <c r="H122" s="495"/>
      <c r="I122" s="544">
        <f>$C122*$E$116*VLOOKUP($B122,'Standard values'!$C$9:$S$162,7, FALSE)/$E$153</f>
        <v>0.41070129999999999</v>
      </c>
      <c r="J122" s="544">
        <f>$C122*$E$116*VLOOKUP($B122,'Standard values'!$C$9:$S$162,8, FALSE)/$E$153</f>
        <v>1.0015833333333333E-3</v>
      </c>
      <c r="K122" s="544">
        <f>$C122*$E$116*VLOOKUP($B122,'Standard values'!$C$9:$S$162,9, FALSE)/$E$153</f>
        <v>1.8605555555555555E-5</v>
      </c>
      <c r="L122" s="516">
        <f>I122*'Standard values'!$D$10+J122*'Standard values'!$D$11+K122*'Standard values'!$D$12</f>
        <v>0.44128533888888888</v>
      </c>
      <c r="M122" s="379"/>
      <c r="N122" s="517"/>
      <c r="O122" s="379"/>
    </row>
    <row r="123" spans="1:15" ht="14.25" x14ac:dyDescent="0.25">
      <c r="A123" s="519"/>
      <c r="B123" s="520"/>
      <c r="C123" s="520"/>
      <c r="D123" s="520"/>
      <c r="E123" s="519"/>
      <c r="F123" s="521"/>
      <c r="G123" s="521"/>
      <c r="H123" s="521" t="s">
        <v>534</v>
      </c>
      <c r="I123" s="520"/>
      <c r="J123" s="523" t="s">
        <v>747</v>
      </c>
      <c r="K123" s="549"/>
      <c r="L123" s="525">
        <f>L118+L122</f>
        <v>0.79799904856630821</v>
      </c>
      <c r="M123" s="379"/>
      <c r="N123" s="379"/>
      <c r="O123" s="379"/>
    </row>
    <row r="124" spans="1:15" x14ac:dyDescent="0.2">
      <c r="A124" s="390"/>
      <c r="B124" s="390"/>
      <c r="C124" s="390"/>
      <c r="D124" s="390"/>
      <c r="E124" s="390"/>
      <c r="F124" s="376"/>
      <c r="G124" s="376"/>
      <c r="H124" s="376"/>
      <c r="I124" s="390"/>
      <c r="J124" s="550"/>
      <c r="K124" s="551"/>
      <c r="L124" s="597"/>
      <c r="M124" s="379"/>
      <c r="N124" s="379"/>
      <c r="O124" s="379"/>
    </row>
    <row r="125" spans="1:15" x14ac:dyDescent="0.2">
      <c r="A125" s="390"/>
      <c r="B125" s="390"/>
      <c r="C125" s="390"/>
      <c r="D125" s="390"/>
      <c r="E125" s="390"/>
      <c r="F125" s="376"/>
      <c r="G125" s="376"/>
      <c r="H125" s="376"/>
      <c r="I125" s="390"/>
      <c r="J125" s="550"/>
      <c r="K125" s="551"/>
      <c r="L125" s="597"/>
      <c r="M125" s="379"/>
      <c r="N125" s="379"/>
      <c r="O125" s="379"/>
    </row>
    <row r="126" spans="1:15" ht="15.75" x14ac:dyDescent="0.25">
      <c r="A126" s="530" t="s">
        <v>546</v>
      </c>
      <c r="B126" s="598"/>
      <c r="C126" s="599"/>
      <c r="D126" s="531"/>
      <c r="E126" s="600"/>
      <c r="F126" s="531"/>
      <c r="G126" s="531"/>
      <c r="H126" s="531"/>
      <c r="I126" s="531"/>
      <c r="J126" s="531"/>
      <c r="K126" s="531"/>
      <c r="L126" s="601"/>
      <c r="M126" s="379"/>
      <c r="N126" s="379"/>
      <c r="O126" s="379"/>
    </row>
    <row r="127" spans="1:15" ht="15.75" x14ac:dyDescent="0.25">
      <c r="A127" s="602"/>
      <c r="B127" s="416" t="s">
        <v>549</v>
      </c>
      <c r="C127" s="492"/>
      <c r="D127" s="495"/>
      <c r="E127" s="503"/>
      <c r="F127" s="495"/>
      <c r="G127" s="495"/>
      <c r="H127" s="495"/>
      <c r="I127" s="492" t="s">
        <v>746</v>
      </c>
      <c r="J127" s="514"/>
      <c r="K127" s="514"/>
      <c r="L127" s="537"/>
      <c r="M127" s="379"/>
      <c r="N127" s="390"/>
      <c r="O127" s="390"/>
    </row>
    <row r="128" spans="1:15" x14ac:dyDescent="0.2">
      <c r="A128" s="503"/>
      <c r="B128" s="539"/>
      <c r="C128" s="511" t="s">
        <v>352</v>
      </c>
      <c r="D128" s="605"/>
      <c r="E128" s="503"/>
      <c r="F128" s="495"/>
      <c r="G128" s="495"/>
      <c r="H128" s="495"/>
      <c r="I128" s="495"/>
      <c r="J128" s="495"/>
      <c r="K128" s="544"/>
      <c r="L128" s="516">
        <v>0</v>
      </c>
      <c r="M128" s="379"/>
      <c r="N128" s="390"/>
      <c r="O128" s="390"/>
    </row>
    <row r="129" spans="1:15" ht="14.25" x14ac:dyDescent="0.25">
      <c r="A129" s="519"/>
      <c r="B129" s="520"/>
      <c r="C129" s="520"/>
      <c r="D129" s="520"/>
      <c r="E129" s="519"/>
      <c r="F129" s="521"/>
      <c r="G129" s="521"/>
      <c r="H129" s="521" t="s">
        <v>534</v>
      </c>
      <c r="I129" s="520"/>
      <c r="J129" s="523" t="s">
        <v>747</v>
      </c>
      <c r="K129" s="549"/>
      <c r="L129" s="525">
        <f>L128</f>
        <v>0</v>
      </c>
      <c r="M129" s="379"/>
      <c r="N129" s="390"/>
      <c r="O129" s="390"/>
    </row>
    <row r="130" spans="1:15" x14ac:dyDescent="0.2">
      <c r="A130" s="390"/>
      <c r="B130" s="390"/>
      <c r="C130" s="390"/>
      <c r="D130" s="390"/>
      <c r="E130" s="390"/>
      <c r="F130" s="376"/>
      <c r="G130" s="376"/>
      <c r="H130" s="376"/>
      <c r="I130" s="390"/>
      <c r="J130" s="550"/>
      <c r="K130" s="551"/>
      <c r="L130" s="604"/>
      <c r="M130" s="379"/>
      <c r="N130" s="390"/>
      <c r="O130" s="390"/>
    </row>
    <row r="131" spans="1:15" x14ac:dyDescent="0.2">
      <c r="A131" s="390"/>
      <c r="B131" s="390"/>
      <c r="C131" s="390"/>
      <c r="D131" s="390"/>
      <c r="E131" s="390"/>
      <c r="F131" s="376"/>
      <c r="G131" s="376"/>
      <c r="H131" s="376"/>
      <c r="I131" s="390"/>
      <c r="J131" s="550"/>
      <c r="K131" s="551"/>
      <c r="L131" s="604"/>
      <c r="M131" s="379"/>
      <c r="N131" s="390"/>
      <c r="O131" s="390"/>
    </row>
    <row r="132" spans="1:15" ht="15.75" x14ac:dyDescent="0.25">
      <c r="A132" s="530" t="s">
        <v>547</v>
      </c>
      <c r="B132" s="598"/>
      <c r="C132" s="599"/>
      <c r="D132" s="531"/>
      <c r="E132" s="600"/>
      <c r="F132" s="531"/>
      <c r="G132" s="531"/>
      <c r="H132" s="531"/>
      <c r="I132" s="531"/>
      <c r="J132" s="531"/>
      <c r="K132" s="531"/>
      <c r="L132" s="601"/>
      <c r="M132" s="379"/>
      <c r="N132" s="390"/>
      <c r="O132" s="390"/>
    </row>
    <row r="133" spans="1:15" ht="15.75" x14ac:dyDescent="0.25">
      <c r="A133" s="602"/>
      <c r="B133" s="416" t="s">
        <v>549</v>
      </c>
      <c r="C133" s="492"/>
      <c r="D133" s="495"/>
      <c r="E133" s="503"/>
      <c r="F133" s="495"/>
      <c r="G133" s="495"/>
      <c r="H133" s="495"/>
      <c r="I133" s="492" t="s">
        <v>746</v>
      </c>
      <c r="J133" s="514"/>
      <c r="K133" s="514"/>
      <c r="L133" s="537"/>
      <c r="M133" s="379"/>
      <c r="N133" s="390"/>
      <c r="O133" s="390"/>
    </row>
    <row r="134" spans="1:15" x14ac:dyDescent="0.2">
      <c r="A134" s="503"/>
      <c r="B134" s="539"/>
      <c r="C134" s="511" t="s">
        <v>352</v>
      </c>
      <c r="D134" s="605"/>
      <c r="E134" s="503"/>
      <c r="F134" s="495"/>
      <c r="G134" s="495"/>
      <c r="H134" s="495"/>
      <c r="I134" s="495"/>
      <c r="J134" s="495"/>
      <c r="K134" s="544"/>
      <c r="L134" s="516">
        <v>0</v>
      </c>
      <c r="M134" s="379"/>
      <c r="N134" s="390"/>
      <c r="O134" s="390"/>
    </row>
    <row r="135" spans="1:15" ht="14.25" x14ac:dyDescent="0.25">
      <c r="A135" s="519"/>
      <c r="B135" s="520"/>
      <c r="C135" s="520"/>
      <c r="D135" s="520"/>
      <c r="E135" s="519"/>
      <c r="F135" s="521"/>
      <c r="G135" s="521"/>
      <c r="H135" s="521" t="s">
        <v>534</v>
      </c>
      <c r="I135" s="520"/>
      <c r="J135" s="523" t="s">
        <v>747</v>
      </c>
      <c r="K135" s="549"/>
      <c r="L135" s="525">
        <f>L134</f>
        <v>0</v>
      </c>
      <c r="M135" s="379"/>
      <c r="N135" s="390"/>
      <c r="O135" s="390"/>
    </row>
    <row r="136" spans="1:15" x14ac:dyDescent="0.2">
      <c r="A136" s="390"/>
      <c r="B136" s="390"/>
      <c r="C136" s="390"/>
      <c r="D136" s="390"/>
      <c r="E136" s="390"/>
      <c r="F136" s="376"/>
      <c r="G136" s="376"/>
      <c r="H136" s="376"/>
      <c r="I136" s="390"/>
      <c r="J136" s="550"/>
      <c r="K136" s="551"/>
      <c r="L136" s="604"/>
      <c r="M136" s="379"/>
      <c r="N136" s="390"/>
      <c r="O136" s="390"/>
    </row>
    <row r="137" spans="1:15" x14ac:dyDescent="0.2">
      <c r="A137" s="390"/>
      <c r="B137" s="390"/>
      <c r="C137" s="390"/>
      <c r="D137" s="390"/>
      <c r="E137" s="390"/>
      <c r="F137" s="376"/>
      <c r="G137" s="376"/>
      <c r="H137" s="376"/>
      <c r="I137" s="390"/>
      <c r="J137" s="550"/>
      <c r="K137" s="551"/>
      <c r="L137" s="604"/>
      <c r="M137" s="379"/>
      <c r="N137" s="390"/>
      <c r="O137" s="390"/>
    </row>
    <row r="138" spans="1:15" ht="18.75" x14ac:dyDescent="0.35">
      <c r="A138" s="530" t="s">
        <v>168</v>
      </c>
      <c r="B138" s="598"/>
      <c r="C138" s="599"/>
      <c r="D138" s="531"/>
      <c r="E138" s="600"/>
      <c r="F138" s="531"/>
      <c r="G138" s="531"/>
      <c r="H138" s="531"/>
      <c r="I138" s="531"/>
      <c r="J138" s="531"/>
      <c r="K138" s="531"/>
      <c r="L138" s="601"/>
      <c r="M138" s="379"/>
      <c r="N138" s="390"/>
      <c r="O138" s="390"/>
    </row>
    <row r="139" spans="1:15" ht="15.75" x14ac:dyDescent="0.25">
      <c r="A139" s="602"/>
      <c r="B139" s="416" t="s">
        <v>166</v>
      </c>
      <c r="C139" s="492"/>
      <c r="D139" s="495"/>
      <c r="E139" s="503"/>
      <c r="F139" s="495"/>
      <c r="G139" s="495"/>
      <c r="H139" s="495"/>
      <c r="I139" s="492" t="s">
        <v>746</v>
      </c>
      <c r="J139" s="514"/>
      <c r="K139" s="514"/>
      <c r="L139" s="537"/>
      <c r="M139" s="379"/>
      <c r="N139" s="390"/>
      <c r="O139" s="390"/>
    </row>
    <row r="140" spans="1:15" ht="15.75" x14ac:dyDescent="0.3">
      <c r="A140" s="503"/>
      <c r="B140" s="539"/>
      <c r="C140" s="595">
        <v>0</v>
      </c>
      <c r="D140" s="605" t="s">
        <v>672</v>
      </c>
      <c r="E140" s="503"/>
      <c r="F140" s="495"/>
      <c r="G140" s="495"/>
      <c r="H140" s="495"/>
      <c r="I140" s="495"/>
      <c r="J140" s="495"/>
      <c r="K140" s="544"/>
      <c r="L140" s="516">
        <f>C140</f>
        <v>0</v>
      </c>
      <c r="M140" s="379"/>
      <c r="N140" s="390"/>
      <c r="O140" s="390"/>
    </row>
    <row r="141" spans="1:15" ht="14.25" x14ac:dyDescent="0.25">
      <c r="A141" s="519"/>
      <c r="B141" s="520"/>
      <c r="C141" s="701"/>
      <c r="D141" s="520"/>
      <c r="E141" s="519"/>
      <c r="F141" s="521"/>
      <c r="G141" s="521"/>
      <c r="H141" s="521" t="s">
        <v>534</v>
      </c>
      <c r="I141" s="520"/>
      <c r="J141" s="523" t="s">
        <v>747</v>
      </c>
      <c r="K141" s="549"/>
      <c r="L141" s="525">
        <f>C140</f>
        <v>0</v>
      </c>
      <c r="M141" s="379"/>
      <c r="N141" s="390"/>
      <c r="O141" s="390"/>
    </row>
    <row r="142" spans="1:15" x14ac:dyDescent="0.2">
      <c r="A142" s="390"/>
      <c r="B142" s="390"/>
      <c r="C142" s="390"/>
      <c r="D142" s="390"/>
      <c r="E142" s="390"/>
      <c r="F142" s="376"/>
      <c r="G142" s="376"/>
      <c r="H142" s="376"/>
      <c r="I142" s="390"/>
      <c r="J142" s="550"/>
      <c r="K142" s="551"/>
      <c r="L142" s="604"/>
      <c r="M142" s="379"/>
      <c r="N142" s="390"/>
      <c r="O142" s="390"/>
    </row>
    <row r="143" spans="1:15" x14ac:dyDescent="0.2">
      <c r="A143" s="390"/>
      <c r="B143" s="390"/>
      <c r="C143" s="390"/>
      <c r="D143" s="390"/>
      <c r="E143" s="390"/>
      <c r="F143" s="376"/>
      <c r="G143" s="376"/>
      <c r="H143" s="376"/>
      <c r="I143" s="390"/>
      <c r="J143" s="550"/>
      <c r="K143" s="551"/>
      <c r="L143" s="604"/>
      <c r="M143" s="379"/>
      <c r="N143" s="390"/>
      <c r="O143" s="390"/>
    </row>
    <row r="144" spans="1:15" ht="18.75" x14ac:dyDescent="0.35">
      <c r="A144" s="530" t="s">
        <v>169</v>
      </c>
      <c r="B144" s="598"/>
      <c r="C144" s="599"/>
      <c r="D144" s="531"/>
      <c r="E144" s="600"/>
      <c r="F144" s="531"/>
      <c r="G144" s="531"/>
      <c r="H144" s="531"/>
      <c r="I144" s="531"/>
      <c r="J144" s="531"/>
      <c r="K144" s="531"/>
      <c r="L144" s="601"/>
      <c r="M144" s="379"/>
      <c r="N144" s="390"/>
      <c r="O144" s="390"/>
    </row>
    <row r="145" spans="1:15" ht="15.75" x14ac:dyDescent="0.25">
      <c r="A145" s="602"/>
      <c r="B145" s="416" t="s">
        <v>167</v>
      </c>
      <c r="C145" s="492"/>
      <c r="D145" s="495"/>
      <c r="E145" s="503"/>
      <c r="F145" s="495"/>
      <c r="G145" s="495"/>
      <c r="H145" s="495"/>
      <c r="I145" s="492" t="s">
        <v>746</v>
      </c>
      <c r="J145" s="514"/>
      <c r="K145" s="514"/>
      <c r="L145" s="537"/>
      <c r="M145" s="379"/>
      <c r="N145" s="390"/>
      <c r="O145" s="390"/>
    </row>
    <row r="146" spans="1:15" ht="15.75" x14ac:dyDescent="0.3">
      <c r="A146" s="503"/>
      <c r="B146" s="539"/>
      <c r="C146" s="595">
        <v>0</v>
      </c>
      <c r="D146" s="605" t="s">
        <v>672</v>
      </c>
      <c r="E146" s="503"/>
      <c r="F146" s="495"/>
      <c r="G146" s="495"/>
      <c r="H146" s="495"/>
      <c r="I146" s="495"/>
      <c r="J146" s="495"/>
      <c r="K146" s="544"/>
      <c r="L146" s="516">
        <f>C146</f>
        <v>0</v>
      </c>
      <c r="M146" s="379"/>
      <c r="N146" s="390"/>
      <c r="O146" s="390"/>
    </row>
    <row r="147" spans="1:15" ht="14.25" x14ac:dyDescent="0.25">
      <c r="A147" s="519"/>
      <c r="B147" s="520"/>
      <c r="C147" s="520"/>
      <c r="D147" s="520"/>
      <c r="E147" s="519"/>
      <c r="F147" s="521"/>
      <c r="G147" s="521"/>
      <c r="H147" s="521" t="s">
        <v>534</v>
      </c>
      <c r="I147" s="520"/>
      <c r="J147" s="523" t="s">
        <v>747</v>
      </c>
      <c r="K147" s="549"/>
      <c r="L147" s="525">
        <f>C146</f>
        <v>0</v>
      </c>
      <c r="M147" s="379"/>
      <c r="N147" s="390"/>
      <c r="O147" s="390"/>
    </row>
    <row r="148" spans="1:15" x14ac:dyDescent="0.2">
      <c r="A148" s="390"/>
      <c r="B148" s="390"/>
      <c r="C148" s="390"/>
      <c r="D148" s="390"/>
      <c r="E148" s="390"/>
      <c r="F148" s="376"/>
      <c r="G148" s="376"/>
      <c r="H148" s="376"/>
      <c r="I148" s="390"/>
      <c r="J148" s="550"/>
      <c r="K148" s="551"/>
      <c r="L148" s="604"/>
      <c r="M148" s="379"/>
      <c r="N148" s="390"/>
      <c r="O148" s="390"/>
    </row>
    <row r="149" spans="1:15" x14ac:dyDescent="0.2">
      <c r="A149" s="390"/>
      <c r="B149" s="390"/>
      <c r="C149" s="390"/>
      <c r="D149" s="390"/>
      <c r="E149" s="390"/>
      <c r="F149" s="376"/>
      <c r="G149" s="376"/>
      <c r="H149" s="376"/>
      <c r="I149" s="390"/>
      <c r="J149" s="550"/>
      <c r="K149" s="551"/>
      <c r="L149" s="604"/>
      <c r="M149" s="379"/>
      <c r="N149" s="390"/>
      <c r="O149" s="390"/>
    </row>
    <row r="150" spans="1:15" ht="15.75" x14ac:dyDescent="0.25">
      <c r="A150" s="530" t="s">
        <v>457</v>
      </c>
      <c r="B150" s="531"/>
      <c r="C150" s="531"/>
      <c r="D150" s="531"/>
      <c r="E150" s="532"/>
      <c r="F150" s="606"/>
      <c r="G150" s="606"/>
      <c r="H150" s="606"/>
      <c r="I150" s="607"/>
      <c r="J150" s="608"/>
      <c r="K150" s="607"/>
      <c r="L150" s="609"/>
      <c r="M150" s="379"/>
      <c r="N150" s="390"/>
      <c r="O150" s="390"/>
    </row>
    <row r="151" spans="1:15" ht="15.75" x14ac:dyDescent="0.25">
      <c r="A151" s="610"/>
      <c r="B151" s="611"/>
      <c r="C151" s="611"/>
      <c r="D151" s="611"/>
      <c r="E151" s="612"/>
      <c r="F151" s="613"/>
      <c r="G151" s="613"/>
      <c r="H151" s="613"/>
      <c r="I151" s="613"/>
      <c r="J151" s="613"/>
      <c r="K151" s="613"/>
      <c r="L151" s="614"/>
      <c r="M151" s="379"/>
      <c r="N151" s="390"/>
      <c r="O151" s="390"/>
    </row>
    <row r="152" spans="1:15" x14ac:dyDescent="0.2">
      <c r="A152" s="503"/>
      <c r="B152" s="495"/>
      <c r="C152" s="495"/>
      <c r="D152" s="546" t="s">
        <v>300</v>
      </c>
      <c r="E152" s="743" t="s">
        <v>301</v>
      </c>
      <c r="F152" s="499"/>
      <c r="G152" s="499"/>
      <c r="H152" s="495"/>
      <c r="I152" s="495"/>
      <c r="J152" s="495"/>
      <c r="K152" s="495"/>
      <c r="L152" s="616"/>
      <c r="M152" s="379"/>
      <c r="N152" s="390"/>
      <c r="O152" s="390"/>
    </row>
    <row r="153" spans="1:15" ht="15.75" x14ac:dyDescent="0.3">
      <c r="A153" s="503"/>
      <c r="B153" s="495"/>
      <c r="C153" s="495"/>
      <c r="D153" s="546" t="s">
        <v>299</v>
      </c>
      <c r="E153" s="615">
        <f>E23*C32*C43*C63*C74*C103*C115</f>
        <v>0.93910985471040687</v>
      </c>
      <c r="F153" s="495" t="s">
        <v>824</v>
      </c>
      <c r="G153" s="495"/>
      <c r="H153" s="495"/>
      <c r="I153" s="544"/>
      <c r="J153" s="495"/>
      <c r="K153" s="495"/>
      <c r="L153" s="616"/>
      <c r="M153" s="379"/>
      <c r="N153" s="390"/>
      <c r="O153" s="390"/>
    </row>
    <row r="154" spans="1:15" x14ac:dyDescent="0.2">
      <c r="A154" s="503"/>
      <c r="B154" s="495"/>
      <c r="C154" s="495"/>
      <c r="D154" s="495"/>
      <c r="E154" s="495"/>
      <c r="F154" s="617"/>
      <c r="G154" s="617"/>
      <c r="H154" s="495"/>
      <c r="I154" s="544"/>
      <c r="J154" s="495"/>
      <c r="K154" s="495"/>
      <c r="L154" s="616"/>
      <c r="M154" s="379"/>
      <c r="N154" s="390"/>
      <c r="O154" s="390"/>
    </row>
    <row r="155" spans="1:15" x14ac:dyDescent="0.2">
      <c r="A155" s="503"/>
      <c r="B155" s="495"/>
      <c r="C155" s="495"/>
      <c r="D155" s="495"/>
      <c r="E155" s="495"/>
      <c r="F155" s="617"/>
      <c r="G155" s="617"/>
      <c r="H155" s="495"/>
      <c r="I155" s="495"/>
      <c r="J155" s="495"/>
      <c r="K155" s="495"/>
      <c r="L155" s="616"/>
      <c r="M155" s="379"/>
      <c r="N155" s="390"/>
      <c r="O155" s="390"/>
    </row>
    <row r="156" spans="1:15" ht="14.25" x14ac:dyDescent="0.25">
      <c r="A156" s="703"/>
      <c r="B156" s="404"/>
      <c r="C156" s="404"/>
      <c r="D156" s="404"/>
      <c r="E156" s="704" t="s">
        <v>1059</v>
      </c>
      <c r="F156" s="705"/>
      <c r="G156" s="705"/>
      <c r="H156" s="423"/>
      <c r="I156" s="404"/>
      <c r="J156" s="704" t="s">
        <v>747</v>
      </c>
      <c r="K156" s="423"/>
      <c r="L156" s="706">
        <f>L28+L38+L59+L69+L89+L111+L123+L129-L135-L141-L147</f>
        <v>22.55930988436992</v>
      </c>
      <c r="M156" s="379"/>
      <c r="N156" s="390"/>
      <c r="O156" s="390"/>
    </row>
    <row r="157" spans="1:15" ht="14.25" x14ac:dyDescent="0.25">
      <c r="A157" s="707"/>
      <c r="B157" s="708"/>
      <c r="C157" s="709"/>
      <c r="D157" s="404"/>
      <c r="E157" s="704" t="s">
        <v>1060</v>
      </c>
      <c r="F157" s="404"/>
      <c r="G157" s="404"/>
      <c r="H157" s="404"/>
      <c r="I157" s="404"/>
      <c r="J157" s="704" t="s">
        <v>747</v>
      </c>
      <c r="K157" s="404"/>
      <c r="L157" s="710">
        <f>L99+L111+L123+L129-L135-L141-L147</f>
        <v>21.38767215326753</v>
      </c>
      <c r="M157" s="379"/>
      <c r="N157" s="390"/>
      <c r="O157" s="390"/>
    </row>
    <row r="158" spans="1:15" x14ac:dyDescent="0.2">
      <c r="A158" s="703"/>
      <c r="B158" s="404"/>
      <c r="C158" s="404"/>
      <c r="D158" s="404"/>
      <c r="E158" s="404"/>
      <c r="F158" s="711"/>
      <c r="G158" s="711"/>
      <c r="H158" s="404"/>
      <c r="I158" s="404"/>
      <c r="J158" s="404"/>
      <c r="K158" s="404"/>
      <c r="L158" s="712"/>
      <c r="M158" s="379"/>
      <c r="N158" s="390"/>
      <c r="O158" s="390"/>
    </row>
    <row r="159" spans="1:15" x14ac:dyDescent="0.2">
      <c r="A159" s="519"/>
      <c r="B159" s="520"/>
      <c r="C159" s="520"/>
      <c r="D159" s="520"/>
      <c r="E159" s="713" t="s">
        <v>1061</v>
      </c>
      <c r="F159" s="632"/>
      <c r="G159" s="632"/>
      <c r="H159" s="632"/>
      <c r="I159" s="632"/>
      <c r="J159" s="632"/>
      <c r="K159" s="632"/>
      <c r="L159" s="633">
        <f>(83.8-L157)/83.8</f>
        <v>0.74477718194191489</v>
      </c>
      <c r="M159" s="379"/>
      <c r="N159" s="390"/>
      <c r="O159" s="390"/>
    </row>
    <row r="160" spans="1:15" x14ac:dyDescent="0.2">
      <c r="M160" s="361"/>
    </row>
    <row r="161" spans="5:14" x14ac:dyDescent="0.2">
      <c r="E161" s="634"/>
      <c r="F161" s="634"/>
      <c r="G161" s="634"/>
      <c r="H161" s="635"/>
      <c r="I161" s="634"/>
      <c r="J161" s="634"/>
      <c r="K161" s="634"/>
      <c r="L161" s="636"/>
      <c r="M161" s="361"/>
    </row>
    <row r="162" spans="5:14" x14ac:dyDescent="0.2">
      <c r="F162" s="634"/>
      <c r="G162" s="634"/>
      <c r="H162" s="634"/>
      <c r="I162" s="637"/>
      <c r="J162" s="634"/>
      <c r="K162" s="634"/>
      <c r="L162" s="638"/>
      <c r="M162" s="639"/>
      <c r="N162" s="361"/>
    </row>
    <row r="163" spans="5:14" x14ac:dyDescent="0.2">
      <c r="F163" s="634"/>
      <c r="G163" s="634"/>
      <c r="H163" s="634"/>
      <c r="I163" s="637"/>
      <c r="J163" s="634"/>
      <c r="K163" s="634"/>
      <c r="L163" s="638"/>
      <c r="M163" s="639"/>
      <c r="N163" s="361"/>
    </row>
    <row r="164" spans="5:14" ht="15.75" x14ac:dyDescent="0.25">
      <c r="F164" s="640"/>
      <c r="G164" s="640"/>
      <c r="H164" s="634"/>
      <c r="I164" s="634"/>
      <c r="J164" s="634"/>
      <c r="K164" s="634"/>
      <c r="L164" s="634"/>
      <c r="M164" s="634"/>
      <c r="N164" s="361"/>
    </row>
    <row r="165" spans="5:14" x14ac:dyDescent="0.2">
      <c r="F165" s="634"/>
      <c r="G165" s="634"/>
      <c r="H165" s="637"/>
      <c r="I165" s="634"/>
      <c r="J165" s="634"/>
      <c r="K165" s="634"/>
      <c r="L165" s="634"/>
      <c r="M165" s="634"/>
      <c r="N165" s="634"/>
    </row>
    <row r="166" spans="5:14" x14ac:dyDescent="0.2">
      <c r="F166" s="637"/>
      <c r="G166" s="637"/>
      <c r="H166" s="634"/>
      <c r="I166" s="641"/>
      <c r="J166" s="634"/>
      <c r="K166" s="634"/>
      <c r="L166" s="634"/>
      <c r="M166" s="634"/>
      <c r="N166" s="634"/>
    </row>
    <row r="167" spans="5:14" x14ac:dyDescent="0.2">
      <c r="F167" s="637"/>
      <c r="G167" s="637"/>
      <c r="H167" s="634"/>
      <c r="I167" s="641"/>
      <c r="J167" s="634"/>
      <c r="K167" s="634"/>
      <c r="L167" s="634"/>
      <c r="M167" s="634"/>
      <c r="N167" s="634"/>
    </row>
    <row r="168" spans="5:14" x14ac:dyDescent="0.2">
      <c r="F168" s="634"/>
      <c r="G168" s="634"/>
      <c r="H168" s="639"/>
      <c r="I168" s="634"/>
      <c r="J168" s="634"/>
      <c r="K168" s="634"/>
      <c r="L168" s="634"/>
      <c r="M168" s="634"/>
      <c r="N168" s="634"/>
    </row>
    <row r="169" spans="5:14" x14ac:dyDescent="0.2">
      <c r="F169" s="634"/>
      <c r="G169" s="634"/>
      <c r="H169" s="634"/>
      <c r="I169" s="634"/>
      <c r="J169" s="634"/>
      <c r="K169" s="634"/>
      <c r="L169" s="634"/>
      <c r="M169" s="634"/>
      <c r="N169" s="634"/>
    </row>
    <row r="170" spans="5:14" x14ac:dyDescent="0.2">
      <c r="F170" s="634"/>
      <c r="G170" s="634"/>
      <c r="H170" s="634"/>
      <c r="I170" s="634"/>
      <c r="J170" s="634"/>
      <c r="K170" s="634"/>
      <c r="L170" s="634"/>
      <c r="M170" s="634"/>
      <c r="N170" s="634"/>
    </row>
    <row r="171" spans="5:14" x14ac:dyDescent="0.2">
      <c r="F171" s="634"/>
      <c r="G171" s="634"/>
      <c r="H171" s="634"/>
      <c r="I171" s="634"/>
      <c r="J171" s="634"/>
      <c r="K171" s="634"/>
      <c r="L171" s="634"/>
      <c r="M171" s="634"/>
      <c r="N171" s="634"/>
    </row>
    <row r="172" spans="5:14" x14ac:dyDescent="0.2">
      <c r="F172" s="634"/>
      <c r="G172" s="634"/>
      <c r="H172" s="634"/>
      <c r="I172" s="634"/>
      <c r="J172" s="634"/>
      <c r="K172" s="634"/>
      <c r="L172" s="634"/>
      <c r="M172" s="634"/>
      <c r="N172" s="634"/>
    </row>
    <row r="173" spans="5:14" x14ac:dyDescent="0.2">
      <c r="F173" s="634"/>
      <c r="G173" s="634"/>
      <c r="H173" s="634"/>
      <c r="I173" s="634"/>
      <c r="J173" s="634"/>
      <c r="K173" s="634"/>
      <c r="L173" s="634"/>
      <c r="M173" s="634"/>
      <c r="N173" s="634"/>
    </row>
    <row r="174" spans="5:14" x14ac:dyDescent="0.2">
      <c r="F174" s="634"/>
      <c r="G174" s="634"/>
      <c r="H174" s="634"/>
      <c r="I174" s="634"/>
      <c r="J174" s="634"/>
      <c r="K174" s="634"/>
      <c r="L174" s="634"/>
      <c r="M174" s="634"/>
      <c r="N174" s="634"/>
    </row>
    <row r="175" spans="5:14" x14ac:dyDescent="0.2">
      <c r="F175" s="634"/>
      <c r="G175" s="634"/>
      <c r="H175" s="634"/>
      <c r="I175" s="634"/>
      <c r="J175" s="634"/>
      <c r="K175" s="634"/>
      <c r="L175" s="634"/>
      <c r="M175" s="634"/>
      <c r="N175" s="634"/>
    </row>
    <row r="176" spans="5:14" x14ac:dyDescent="0.2">
      <c r="F176" s="634"/>
      <c r="G176" s="634"/>
      <c r="H176" s="634"/>
      <c r="I176" s="634"/>
      <c r="J176" s="634"/>
      <c r="K176" s="634"/>
      <c r="L176" s="634"/>
      <c r="M176" s="634"/>
      <c r="N176" s="634"/>
    </row>
    <row r="177" spans="6:14" x14ac:dyDescent="0.2">
      <c r="F177" s="634"/>
      <c r="G177" s="634"/>
      <c r="H177" s="634"/>
      <c r="I177" s="634"/>
      <c r="J177" s="634"/>
      <c r="K177" s="634"/>
      <c r="L177" s="634"/>
      <c r="M177" s="634"/>
      <c r="N177" s="634"/>
    </row>
    <row r="178" spans="6:14" x14ac:dyDescent="0.2">
      <c r="F178" s="634"/>
      <c r="G178" s="634"/>
      <c r="H178" s="634"/>
      <c r="I178" s="634"/>
      <c r="J178" s="634"/>
      <c r="K178" s="634"/>
      <c r="L178" s="634"/>
      <c r="M178" s="634"/>
      <c r="N178" s="634"/>
    </row>
    <row r="179" spans="6:14" x14ac:dyDescent="0.2">
      <c r="F179" s="634"/>
      <c r="G179" s="634"/>
      <c r="H179" s="634"/>
      <c r="I179" s="634"/>
      <c r="J179" s="634"/>
      <c r="K179" s="634"/>
      <c r="L179" s="634"/>
      <c r="M179" s="634"/>
      <c r="N179" s="634"/>
    </row>
    <row r="180" spans="6:14" x14ac:dyDescent="0.2">
      <c r="F180" s="634"/>
      <c r="G180" s="634"/>
      <c r="H180" s="634"/>
      <c r="I180" s="634"/>
      <c r="J180" s="634"/>
      <c r="K180" s="634"/>
      <c r="L180" s="634"/>
      <c r="M180" s="634"/>
      <c r="N180" s="634"/>
    </row>
  </sheetData>
  <sheetProtection insertColumns="0" insertRows="0" deleteColumns="0" deleteRows="0"/>
  <customSheetViews>
    <customSheetView guid="{AD88818B-9F97-4B1E-9426-0DECE603685E}" scale="80" showGridLines="0" fitToPage="1" showRuler="0">
      <pane ySplit="18" topLeftCell="A19" activePane="bottomLeft" state="frozen"/>
      <selection pane="bottomLeft" activeCell="E3" sqref="E3"/>
      <pageMargins left="0.75" right="0.75" top="1" bottom="1" header="0.5" footer="0.5"/>
      <pageSetup paperSize="8" fitToHeight="0" orientation="landscape"/>
      <headerFooter alignWithMargins="0">
        <oddFooter>&amp;L&amp;8&amp;F&amp;C&amp;8&amp;A&amp;R&amp;8page&amp;P</oddFooter>
      </headerFooter>
    </customSheetView>
    <customSheetView guid="{7EB5D807-CE20-46E2-AEE6-2C193E010EA4}" scale="80" showGridLines="0" fitToPage="1" showRuler="0">
      <pane ySplit="18" topLeftCell="A19" activePane="bottomLeft" state="frozen"/>
      <selection pane="bottomLeft" activeCell="E3" sqref="E3"/>
      <pageMargins left="0.75" right="0.75" top="1" bottom="1" header="0.5" footer="0.5"/>
      <pageSetup paperSize="8" fitToHeight="0" orientation="landscape"/>
      <headerFooter alignWithMargins="0">
        <oddFooter>&amp;L&amp;8&amp;F&amp;C&amp;8&amp;A&amp;R&amp;8page&amp;P</oddFooter>
      </headerFooter>
    </customSheetView>
  </customSheetViews>
  <mergeCells count="2">
    <mergeCell ref="H9:H10"/>
    <mergeCell ref="O9:O10"/>
  </mergeCells>
  <phoneticPr fontId="0" type="noConversion"/>
  <conditionalFormatting sqref="A7:G7">
    <cfRule type="expression" dxfId="45" priority="2" stopIfTrue="1">
      <formula>($E7&lt;&gt;"")</formula>
    </cfRule>
  </conditionalFormatting>
  <conditionalFormatting sqref="O9:O19">
    <cfRule type="cellIs" dxfId="44" priority="1" stopIfTrue="1" operator="notBetween">
      <formula>-0.05</formula>
      <formula>0.05</formula>
    </cfRule>
  </conditionalFormatting>
  <dataValidations count="4">
    <dataValidation type="list" allowBlank="1" showInputMessage="1" showErrorMessage="1" sqref="F6 F8 F11" xr:uid="{00000000-0002-0000-1600-000000000000}">
      <formula1>"A,D"</formula1>
    </dataValidation>
    <dataValidation type="list" allowBlank="1" showInputMessage="1" showErrorMessage="1" sqref="E7" xr:uid="{00000000-0002-0000-1600-000001000000}">
      <formula1>"- ,Individual result of previous calculation, Combined result of previous calculation"</formula1>
    </dataValidation>
    <dataValidation allowBlank="1" showInputMessage="1" showErrorMessage="1" promptTitle="Please note !" prompt="When changing the value in this cell, you must indicate in column E under &quot;overview results&quot; that you have used the result of a previous calculation. Please refer to paragraph 4.2 of the user manual for further instructions and examples." sqref="N26" xr:uid="{00000000-0002-0000-1600-000002000000}"/>
    <dataValidation allowBlank="1" showInputMessage="1" showErrorMessage="1" promptTitle="Electricity mix" sqref="B110 B122 B79 B53 B46" xr:uid="{00000000-0002-0000-1600-000003000000}"/>
  </dataValidations>
  <hyperlinks>
    <hyperlink ref="O104" location="Menu!A6" display="Back to menu" xr:uid="{00000000-0004-0000-1600-000000000000}"/>
    <hyperlink ref="O103" location="Menu!A6" display="Back to menu" xr:uid="{00000000-0004-0000-1600-000001000000}"/>
  </hyperlinks>
  <pageMargins left="0.75" right="0.75" top="1" bottom="1" header="0.5" footer="0.5"/>
  <pageSetup paperSize="8" fitToHeight="0" orientation="landscape" r:id="rId1"/>
  <headerFooter alignWithMargins="0">
    <oddFooter>&amp;L&amp;8&amp;F&amp;C&amp;8&amp;A&amp;R&amp;8page&amp;P</oddFooter>
  </headerFooter>
  <drawing r:id="rId2"/>
  <legacyDrawing r:id="rId3"/>
  <controls>
    <mc:AlternateContent xmlns:mc="http://schemas.openxmlformats.org/markup-compatibility/2006">
      <mc:Choice Requires="x14">
        <control shapeId="17412" r:id="rId4" name="CheckBox2">
          <controlPr autoLine="0" linkedCell="About!N86" r:id="rId5">
            <anchor moveWithCells="1">
              <from>
                <xdr:col>9</xdr:col>
                <xdr:colOff>38100</xdr:colOff>
                <xdr:row>15</xdr:row>
                <xdr:rowOff>47625</xdr:rowOff>
              </from>
              <to>
                <xdr:col>13</xdr:col>
                <xdr:colOff>885825</xdr:colOff>
                <xdr:row>17</xdr:row>
                <xdr:rowOff>85725</xdr:rowOff>
              </to>
            </anchor>
          </controlPr>
        </control>
      </mc:Choice>
      <mc:Fallback>
        <control shapeId="17412" r:id="rId4" name="CheckBox2"/>
      </mc:Fallback>
    </mc:AlternateContent>
    <mc:AlternateContent xmlns:mc="http://schemas.openxmlformats.org/markup-compatibility/2006">
      <mc:Choice Requires="x14">
        <control shapeId="17413" r:id="rId6" name="CheckBox1">
          <controlPr autoLine="0" linkedCell="About!N88" r:id="rId7">
            <anchor moveWithCells="1">
              <from>
                <xdr:col>9</xdr:col>
                <xdr:colOff>38100</xdr:colOff>
                <xdr:row>13</xdr:row>
                <xdr:rowOff>0</xdr:rowOff>
              </from>
              <to>
                <xdr:col>13</xdr:col>
                <xdr:colOff>866775</xdr:colOff>
                <xdr:row>15</xdr:row>
                <xdr:rowOff>171450</xdr:rowOff>
              </to>
            </anchor>
          </controlPr>
        </control>
      </mc:Choice>
      <mc:Fallback>
        <control shapeId="17413" r:id="rId6" name="CheckBox1"/>
      </mc:Fallback>
    </mc:AlternateContent>
    <mc:AlternateContent xmlns:mc="http://schemas.openxmlformats.org/markup-compatibility/2006">
      <mc:Choice Requires="x14">
        <control shapeId="17995" r:id="rId8" name="cmdTrackChanges">
          <controlPr defaultSize="0" autoLine="0" r:id="rId9">
            <anchor moveWithCells="1">
              <from>
                <xdr:col>1</xdr:col>
                <xdr:colOff>1247775</xdr:colOff>
                <xdr:row>18</xdr:row>
                <xdr:rowOff>95250</xdr:rowOff>
              </from>
              <to>
                <xdr:col>3</xdr:col>
                <xdr:colOff>419100</xdr:colOff>
                <xdr:row>19</xdr:row>
                <xdr:rowOff>219075</xdr:rowOff>
              </to>
            </anchor>
          </controlPr>
        </control>
      </mc:Choice>
      <mc:Fallback>
        <control shapeId="17995" r:id="rId8" name="cmdTrackChanges"/>
      </mc:Fallback>
    </mc:AlternateContent>
    <mc:AlternateContent xmlns:mc="http://schemas.openxmlformats.org/markup-compatibility/2006">
      <mc:Choice Requires="x14">
        <control shapeId="18058" r:id="rId10" name="Label 650">
          <controlPr defaultSize="0" autoFill="0" autoLine="0" autoPict="0" macro="[0]!GoToAbout">
            <anchor moveWithCells="1" sizeWithCells="1">
              <from>
                <xdr:col>10</xdr:col>
                <xdr:colOff>438150</xdr:colOff>
                <xdr:row>0</xdr:row>
                <xdr:rowOff>800100</xdr:rowOff>
              </from>
              <to>
                <xdr:col>12</xdr:col>
                <xdr:colOff>85725</xdr:colOff>
                <xdr:row>1</xdr:row>
                <xdr:rowOff>0</xdr:rowOff>
              </to>
            </anchor>
          </controlPr>
        </control>
      </mc:Choice>
    </mc:AlternateContent>
    <mc:AlternateContent xmlns:mc="http://schemas.openxmlformats.org/markup-compatibility/2006">
      <mc:Choice Requires="x14">
        <control shapeId="18059" r:id="rId11" name="Label 651">
          <controlPr defaultSize="0" autoFill="0" autoLine="0" autoPict="0" macro="[0]!GoToDirectory">
            <anchor moveWithCells="1" sizeWithCells="1">
              <from>
                <xdr:col>12</xdr:col>
                <xdr:colOff>161925</xdr:colOff>
                <xdr:row>0</xdr:row>
                <xdr:rowOff>800100</xdr:rowOff>
              </from>
              <to>
                <xdr:col>13</xdr:col>
                <xdr:colOff>990600</xdr:colOff>
                <xdr:row>1</xdr:row>
                <xdr:rowOff>0</xdr:rowOff>
              </to>
            </anchor>
          </controlPr>
        </control>
      </mc:Choice>
    </mc:AlternateContent>
  </control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H1">
    <pageSetUpPr fitToPage="1"/>
  </sheetPr>
  <dimension ref="A1:Q229"/>
  <sheetViews>
    <sheetView showGridLines="0" zoomScale="80" workbookViewId="0">
      <selection activeCell="A2" sqref="A2"/>
    </sheetView>
  </sheetViews>
  <sheetFormatPr baseColWidth="10" defaultColWidth="8.85546875" defaultRowHeight="12.75" x14ac:dyDescent="0.2"/>
  <cols>
    <col min="1" max="1" width="22.5703125" style="360" customWidth="1"/>
    <col min="2" max="2" width="25.85546875" style="360" customWidth="1"/>
    <col min="3" max="3" width="9.7109375" style="360" customWidth="1"/>
    <col min="4" max="4" width="20.140625" style="360" customWidth="1"/>
    <col min="5" max="5" width="14.85546875" style="360" customWidth="1"/>
    <col min="6" max="6" width="8.5703125" style="360" customWidth="1"/>
    <col min="7" max="7" width="2.85546875" style="360" customWidth="1"/>
    <col min="8" max="8" width="19.5703125" style="360" customWidth="1"/>
    <col min="9" max="9" width="9.140625" style="360" customWidth="1"/>
    <col min="10" max="10" width="9" style="360" customWidth="1"/>
    <col min="11" max="12" width="9.140625" style="360" customWidth="1"/>
    <col min="13" max="13" width="2.5703125" style="360" customWidth="1"/>
    <col min="14" max="14" width="16.7109375" style="360" customWidth="1"/>
    <col min="15" max="15" width="13.7109375" style="360" customWidth="1"/>
    <col min="16" max="16384" width="8.85546875" style="361"/>
  </cols>
  <sheetData>
    <row r="1" spans="1:15" ht="102" customHeight="1" x14ac:dyDescent="0.2"/>
    <row r="2" spans="1:15" ht="27.75" customHeight="1" x14ac:dyDescent="0.25">
      <c r="A2" s="362" t="s">
        <v>373</v>
      </c>
      <c r="B2" s="363"/>
      <c r="C2" s="364"/>
      <c r="D2" s="364"/>
      <c r="E2" s="364"/>
      <c r="F2" s="365"/>
      <c r="G2" s="365"/>
      <c r="H2" s="366"/>
      <c r="I2" s="368"/>
      <c r="J2" s="369"/>
      <c r="K2" s="370"/>
      <c r="L2" s="367"/>
      <c r="M2" s="367"/>
      <c r="N2" s="367"/>
      <c r="O2" s="371" t="str">
        <f>About!D2</f>
        <v>Version 4d for Testing</v>
      </c>
    </row>
    <row r="3" spans="1:15" ht="27.75" customHeight="1" x14ac:dyDescent="0.25">
      <c r="A3" s="372" t="s">
        <v>1050</v>
      </c>
      <c r="B3" s="373"/>
      <c r="C3" s="374"/>
      <c r="D3" s="374"/>
      <c r="E3" s="373"/>
      <c r="F3" s="373"/>
      <c r="G3" s="373"/>
      <c r="H3" s="375"/>
      <c r="I3" s="376"/>
      <c r="J3" s="377"/>
      <c r="K3" s="378"/>
      <c r="L3" s="377"/>
      <c r="M3" s="377"/>
      <c r="N3" s="379"/>
      <c r="O3" s="378"/>
    </row>
    <row r="4" spans="1:15" ht="16.5" customHeight="1" x14ac:dyDescent="0.25">
      <c r="A4" s="380" t="s">
        <v>861</v>
      </c>
      <c r="B4" s="381" t="s">
        <v>854</v>
      </c>
      <c r="C4" s="381" t="s">
        <v>1057</v>
      </c>
      <c r="D4" s="381" t="s">
        <v>852</v>
      </c>
      <c r="E4" s="382" t="s">
        <v>1047</v>
      </c>
      <c r="F4" s="383" t="s">
        <v>1125</v>
      </c>
      <c r="G4" s="384"/>
      <c r="H4" s="385" t="s">
        <v>869</v>
      </c>
      <c r="I4" s="386"/>
      <c r="J4" s="387" t="s">
        <v>1063</v>
      </c>
      <c r="K4" s="388"/>
      <c r="L4" s="389"/>
      <c r="M4" s="390"/>
      <c r="N4" s="387" t="s">
        <v>391</v>
      </c>
      <c r="O4" s="391"/>
    </row>
    <row r="5" spans="1:15" ht="16.5" customHeight="1" x14ac:dyDescent="0.25">
      <c r="A5" s="392" t="s">
        <v>864</v>
      </c>
      <c r="B5" s="393" t="s">
        <v>853</v>
      </c>
      <c r="C5" s="393" t="s">
        <v>1062</v>
      </c>
      <c r="D5" s="393" t="s">
        <v>853</v>
      </c>
      <c r="E5" s="394"/>
      <c r="F5" s="395" t="s">
        <v>1126</v>
      </c>
      <c r="G5" s="396"/>
      <c r="H5" s="397" t="s">
        <v>866</v>
      </c>
      <c r="I5" s="390"/>
      <c r="J5" s="398" t="str">
        <f>A70</f>
        <v>Extraction of oil</v>
      </c>
      <c r="K5" s="399"/>
      <c r="L5" s="400"/>
      <c r="M5" s="390"/>
      <c r="N5" s="398" t="s">
        <v>395</v>
      </c>
      <c r="O5" s="400"/>
    </row>
    <row r="6" spans="1:15" ht="16.5" customHeight="1" x14ac:dyDescent="0.35">
      <c r="A6" s="401" t="s">
        <v>170</v>
      </c>
      <c r="B6" s="402"/>
      <c r="C6" s="403"/>
      <c r="D6" s="404"/>
      <c r="E6" s="405">
        <f>IF(F6="A",D7+D8,H6)</f>
        <v>29.811083383920817</v>
      </c>
      <c r="F6" s="406" t="s">
        <v>1127</v>
      </c>
      <c r="G6" s="407"/>
      <c r="H6" s="408">
        <v>30</v>
      </c>
      <c r="I6" s="390"/>
      <c r="J6" s="409">
        <f>F95/F97</f>
        <v>0.61250210048731302</v>
      </c>
      <c r="K6" s="410" t="s">
        <v>660</v>
      </c>
      <c r="L6" s="411"/>
      <c r="M6" s="390"/>
      <c r="N6" s="412">
        <v>83.8</v>
      </c>
      <c r="O6" s="413" t="s">
        <v>394</v>
      </c>
    </row>
    <row r="7" spans="1:15" ht="12" customHeight="1" x14ac:dyDescent="0.2">
      <c r="A7" s="398" t="str">
        <f>A23</f>
        <v>Cultivation of rapeseed</v>
      </c>
      <c r="B7" s="414">
        <f>L46</f>
        <v>47.962508432825594</v>
      </c>
      <c r="C7" s="415">
        <f>J6</f>
        <v>0.61250210048731302</v>
      </c>
      <c r="D7" s="416">
        <f>C7*B7</f>
        <v>29.377137159746141</v>
      </c>
      <c r="E7" s="1215"/>
      <c r="F7" s="418"/>
      <c r="G7" s="418"/>
      <c r="H7" s="419">
        <f>29.39</f>
        <v>29.39</v>
      </c>
      <c r="I7" s="390"/>
      <c r="J7" s="420">
        <f>1-J6</f>
        <v>0.38749789951268698</v>
      </c>
      <c r="K7" s="421" t="s">
        <v>661</v>
      </c>
      <c r="L7" s="422"/>
      <c r="M7" s="390"/>
      <c r="N7" s="398" t="s">
        <v>393</v>
      </c>
      <c r="O7" s="400"/>
    </row>
    <row r="8" spans="1:15" ht="12" customHeight="1" x14ac:dyDescent="0.2">
      <c r="A8" s="398" t="str">
        <f>A49</f>
        <v>Rapeseed drying</v>
      </c>
      <c r="B8" s="414">
        <f>L57</f>
        <v>0.70848120166350925</v>
      </c>
      <c r="C8" s="415">
        <f>J6</f>
        <v>0.61250210048731302</v>
      </c>
      <c r="D8" s="416">
        <f>C8*B8</f>
        <v>0.43394622417467504</v>
      </c>
      <c r="E8" s="1215"/>
      <c r="F8" s="418"/>
      <c r="G8" s="418"/>
      <c r="H8" s="419">
        <f>0.43</f>
        <v>0.43</v>
      </c>
      <c r="I8" s="390"/>
      <c r="J8" s="645"/>
      <c r="K8" s="646"/>
      <c r="L8" s="643"/>
      <c r="M8" s="390"/>
      <c r="N8" s="426">
        <f>(N6-E20)/N6</f>
        <v>0.46916275000716728</v>
      </c>
      <c r="O8" s="427"/>
    </row>
    <row r="9" spans="1:15" ht="16.5" customHeight="1" x14ac:dyDescent="0.35">
      <c r="A9" s="401" t="s">
        <v>544</v>
      </c>
      <c r="B9" s="423"/>
      <c r="C9" s="423"/>
      <c r="D9" s="424"/>
      <c r="E9" s="425">
        <f>IF(F9="A",D10+D11,H9)</f>
        <v>13.340820024105746</v>
      </c>
      <c r="F9" s="406" t="s">
        <v>1127</v>
      </c>
      <c r="G9" s="407"/>
      <c r="H9" s="648">
        <v>13</v>
      </c>
      <c r="I9" s="390"/>
      <c r="J9" s="390"/>
      <c r="K9" s="390"/>
      <c r="L9" s="390"/>
      <c r="M9" s="390"/>
      <c r="N9" s="390"/>
      <c r="O9" s="430"/>
    </row>
    <row r="10" spans="1:15" ht="12" customHeight="1" x14ac:dyDescent="0.2">
      <c r="A10" s="398" t="str">
        <f>A70</f>
        <v>Extraction of oil</v>
      </c>
      <c r="B10" s="414">
        <f>L89</f>
        <v>6.4404433776874397</v>
      </c>
      <c r="C10" s="415">
        <f>J6</f>
        <v>0.61250210048731302</v>
      </c>
      <c r="D10" s="416">
        <f>C10*B10</f>
        <v>3.9447850969031619</v>
      </c>
      <c r="E10" s="1215"/>
      <c r="F10" s="418"/>
      <c r="G10" s="418"/>
      <c r="H10" s="419">
        <f>1.4*2.82</f>
        <v>3.9479999999999995</v>
      </c>
      <c r="I10" s="390"/>
      <c r="J10" s="390"/>
      <c r="K10" s="390"/>
      <c r="L10" s="390"/>
      <c r="M10" s="390"/>
      <c r="N10" s="390"/>
      <c r="O10" s="441"/>
    </row>
    <row r="11" spans="1:15" x14ac:dyDescent="0.2">
      <c r="A11" s="398" t="str">
        <f>A111</f>
        <v>Hydrogenation of veg. oil</v>
      </c>
      <c r="B11" s="414">
        <f>L129</f>
        <v>9.3960349272025834</v>
      </c>
      <c r="C11" s="415">
        <v>1</v>
      </c>
      <c r="D11" s="416">
        <f>C11*B11</f>
        <v>9.3960349272025834</v>
      </c>
      <c r="E11" s="417"/>
      <c r="F11" s="418"/>
      <c r="G11" s="418"/>
      <c r="H11" s="419">
        <f>1.4*6.69</f>
        <v>9.3659999999999997</v>
      </c>
      <c r="I11" s="390"/>
      <c r="J11" s="390"/>
      <c r="K11" s="390"/>
      <c r="L11" s="390"/>
      <c r="M11" s="390"/>
      <c r="N11" s="390"/>
      <c r="O11" s="441"/>
    </row>
    <row r="12" spans="1:15" ht="16.5" customHeight="1" thickBot="1" x14ac:dyDescent="0.4">
      <c r="A12" s="401" t="s">
        <v>545</v>
      </c>
      <c r="B12" s="423"/>
      <c r="C12" s="423"/>
      <c r="D12" s="424"/>
      <c r="E12" s="425">
        <f>IF(F12="A",D13+D14+D15+D16, H12)</f>
        <v>1.3322581413728192</v>
      </c>
      <c r="F12" s="406" t="s">
        <v>1127</v>
      </c>
      <c r="G12" s="407"/>
      <c r="H12" s="648">
        <v>1</v>
      </c>
      <c r="I12" s="390"/>
      <c r="J12" s="390"/>
      <c r="K12" s="390"/>
      <c r="L12" s="390"/>
      <c r="M12" s="390"/>
      <c r="N12" s="390"/>
      <c r="O12" s="441"/>
    </row>
    <row r="13" spans="1:15" ht="12" customHeight="1" x14ac:dyDescent="0.2">
      <c r="A13" s="398" t="str">
        <f>A60</f>
        <v>Transport of rapeseed</v>
      </c>
      <c r="B13" s="414">
        <f>L67</f>
        <v>0.29188293579658053</v>
      </c>
      <c r="C13" s="415">
        <f>J6</f>
        <v>0.61250210048731302</v>
      </c>
      <c r="D13" s="416">
        <f t="shared" ref="D13:D19" si="0">C13*B13</f>
        <v>0.17877891127180912</v>
      </c>
      <c r="E13" s="1215"/>
      <c r="F13" s="418"/>
      <c r="G13" s="418"/>
      <c r="H13" s="419">
        <f>0.18</f>
        <v>0.18</v>
      </c>
      <c r="I13" s="390"/>
      <c r="J13" s="432" t="s">
        <v>140</v>
      </c>
      <c r="K13" s="433"/>
      <c r="L13" s="433"/>
      <c r="M13" s="433"/>
      <c r="N13" s="434"/>
      <c r="O13" s="430"/>
    </row>
    <row r="14" spans="1:15" ht="12" customHeight="1" x14ac:dyDescent="0.2">
      <c r="A14" s="398" t="str">
        <f>A101</f>
        <v>Transport of rapeseed oil</v>
      </c>
      <c r="B14" s="414">
        <f>L108</f>
        <v>0</v>
      </c>
      <c r="C14" s="415">
        <v>1</v>
      </c>
      <c r="D14" s="416">
        <f t="shared" si="0"/>
        <v>0</v>
      </c>
      <c r="E14" s="1215"/>
      <c r="F14" s="418"/>
      <c r="G14" s="418"/>
      <c r="H14" s="419">
        <v>0</v>
      </c>
      <c r="I14" s="390"/>
      <c r="J14" s="438"/>
      <c r="K14" s="439"/>
      <c r="L14" s="439"/>
      <c r="M14" s="439"/>
      <c r="N14" s="440"/>
      <c r="O14" s="441"/>
    </row>
    <row r="15" spans="1:15" ht="12" customHeight="1" x14ac:dyDescent="0.2">
      <c r="A15" s="398" t="str">
        <f>A132</f>
        <v>Transport of HVO to depot</v>
      </c>
      <c r="B15" s="414">
        <f>L141</f>
        <v>0.41060866393939388</v>
      </c>
      <c r="C15" s="415">
        <v>1</v>
      </c>
      <c r="D15" s="416">
        <f t="shared" si="0"/>
        <v>0.41060866393939388</v>
      </c>
      <c r="E15" s="436"/>
      <c r="F15" s="437"/>
      <c r="G15" s="437"/>
      <c r="H15" s="419">
        <f>0.71</f>
        <v>0.71</v>
      </c>
      <c r="I15" s="390"/>
      <c r="J15" s="438"/>
      <c r="K15" s="439"/>
      <c r="L15" s="439"/>
      <c r="M15" s="442"/>
      <c r="N15" s="443"/>
      <c r="O15" s="441"/>
    </row>
    <row r="16" spans="1:15" ht="12" customHeight="1" x14ac:dyDescent="0.2">
      <c r="A16" s="398" t="str">
        <f>A144</f>
        <v>Transport to filling station</v>
      </c>
      <c r="B16" s="414">
        <f>L153</f>
        <v>0.74287056616161617</v>
      </c>
      <c r="C16" s="415">
        <v>1</v>
      </c>
      <c r="D16" s="416">
        <f t="shared" si="0"/>
        <v>0.74287056616161617</v>
      </c>
      <c r="E16" s="436"/>
      <c r="F16" s="437"/>
      <c r="G16" s="437"/>
      <c r="H16" s="419">
        <f>0.44</f>
        <v>0.44</v>
      </c>
      <c r="I16" s="390"/>
      <c r="J16" s="438"/>
      <c r="K16" s="439"/>
      <c r="L16" s="439"/>
      <c r="M16" s="448"/>
      <c r="N16" s="449"/>
      <c r="O16" s="441"/>
    </row>
    <row r="17" spans="1:17" ht="17.25" customHeight="1" x14ac:dyDescent="0.35">
      <c r="A17" s="444" t="s">
        <v>551</v>
      </c>
      <c r="B17" s="445">
        <f>L165</f>
        <v>0</v>
      </c>
      <c r="C17" s="446">
        <f>J6</f>
        <v>0.61250210048731302</v>
      </c>
      <c r="D17" s="445">
        <f t="shared" si="0"/>
        <v>0</v>
      </c>
      <c r="E17" s="425">
        <f>D17</f>
        <v>0</v>
      </c>
      <c r="F17" s="451"/>
      <c r="G17" s="451"/>
      <c r="H17" s="447">
        <v>0</v>
      </c>
      <c r="I17" s="379"/>
      <c r="J17" s="438"/>
      <c r="K17" s="439"/>
      <c r="L17" s="439"/>
      <c r="M17" s="448"/>
      <c r="N17" s="449"/>
      <c r="O17" s="649"/>
    </row>
    <row r="18" spans="1:17" ht="16.5" customHeight="1" x14ac:dyDescent="0.35">
      <c r="A18" s="444" t="s">
        <v>724</v>
      </c>
      <c r="B18" s="445">
        <f>L184-L168</f>
        <v>0</v>
      </c>
      <c r="C18" s="446">
        <v>1</v>
      </c>
      <c r="D18" s="445">
        <f t="shared" si="0"/>
        <v>0</v>
      </c>
      <c r="E18" s="425">
        <f>D18</f>
        <v>0</v>
      </c>
      <c r="F18" s="451"/>
      <c r="G18" s="451"/>
      <c r="H18" s="447">
        <v>0</v>
      </c>
      <c r="I18" s="379"/>
      <c r="J18" s="438"/>
      <c r="K18" s="439"/>
      <c r="L18" s="439"/>
      <c r="M18" s="448"/>
      <c r="N18" s="449"/>
      <c r="O18" s="649"/>
    </row>
    <row r="19" spans="1:17" ht="16.5" customHeight="1" thickBot="1" x14ac:dyDescent="0.4">
      <c r="A19" s="444" t="s">
        <v>725</v>
      </c>
      <c r="B19" s="445">
        <f>L190+L196</f>
        <v>0</v>
      </c>
      <c r="C19" s="446">
        <v>1</v>
      </c>
      <c r="D19" s="445">
        <f t="shared" si="0"/>
        <v>0</v>
      </c>
      <c r="E19" s="425">
        <f>D19</f>
        <v>0</v>
      </c>
      <c r="F19" s="451"/>
      <c r="G19" s="451"/>
      <c r="H19" s="447">
        <v>0</v>
      </c>
      <c r="I19" s="379"/>
      <c r="J19" s="459" t="s">
        <v>1</v>
      </c>
      <c r="K19" s="460"/>
      <c r="L19" s="460"/>
      <c r="M19" s="461"/>
      <c r="N19" s="462"/>
      <c r="O19" s="649"/>
    </row>
    <row r="20" spans="1:17" ht="16.5" customHeight="1" thickBot="1" x14ac:dyDescent="0.3">
      <c r="A20" s="452" t="s">
        <v>1049</v>
      </c>
      <c r="B20" s="453">
        <f>SUM(B7:B17)-SUM(B18:B19)</f>
        <v>65.952830105276718</v>
      </c>
      <c r="C20" s="454"/>
      <c r="D20" s="454"/>
      <c r="E20" s="456">
        <f>SUM(E6:E17)-SUM(E18:E19)</f>
        <v>44.484161549399381</v>
      </c>
      <c r="F20" s="457"/>
      <c r="G20" s="457"/>
      <c r="H20" s="458">
        <v>44</v>
      </c>
      <c r="I20" s="379"/>
      <c r="J20" s="650"/>
      <c r="K20" s="651"/>
      <c r="L20" s="651"/>
      <c r="M20" s="652"/>
      <c r="N20" s="652"/>
      <c r="O20" s="463"/>
      <c r="Q20" s="429"/>
    </row>
    <row r="21" spans="1:17" ht="16.5" customHeight="1" x14ac:dyDescent="0.25">
      <c r="A21" s="464"/>
      <c r="B21" s="465"/>
      <c r="E21" s="466" t="s">
        <v>859</v>
      </c>
      <c r="F21" s="467"/>
      <c r="G21" s="467"/>
      <c r="H21" s="468"/>
      <c r="I21" s="469"/>
      <c r="J21" s="470"/>
      <c r="K21" s="433"/>
      <c r="L21" s="471"/>
      <c r="M21" s="433"/>
      <c r="N21" s="433"/>
      <c r="O21" s="472"/>
    </row>
    <row r="22" spans="1:17" ht="22.5" customHeight="1" thickBot="1" x14ac:dyDescent="0.25">
      <c r="A22" s="473" t="s">
        <v>1051</v>
      </c>
      <c r="B22" s="379"/>
      <c r="E22" s="474" t="s">
        <v>860</v>
      </c>
      <c r="F22" s="442"/>
      <c r="G22" s="442"/>
      <c r="H22" s="442"/>
      <c r="I22" s="439"/>
      <c r="J22" s="475"/>
      <c r="K22" s="475"/>
      <c r="L22" s="476"/>
      <c r="M22" s="477"/>
      <c r="N22" s="477"/>
      <c r="O22" s="478"/>
    </row>
    <row r="23" spans="1:17" ht="15.75" x14ac:dyDescent="0.25">
      <c r="A23" s="479" t="s">
        <v>737</v>
      </c>
      <c r="B23" s="480"/>
      <c r="C23" s="480"/>
      <c r="D23" s="480"/>
      <c r="E23" s="479" t="s">
        <v>513</v>
      </c>
      <c r="F23" s="481"/>
      <c r="G23" s="481"/>
      <c r="H23" s="480"/>
      <c r="I23" s="482" t="s">
        <v>532</v>
      </c>
      <c r="J23" s="481"/>
      <c r="K23" s="481"/>
      <c r="L23" s="483"/>
      <c r="M23" s="715"/>
      <c r="N23" s="610" t="s">
        <v>162</v>
      </c>
      <c r="O23" s="653"/>
    </row>
    <row r="24" spans="1:17" ht="15.75" x14ac:dyDescent="0.25">
      <c r="A24" s="486"/>
      <c r="B24" s="487" t="s">
        <v>524</v>
      </c>
      <c r="C24" s="488"/>
      <c r="D24" s="488"/>
      <c r="E24" s="489" t="s">
        <v>524</v>
      </c>
      <c r="F24" s="490"/>
      <c r="G24" s="490"/>
      <c r="H24" s="491"/>
      <c r="I24" s="492" t="s">
        <v>674</v>
      </c>
      <c r="J24" s="490"/>
      <c r="K24" s="490"/>
      <c r="L24" s="493"/>
      <c r="M24" s="484"/>
      <c r="N24" s="538" t="s">
        <v>637</v>
      </c>
      <c r="O24" s="654" t="s">
        <v>139</v>
      </c>
    </row>
    <row r="25" spans="1:17" ht="16.5" x14ac:dyDescent="0.3">
      <c r="A25" s="494"/>
      <c r="B25" s="495" t="s">
        <v>512</v>
      </c>
      <c r="C25" s="496">
        <v>3113.4428644904001</v>
      </c>
      <c r="D25" s="497" t="s">
        <v>527</v>
      </c>
      <c r="E25" s="656">
        <f>C25*(1-C26)*VLOOKUP($B25,'Standard values'!$C$9:$S$162,14, FALSE)</f>
        <v>73975.402460291909</v>
      </c>
      <c r="F25" s="499" t="s">
        <v>415</v>
      </c>
      <c r="G25" s="499"/>
      <c r="H25" s="499"/>
      <c r="I25" s="500" t="s">
        <v>1053</v>
      </c>
      <c r="J25" s="500" t="s">
        <v>1054</v>
      </c>
      <c r="K25" s="500" t="s">
        <v>1055</v>
      </c>
      <c r="L25" s="501" t="s">
        <v>1056</v>
      </c>
      <c r="M25" s="379"/>
      <c r="N25" s="540" t="s">
        <v>1056</v>
      </c>
      <c r="O25" s="657" t="s">
        <v>550</v>
      </c>
    </row>
    <row r="26" spans="1:17" ht="15.75" x14ac:dyDescent="0.3">
      <c r="A26" s="503"/>
      <c r="B26" s="495" t="s">
        <v>521</v>
      </c>
      <c r="C26" s="504">
        <v>0.1</v>
      </c>
      <c r="D26" s="497"/>
      <c r="E26" s="505">
        <v>1</v>
      </c>
      <c r="F26" s="506" t="s">
        <v>740</v>
      </c>
      <c r="G26" s="506"/>
      <c r="H26" s="495"/>
      <c r="I26" s="507"/>
      <c r="J26" s="508"/>
      <c r="K26" s="508"/>
      <c r="L26" s="509"/>
      <c r="M26" s="379"/>
      <c r="N26" s="541"/>
      <c r="O26" s="616"/>
    </row>
    <row r="27" spans="1:17" ht="15.75" x14ac:dyDescent="0.3">
      <c r="A27" s="503"/>
      <c r="B27" s="495" t="s">
        <v>124</v>
      </c>
      <c r="C27" s="721" t="s">
        <v>738</v>
      </c>
      <c r="D27" s="497" t="s">
        <v>527</v>
      </c>
      <c r="E27" s="510">
        <f>+C25/E201</f>
        <v>7.1767212014982956E-2</v>
      </c>
      <c r="F27" s="506" t="s">
        <v>825</v>
      </c>
      <c r="G27" s="506"/>
      <c r="H27" s="495"/>
      <c r="I27" s="508"/>
      <c r="J27" s="508"/>
      <c r="K27" s="508"/>
      <c r="L27" s="509"/>
      <c r="M27" s="379"/>
      <c r="N27" s="541"/>
      <c r="O27" s="616"/>
    </row>
    <row r="28" spans="1:17" x14ac:dyDescent="0.2">
      <c r="A28" s="503"/>
      <c r="B28" s="495"/>
      <c r="C28" s="722"/>
      <c r="D28" s="497"/>
      <c r="E28" s="503"/>
      <c r="F28" s="495"/>
      <c r="G28" s="495"/>
      <c r="H28" s="495"/>
      <c r="I28" s="546"/>
      <c r="J28" s="546"/>
      <c r="K28" s="546"/>
      <c r="L28" s="661"/>
      <c r="M28" s="379"/>
      <c r="N28" s="541"/>
      <c r="O28" s="616"/>
    </row>
    <row r="29" spans="1:17" x14ac:dyDescent="0.2">
      <c r="A29" s="503"/>
      <c r="B29" s="511" t="s">
        <v>525</v>
      </c>
      <c r="C29" s="722"/>
      <c r="D29" s="497"/>
      <c r="E29" s="503"/>
      <c r="F29" s="495"/>
      <c r="G29" s="495"/>
      <c r="H29" s="495"/>
      <c r="I29" s="546"/>
      <c r="J29" s="546"/>
      <c r="K29" s="546"/>
      <c r="L29" s="661"/>
      <c r="M29" s="379"/>
      <c r="N29" s="541"/>
      <c r="O29" s="616"/>
    </row>
    <row r="30" spans="1:17" ht="14.25" x14ac:dyDescent="0.2">
      <c r="A30" s="503"/>
      <c r="B30" s="495" t="s">
        <v>509</v>
      </c>
      <c r="C30" s="723">
        <v>2963</v>
      </c>
      <c r="D30" s="497" t="s">
        <v>528</v>
      </c>
      <c r="E30" s="513"/>
      <c r="F30" s="495"/>
      <c r="G30" s="495"/>
      <c r="H30" s="495"/>
      <c r="I30" s="508">
        <f>$C30*VLOOKUP($B30,'Standard values'!$C$9:$S$162,7, FALSE)/$E$201</f>
        <v>5.9856826726648968</v>
      </c>
      <c r="J30" s="508">
        <f>$C30*VLOOKUP($B30,'Standard values'!$C$9:$S$162,8, FALSE)/$E$201</f>
        <v>0</v>
      </c>
      <c r="K30" s="724">
        <f>$C30*VLOOKUP($B30,'Standard values'!$C$9:$S$162,9, FALSE)/$E$201</f>
        <v>0</v>
      </c>
      <c r="L30" s="509">
        <f>I30*'Standard values'!$D$10+J30*'Standard values'!$D$11+K30*'Standard values'!$D$12</f>
        <v>5.9856826726648968</v>
      </c>
      <c r="M30" s="379"/>
      <c r="N30" s="562">
        <f>+L30/$E$27</f>
        <v>83.404141036093975</v>
      </c>
      <c r="O30" s="663">
        <f>L30*$E$201/1000</f>
        <v>259.67402777777778</v>
      </c>
    </row>
    <row r="31" spans="1:17" x14ac:dyDescent="0.2">
      <c r="A31" s="503"/>
      <c r="B31" s="495"/>
      <c r="C31" s="722"/>
      <c r="D31" s="497"/>
      <c r="E31" s="513"/>
      <c r="F31" s="495"/>
      <c r="G31" s="495"/>
      <c r="H31" s="495"/>
      <c r="I31" s="508"/>
      <c r="J31" s="508"/>
      <c r="K31" s="508"/>
      <c r="L31" s="509"/>
      <c r="M31" s="379"/>
      <c r="N31" s="562"/>
      <c r="O31" s="663"/>
    </row>
    <row r="32" spans="1:17" x14ac:dyDescent="0.2">
      <c r="A32" s="503"/>
      <c r="B32" s="511" t="s">
        <v>1045</v>
      </c>
      <c r="C32" s="722"/>
      <c r="D32" s="497"/>
      <c r="E32" s="513"/>
      <c r="F32" s="495"/>
      <c r="G32" s="495"/>
      <c r="H32" s="495"/>
      <c r="I32" s="508"/>
      <c r="J32" s="508"/>
      <c r="K32" s="508"/>
      <c r="L32" s="509"/>
      <c r="M32" s="379"/>
      <c r="N32" s="562"/>
      <c r="O32" s="663"/>
    </row>
    <row r="33" spans="1:15" ht="14.25" x14ac:dyDescent="0.2">
      <c r="A33" s="503"/>
      <c r="B33" s="495" t="s">
        <v>231</v>
      </c>
      <c r="C33" s="556">
        <v>137.42915126138399</v>
      </c>
      <c r="D33" s="497" t="s">
        <v>529</v>
      </c>
      <c r="E33" s="513"/>
      <c r="F33" s="495"/>
      <c r="G33" s="495"/>
      <c r="H33" s="495"/>
      <c r="I33" s="508">
        <f>$C33*VLOOKUP($B33,'Standard values'!$C$9:$S$162,3, FALSE)/$E$201</f>
        <v>8.9555157205338816</v>
      </c>
      <c r="J33" s="508">
        <f>$C33*VLOOKUP($B33,'Standard values'!$C$9:$S$162,4, FALSE)/$E$201</f>
        <v>2.7493100502008136E-2</v>
      </c>
      <c r="K33" s="508">
        <f>$C33*VLOOKUP($B33,'Standard values'!$C$9:$S$162,5, FALSE)/$E$201</f>
        <v>3.0543736048792691E-2</v>
      </c>
      <c r="L33" s="509">
        <f>I33*'Standard values'!$D$10+J33*'Standard values'!$D$11+K33*'Standard values'!$D$12</f>
        <v>18.744876575624307</v>
      </c>
      <c r="M33" s="379"/>
      <c r="N33" s="562">
        <f t="shared" ref="N33:N38" si="1">+L33/$E$27</f>
        <v>261.18997867314266</v>
      </c>
      <c r="O33" s="663">
        <f t="shared" ref="O33:O38" si="2">L33*$E$201/1000</f>
        <v>813.20007537629579</v>
      </c>
    </row>
    <row r="34" spans="1:15" ht="14.25" x14ac:dyDescent="0.2">
      <c r="A34" s="503"/>
      <c r="B34" s="495" t="s">
        <v>504</v>
      </c>
      <c r="C34" s="556">
        <v>0</v>
      </c>
      <c r="D34" s="497" t="s">
        <v>529</v>
      </c>
      <c r="E34" s="513"/>
      <c r="F34" s="495"/>
      <c r="G34" s="495"/>
      <c r="H34" s="495"/>
      <c r="I34" s="508">
        <f>$C34*VLOOKUP($B34,'Standard values'!$C$9:$S$162,3, FALSE)/$E$201</f>
        <v>0</v>
      </c>
      <c r="J34" s="508">
        <f>$C34*VLOOKUP($B34,'Standard values'!$C$9:$S$162,4, FALSE)/$E$201</f>
        <v>0</v>
      </c>
      <c r="K34" s="508">
        <f>$C34*VLOOKUP($B34,'Standard values'!$C$9:$S$162,5, FALSE)/$E$201</f>
        <v>0</v>
      </c>
      <c r="L34" s="509">
        <f>I34*'Standard values'!$D$10+J34*'Standard values'!$D$11+K34*'Standard values'!$D$12</f>
        <v>0</v>
      </c>
      <c r="M34" s="379"/>
      <c r="N34" s="562">
        <f t="shared" si="1"/>
        <v>0</v>
      </c>
      <c r="O34" s="663">
        <f t="shared" si="2"/>
        <v>0</v>
      </c>
    </row>
    <row r="35" spans="1:15" ht="14.25" x14ac:dyDescent="0.2">
      <c r="A35" s="503"/>
      <c r="B35" s="495" t="s">
        <v>234</v>
      </c>
      <c r="C35" s="556">
        <v>19</v>
      </c>
      <c r="D35" s="497" t="s">
        <v>745</v>
      </c>
      <c r="E35" s="513"/>
      <c r="F35" s="495"/>
      <c r="G35" s="495"/>
      <c r="H35" s="495"/>
      <c r="I35" s="508">
        <f>$C35*VLOOKUP($B35,'Standard values'!$C$9:$S$162,3, FALSE)/$E$201</f>
        <v>5.2168563346269271E-2</v>
      </c>
      <c r="J35" s="508">
        <f>$C35*VLOOKUP($B35,'Standard values'!$C$9:$S$162,4, FALSE)/$E$201</f>
        <v>9.4556506484935149E-5</v>
      </c>
      <c r="K35" s="508">
        <f>$C35*VLOOKUP($B35,'Standard values'!$C$9:$S$162,5, FALSE)/$E$201</f>
        <v>8.0147478864025625E-6</v>
      </c>
      <c r="L35" s="509">
        <f>I35*'Standard values'!$D$10+J35*'Standard values'!$D$11+K35*'Standard values'!$D$12</f>
        <v>5.6920870878540614E-2</v>
      </c>
      <c r="M35" s="379"/>
      <c r="N35" s="562">
        <f t="shared" si="1"/>
        <v>0.79313197880192354</v>
      </c>
      <c r="O35" s="663">
        <f t="shared" si="2"/>
        <v>2.4693711000000005</v>
      </c>
    </row>
    <row r="36" spans="1:15" ht="15.75" x14ac:dyDescent="0.3">
      <c r="A36" s="503"/>
      <c r="B36" s="495" t="s">
        <v>233</v>
      </c>
      <c r="C36" s="556">
        <v>49.456704071183701</v>
      </c>
      <c r="D36" s="497" t="s">
        <v>530</v>
      </c>
      <c r="E36" s="513"/>
      <c r="F36" s="495"/>
      <c r="G36" s="495"/>
      <c r="H36" s="495"/>
      <c r="I36" s="508">
        <f>$C36*VLOOKUP($B36,'Standard values'!$C$9:$S$162,3, FALSE)/$E$201</f>
        <v>0.61140216051161578</v>
      </c>
      <c r="J36" s="508">
        <f>$C36*VLOOKUP($B36,'Standard values'!$C$9:$S$162,4, FALSE)/$E$201</f>
        <v>1.790848655038891E-3</v>
      </c>
      <c r="K36" s="508">
        <f>$C36*VLOOKUP($B36,'Standard values'!$C$9:$S$162,5, FALSE)/$E$201</f>
        <v>1.4022177386834529E-5</v>
      </c>
      <c r="L36" s="509">
        <f>I36*'Standard values'!$D$10+J36*'Standard values'!$D$11+K36*'Standard values'!$D$12</f>
        <v>0.66035198574886478</v>
      </c>
      <c r="M36" s="379"/>
      <c r="N36" s="562">
        <f t="shared" si="1"/>
        <v>9.2013047073780996</v>
      </c>
      <c r="O36" s="663">
        <f t="shared" si="2"/>
        <v>28.647736485188275</v>
      </c>
    </row>
    <row r="37" spans="1:15" ht="15.75" x14ac:dyDescent="0.3">
      <c r="A37" s="503"/>
      <c r="B37" s="495" t="s">
        <v>232</v>
      </c>
      <c r="C37" s="556">
        <v>33.673145974586099</v>
      </c>
      <c r="D37" s="497" t="s">
        <v>531</v>
      </c>
      <c r="E37" s="513"/>
      <c r="F37" s="495"/>
      <c r="G37" s="495"/>
      <c r="H37" s="495"/>
      <c r="I37" s="508">
        <f>$C37*VLOOKUP($B37,'Standard values'!$C$9:$S$162,3, FALSE)/$E$201</f>
        <v>0.74893667472914738</v>
      </c>
      <c r="J37" s="508">
        <f>$C37*VLOOKUP($B37,'Standard values'!$C$9:$S$162,4, FALSE)/$E$201</f>
        <v>1.033110851964967E-3</v>
      </c>
      <c r="K37" s="508">
        <f>$C37*VLOOKUP($B37,'Standard values'!$C$9:$S$162,5, FALSE)/$E$201</f>
        <v>3.997386091374591E-5</v>
      </c>
      <c r="L37" s="509">
        <f>I37*'Standard values'!$D$10+J37*'Standard values'!$D$11+K37*'Standard values'!$D$12</f>
        <v>0.78667665658056785</v>
      </c>
      <c r="M37" s="379"/>
      <c r="N37" s="562">
        <f t="shared" si="1"/>
        <v>10.961505045177624</v>
      </c>
      <c r="O37" s="663">
        <f t="shared" si="2"/>
        <v>34.128019666983796</v>
      </c>
    </row>
    <row r="38" spans="1:15" ht="14.25" x14ac:dyDescent="0.2">
      <c r="A38" s="503"/>
      <c r="B38" s="495" t="s">
        <v>502</v>
      </c>
      <c r="C38" s="556">
        <v>1.23</v>
      </c>
      <c r="D38" s="497" t="s">
        <v>527</v>
      </c>
      <c r="E38" s="513"/>
      <c r="F38" s="665"/>
      <c r="G38" s="665"/>
      <c r="H38" s="665"/>
      <c r="I38" s="508">
        <f>$C38*VLOOKUP($B38,'Standard values'!$C$9:$S$162,3, FALSE)/$E$201</f>
        <v>0.28030635559490963</v>
      </c>
      <c r="J38" s="508">
        <f>$C38*VLOOKUP($B38,'Standard values'!$C$9:$S$162,4, FALSE)/$E$201</f>
        <v>7.2375531506561354E-4</v>
      </c>
      <c r="K38" s="508">
        <f>$C38*VLOOKUP($B38,'Standard values'!$C$9:$S$162,5, FALSE)/$E$201</f>
        <v>4.7671775750137011E-5</v>
      </c>
      <c r="L38" s="509">
        <f>I38*'Standard values'!$D$10+J38*'Standard values'!$D$11+K38*'Standard values'!$D$12</f>
        <v>0.31260642764509078</v>
      </c>
      <c r="M38" s="379"/>
      <c r="N38" s="562">
        <f t="shared" si="1"/>
        <v>4.3558390923675203</v>
      </c>
      <c r="O38" s="663">
        <f t="shared" si="2"/>
        <v>13.561656141</v>
      </c>
    </row>
    <row r="39" spans="1:15" x14ac:dyDescent="0.2">
      <c r="A39" s="503"/>
      <c r="B39" s="495"/>
      <c r="C39" s="725"/>
      <c r="D39" s="497"/>
      <c r="E39" s="513"/>
      <c r="F39" s="665"/>
      <c r="G39" s="665"/>
      <c r="H39" s="665"/>
      <c r="I39" s="508"/>
      <c r="J39" s="508"/>
      <c r="K39" s="508"/>
      <c r="L39" s="509"/>
      <c r="M39" s="379"/>
      <c r="N39" s="562"/>
      <c r="O39" s="663"/>
    </row>
    <row r="40" spans="1:15" x14ac:dyDescent="0.2">
      <c r="A40" s="503"/>
      <c r="B40" s="511" t="s">
        <v>511</v>
      </c>
      <c r="C40" s="725"/>
      <c r="D40" s="497"/>
      <c r="E40" s="513"/>
      <c r="F40" s="495"/>
      <c r="G40" s="495"/>
      <c r="H40" s="665"/>
      <c r="I40" s="508"/>
      <c r="J40" s="508"/>
      <c r="K40" s="508"/>
      <c r="L40" s="509"/>
      <c r="M40" s="379"/>
      <c r="N40" s="562"/>
      <c r="O40" s="663"/>
    </row>
    <row r="41" spans="1:15" ht="14.25" x14ac:dyDescent="0.2">
      <c r="A41" s="503"/>
      <c r="B41" s="499" t="s">
        <v>1075</v>
      </c>
      <c r="C41" s="726">
        <v>6</v>
      </c>
      <c r="D41" s="497" t="s">
        <v>527</v>
      </c>
      <c r="E41" s="513"/>
      <c r="F41" s="495"/>
      <c r="G41" s="495"/>
      <c r="H41" s="495"/>
      <c r="I41" s="508">
        <f>$C41*VLOOKUP($B41,'Standard values'!$C$9:$S$162,3, FALSE)/$E$201</f>
        <v>5.6992685509084436E-2</v>
      </c>
      <c r="J41" s="508">
        <f>$C41*VLOOKUP($B41,'Standard values'!$C$9:$S$162,4, FALSE)/$E$201</f>
        <v>1.2623055040413491E-4</v>
      </c>
      <c r="K41" s="508">
        <f>$C41*VLOOKUP($B41,'Standard values'!$C$9:$S$162,5, FALSE)/$E$201</f>
        <v>1.3869178913691958E-4</v>
      </c>
      <c r="L41" s="509">
        <f>I41*'Standard values'!$D$10+J41*'Standard values'!$D$11+K41*'Standard values'!$D$12</f>
        <v>0.10147860243198985</v>
      </c>
      <c r="M41" s="379"/>
      <c r="N41" s="562">
        <f>+L41/$E$27</f>
        <v>1.4139967205470374</v>
      </c>
      <c r="O41" s="663">
        <f>L41*$E$201/1000</f>
        <v>4.4023979999999998</v>
      </c>
    </row>
    <row r="42" spans="1:15" x14ac:dyDescent="0.2">
      <c r="A42" s="503"/>
      <c r="B42" s="511"/>
      <c r="C42" s="727"/>
      <c r="D42" s="497"/>
      <c r="E42" s="513"/>
      <c r="F42" s="495"/>
      <c r="G42" s="495"/>
      <c r="H42" s="495"/>
      <c r="I42" s="508"/>
      <c r="J42" s="508"/>
      <c r="K42" s="508"/>
      <c r="L42" s="509"/>
      <c r="M42" s="379"/>
      <c r="N42" s="562"/>
      <c r="O42" s="663"/>
    </row>
    <row r="43" spans="1:15" ht="15" x14ac:dyDescent="0.25">
      <c r="A43" s="503"/>
      <c r="B43" s="511" t="s">
        <v>1046</v>
      </c>
      <c r="C43" s="728">
        <v>3.1028571587511329</v>
      </c>
      <c r="D43" s="497" t="s">
        <v>527</v>
      </c>
      <c r="E43" s="513"/>
      <c r="F43" s="495"/>
      <c r="G43" s="495"/>
      <c r="H43" s="495"/>
      <c r="I43" s="508">
        <v>0</v>
      </c>
      <c r="J43" s="508">
        <v>0</v>
      </c>
      <c r="K43" s="508">
        <f>1000*$C43/$E$201</f>
        <v>7.1523203494132007E-2</v>
      </c>
      <c r="L43" s="509">
        <f>I43*'Standard values'!$D$10+J43*'Standard values'!$D$11+K43*'Standard values'!$D$12</f>
        <v>21.313914641251337</v>
      </c>
      <c r="M43" s="379"/>
      <c r="N43" s="562">
        <f>+L43/$E$27</f>
        <v>296.98679999999996</v>
      </c>
      <c r="O43" s="750">
        <f>L43*$E$201/1000</f>
        <v>924.65143330783746</v>
      </c>
    </row>
    <row r="44" spans="1:15" ht="15.75" x14ac:dyDescent="0.3">
      <c r="A44" s="503"/>
      <c r="B44" s="511"/>
      <c r="C44" s="670" t="s">
        <v>664</v>
      </c>
      <c r="D44" s="495"/>
      <c r="E44" s="513"/>
      <c r="F44" s="514"/>
      <c r="G44" s="514"/>
      <c r="H44" s="514" t="s">
        <v>1047</v>
      </c>
      <c r="I44" s="515">
        <f>SUM(I26:I43)</f>
        <v>16.691004832889803</v>
      </c>
      <c r="J44" s="515">
        <f>SUM(J26:J43)</f>
        <v>3.1261602380966681E-2</v>
      </c>
      <c r="K44" s="515">
        <f>SUM(K26:K43)</f>
        <v>0.10231531389399873</v>
      </c>
      <c r="L44" s="516">
        <f>I44*'Standard values'!$D$10+J44*'Standard values'!$D$11+K44*'Standard values'!$D$12</f>
        <v>47.962508432825594</v>
      </c>
      <c r="M44" s="379"/>
      <c r="N44" s="1201">
        <f>+L44/E$27</f>
        <v>668.30669725350879</v>
      </c>
      <c r="O44" s="1202">
        <f>L44*$E$201/1000</f>
        <v>2080.7347178550831</v>
      </c>
    </row>
    <row r="45" spans="1:15" x14ac:dyDescent="0.2">
      <c r="A45" s="503"/>
      <c r="B45" s="511"/>
      <c r="C45" s="671" t="s">
        <v>665</v>
      </c>
      <c r="D45" s="495"/>
      <c r="E45" s="513"/>
      <c r="F45" s="514"/>
      <c r="G45" s="514"/>
      <c r="H45" s="514"/>
      <c r="I45" s="416"/>
      <c r="J45" s="416"/>
      <c r="K45" s="416"/>
      <c r="L45" s="436"/>
      <c r="M45" s="379"/>
      <c r="N45" s="1203"/>
      <c r="O45" s="1204"/>
    </row>
    <row r="46" spans="1:15" ht="14.25" x14ac:dyDescent="0.25">
      <c r="A46" s="519"/>
      <c r="B46" s="520"/>
      <c r="C46" s="520"/>
      <c r="D46" s="520"/>
      <c r="E46" s="519"/>
      <c r="F46" s="521"/>
      <c r="G46" s="521"/>
      <c r="H46" s="521" t="s">
        <v>534</v>
      </c>
      <c r="I46" s="522"/>
      <c r="J46" s="523" t="s">
        <v>675</v>
      </c>
      <c r="K46" s="524"/>
      <c r="L46" s="525">
        <f>N44*E$27</f>
        <v>47.962508432825594</v>
      </c>
      <c r="M46" s="379"/>
      <c r="N46" s="390"/>
      <c r="O46" s="390"/>
    </row>
    <row r="47" spans="1:15" x14ac:dyDescent="0.2">
      <c r="A47" s="379"/>
      <c r="B47" s="379"/>
      <c r="C47" s="379"/>
      <c r="D47" s="379"/>
      <c r="E47" s="379"/>
      <c r="F47" s="526"/>
      <c r="G47" s="526"/>
      <c r="H47" s="526"/>
      <c r="I47" s="527"/>
      <c r="J47" s="528"/>
      <c r="K47" s="484"/>
      <c r="L47" s="430"/>
      <c r="M47" s="379"/>
      <c r="N47" s="390"/>
      <c r="O47" s="390"/>
    </row>
    <row r="48" spans="1:15" x14ac:dyDescent="0.2">
      <c r="A48" s="390"/>
      <c r="B48" s="390"/>
      <c r="C48" s="390"/>
      <c r="D48" s="390"/>
      <c r="E48" s="390"/>
      <c r="F48" s="390"/>
      <c r="G48" s="390"/>
      <c r="H48" s="390"/>
      <c r="I48" s="529"/>
      <c r="J48" s="529"/>
      <c r="K48" s="529"/>
      <c r="L48" s="529"/>
      <c r="M48" s="379"/>
      <c r="N48" s="390"/>
      <c r="O48" s="390"/>
    </row>
    <row r="49" spans="1:15" ht="15.75" x14ac:dyDescent="0.25">
      <c r="A49" s="530" t="s">
        <v>742</v>
      </c>
      <c r="B49" s="531"/>
      <c r="C49" s="531"/>
      <c r="D49" s="531"/>
      <c r="E49" s="530" t="s">
        <v>513</v>
      </c>
      <c r="F49" s="532"/>
      <c r="G49" s="532"/>
      <c r="H49" s="531"/>
      <c r="I49" s="532" t="s">
        <v>532</v>
      </c>
      <c r="J49" s="533"/>
      <c r="K49" s="533"/>
      <c r="L49" s="534"/>
      <c r="M49" s="379"/>
      <c r="N49" s="535" t="s">
        <v>162</v>
      </c>
      <c r="O49" s="390"/>
    </row>
    <row r="50" spans="1:15" ht="15.75" x14ac:dyDescent="0.3">
      <c r="A50" s="587"/>
      <c r="B50" s="511" t="s">
        <v>512</v>
      </c>
      <c r="C50" s="536">
        <v>1</v>
      </c>
      <c r="D50" s="495" t="s">
        <v>744</v>
      </c>
      <c r="E50" s="588">
        <f>E25*C50</f>
        <v>73975.402460291909</v>
      </c>
      <c r="F50" s="499" t="s">
        <v>415</v>
      </c>
      <c r="G50" s="499"/>
      <c r="H50" s="495"/>
      <c r="I50" s="492" t="s">
        <v>674</v>
      </c>
      <c r="J50" s="514"/>
      <c r="K50" s="514"/>
      <c r="L50" s="537"/>
      <c r="M50" s="379"/>
      <c r="N50" s="554" t="s">
        <v>637</v>
      </c>
      <c r="O50" s="390"/>
    </row>
    <row r="51" spans="1:15" ht="15.75" x14ac:dyDescent="0.3">
      <c r="A51" s="587"/>
      <c r="B51" s="495"/>
      <c r="C51" s="729"/>
      <c r="D51" s="495"/>
      <c r="E51" s="505">
        <f>E26*C50</f>
        <v>1</v>
      </c>
      <c r="F51" s="506" t="s">
        <v>740</v>
      </c>
      <c r="G51" s="506"/>
      <c r="H51" s="495"/>
      <c r="I51" s="539" t="s">
        <v>1053</v>
      </c>
      <c r="J51" s="539" t="s">
        <v>1054</v>
      </c>
      <c r="K51" s="539" t="s">
        <v>1055</v>
      </c>
      <c r="L51" s="540" t="s">
        <v>1056</v>
      </c>
      <c r="M51" s="379"/>
      <c r="N51" s="540" t="s">
        <v>1056</v>
      </c>
      <c r="O51" s="390"/>
    </row>
    <row r="52" spans="1:15" x14ac:dyDescent="0.2">
      <c r="A52" s="503"/>
      <c r="B52" s="511" t="s">
        <v>525</v>
      </c>
      <c r="C52" s="730"/>
      <c r="D52" s="495"/>
      <c r="E52" s="503"/>
      <c r="F52" s="495"/>
      <c r="G52" s="495"/>
      <c r="H52" s="495"/>
      <c r="I52" s="495"/>
      <c r="J52" s="495"/>
      <c r="K52" s="495"/>
      <c r="L52" s="541"/>
      <c r="M52" s="379"/>
      <c r="N52" s="541"/>
      <c r="O52" s="390"/>
    </row>
    <row r="53" spans="1:15" ht="15.75" x14ac:dyDescent="0.3">
      <c r="A53" s="503"/>
      <c r="B53" s="499" t="s">
        <v>509</v>
      </c>
      <c r="C53" s="559">
        <v>1.8100000000000001E-4</v>
      </c>
      <c r="D53" s="495" t="s">
        <v>638</v>
      </c>
      <c r="E53" s="503"/>
      <c r="F53" s="495"/>
      <c r="G53" s="495"/>
      <c r="H53" s="495"/>
      <c r="I53" s="544">
        <f>$C53*$E$51*VLOOKUP($B53,'Standard values'!$C$9:$S$162,7, FALSE)/$E$202</f>
        <v>2.704879666976262E-2</v>
      </c>
      <c r="J53" s="544">
        <f>$C53*$E$51*VLOOKUP($B53,'Standard values'!$C$9:$S$162,8, FALSE)/$E$202</f>
        <v>0</v>
      </c>
      <c r="K53" s="544">
        <f>$C53*$E$51*VLOOKUP($B53,'Standard values'!$C$9:$S$162,9, FALSE)/$E$202</f>
        <v>0</v>
      </c>
      <c r="L53" s="419">
        <f>I53*'Standard values'!$D$10+J53*'Standard values'!$D$11+K53*'Standard values'!$D$12</f>
        <v>2.704879666976262E-2</v>
      </c>
      <c r="M53" s="379"/>
      <c r="N53" s="562">
        <f>+L53/$E$27</f>
        <v>0.37689630000000002</v>
      </c>
      <c r="O53" s="390"/>
    </row>
    <row r="54" spans="1:15" ht="15.75" x14ac:dyDescent="0.3">
      <c r="A54" s="503"/>
      <c r="B54" s="1301" t="s">
        <v>49</v>
      </c>
      <c r="C54" s="559">
        <v>3.0790000000000001E-3</v>
      </c>
      <c r="D54" s="495" t="s">
        <v>638</v>
      </c>
      <c r="E54" s="503"/>
      <c r="F54" s="495"/>
      <c r="G54" s="495"/>
      <c r="H54" s="495"/>
      <c r="I54" s="544">
        <f>$C54*$E$51*VLOOKUP($B54,'Standard values'!$C$9:$S$162,7, FALSE)/$E$202</f>
        <v>0.63420456092588517</v>
      </c>
      <c r="J54" s="544">
        <f>$C54*$E$51*VLOOKUP($B54,'Standard values'!$C$9:$S$162,8, FALSE)/$E$202</f>
        <v>1.5466440406868719E-3</v>
      </c>
      <c r="K54" s="544">
        <f>$C54*$E$51*VLOOKUP($B54,'Standard values'!$C$9:$S$162,9, FALSE)/$E$202</f>
        <v>2.873068137815311E-5</v>
      </c>
      <c r="L54" s="419">
        <f>I54*'Standard values'!$D$10+J54*'Standard values'!$D$11+K54*'Standard values'!$D$12</f>
        <v>0.68143240499374658</v>
      </c>
      <c r="M54" s="379"/>
      <c r="N54" s="562">
        <f>+L54/$E$27</f>
        <v>9.4950379966200007</v>
      </c>
      <c r="O54" s="390"/>
    </row>
    <row r="55" spans="1:15" x14ac:dyDescent="0.2">
      <c r="A55" s="503"/>
      <c r="B55" s="495"/>
      <c r="C55" s="495"/>
      <c r="D55" s="495"/>
      <c r="E55" s="503"/>
      <c r="F55" s="495"/>
      <c r="G55" s="495"/>
      <c r="H55" s="514" t="s">
        <v>1047</v>
      </c>
      <c r="I55" s="515">
        <f>SUM(I52:I54)</f>
        <v>0.66125335759564785</v>
      </c>
      <c r="J55" s="515">
        <f>SUM(J52:J54)</f>
        <v>1.5466440406868719E-3</v>
      </c>
      <c r="K55" s="515">
        <f>SUM(K52:K54)</f>
        <v>2.873068137815311E-5</v>
      </c>
      <c r="L55" s="516">
        <f>I55*'Standard values'!$D$10+J55*'Standard values'!$D$11+K55*'Standard values'!$D$12</f>
        <v>0.70848120166350925</v>
      </c>
      <c r="M55" s="379"/>
      <c r="N55" s="1201">
        <f>+L55/E$27</f>
        <v>9.871934296620001</v>
      </c>
      <c r="O55" s="518"/>
    </row>
    <row r="56" spans="1:15" x14ac:dyDescent="0.2">
      <c r="A56" s="590"/>
      <c r="B56" s="495"/>
      <c r="C56" s="492"/>
      <c r="D56" s="495"/>
      <c r="E56" s="503"/>
      <c r="F56" s="495"/>
      <c r="G56" s="495"/>
      <c r="H56" s="495"/>
      <c r="I56" s="495"/>
      <c r="J56" s="495"/>
      <c r="K56" s="495"/>
      <c r="L56" s="541"/>
      <c r="M56" s="379"/>
      <c r="N56" s="1203"/>
      <c r="O56" s="390"/>
    </row>
    <row r="57" spans="1:15" ht="14.25" x14ac:dyDescent="0.25">
      <c r="A57" s="519"/>
      <c r="B57" s="520"/>
      <c r="C57" s="520"/>
      <c r="D57" s="520"/>
      <c r="E57" s="519"/>
      <c r="F57" s="521"/>
      <c r="G57" s="521"/>
      <c r="H57" s="521" t="s">
        <v>534</v>
      </c>
      <c r="I57" s="520"/>
      <c r="J57" s="523" t="s">
        <v>675</v>
      </c>
      <c r="K57" s="549"/>
      <c r="L57" s="525">
        <f>N55*E$27</f>
        <v>0.70848120166350925</v>
      </c>
      <c r="M57" s="379"/>
      <c r="N57" s="390"/>
      <c r="O57" s="390"/>
    </row>
    <row r="58" spans="1:15" x14ac:dyDescent="0.2">
      <c r="A58" s="390"/>
      <c r="B58" s="390"/>
      <c r="C58" s="390"/>
      <c r="D58" s="390"/>
      <c r="E58" s="390"/>
      <c r="F58" s="376"/>
      <c r="G58" s="376"/>
      <c r="H58" s="376"/>
      <c r="I58" s="390"/>
      <c r="J58" s="550"/>
      <c r="K58" s="551"/>
      <c r="L58" s="552"/>
      <c r="M58" s="379"/>
      <c r="N58" s="390"/>
      <c r="O58" s="390"/>
    </row>
    <row r="59" spans="1:15" x14ac:dyDescent="0.2">
      <c r="A59" s="390"/>
      <c r="B59" s="390"/>
      <c r="C59" s="390"/>
      <c r="D59" s="390"/>
      <c r="E59" s="390"/>
      <c r="F59" s="390"/>
      <c r="G59" s="390"/>
      <c r="H59" s="390"/>
      <c r="I59" s="529"/>
      <c r="J59" s="529"/>
      <c r="K59" s="529"/>
      <c r="L59" s="529"/>
      <c r="M59" s="379"/>
      <c r="N59" s="390"/>
      <c r="O59" s="390"/>
    </row>
    <row r="60" spans="1:15" ht="15.75" x14ac:dyDescent="0.25">
      <c r="A60" s="530" t="s">
        <v>743</v>
      </c>
      <c r="B60" s="531"/>
      <c r="C60" s="531"/>
      <c r="D60" s="531"/>
      <c r="E60" s="530" t="s">
        <v>513</v>
      </c>
      <c r="F60" s="532"/>
      <c r="G60" s="532"/>
      <c r="H60" s="531"/>
      <c r="I60" s="532" t="s">
        <v>532</v>
      </c>
      <c r="J60" s="533"/>
      <c r="K60" s="533"/>
      <c r="L60" s="534"/>
      <c r="M60" s="379"/>
      <c r="N60" s="535" t="s">
        <v>162</v>
      </c>
      <c r="O60" s="390"/>
    </row>
    <row r="61" spans="1:15" ht="15.75" x14ac:dyDescent="0.3">
      <c r="A61" s="503"/>
      <c r="B61" s="511" t="s">
        <v>512</v>
      </c>
      <c r="C61" s="536">
        <v>0.99009900990099009</v>
      </c>
      <c r="D61" s="495" t="s">
        <v>744</v>
      </c>
      <c r="E61" s="553">
        <f>E50*C61</f>
        <v>73242.972732962284</v>
      </c>
      <c r="F61" s="499" t="s">
        <v>415</v>
      </c>
      <c r="G61" s="499"/>
      <c r="H61" s="495"/>
      <c r="I61" s="492" t="s">
        <v>674</v>
      </c>
      <c r="J61" s="514"/>
      <c r="K61" s="514"/>
      <c r="L61" s="537"/>
      <c r="M61" s="379"/>
      <c r="N61" s="554" t="s">
        <v>637</v>
      </c>
      <c r="O61" s="390"/>
    </row>
    <row r="62" spans="1:15" ht="15.75" x14ac:dyDescent="0.3">
      <c r="A62" s="503"/>
      <c r="B62" s="495"/>
      <c r="C62" s="730"/>
      <c r="D62" s="495"/>
      <c r="E62" s="505">
        <f>E51*C61</f>
        <v>0.99009900990099009</v>
      </c>
      <c r="F62" s="506" t="s">
        <v>740</v>
      </c>
      <c r="G62" s="506"/>
      <c r="H62" s="495"/>
      <c r="I62" s="539" t="s">
        <v>1053</v>
      </c>
      <c r="J62" s="539" t="s">
        <v>1054</v>
      </c>
      <c r="K62" s="539" t="s">
        <v>1055</v>
      </c>
      <c r="L62" s="540" t="s">
        <v>1056</v>
      </c>
      <c r="M62" s="379"/>
      <c r="N62" s="540" t="s">
        <v>1056</v>
      </c>
      <c r="O62" s="390"/>
    </row>
    <row r="63" spans="1:15" x14ac:dyDescent="0.2">
      <c r="A63" s="503"/>
      <c r="B63" s="511" t="s">
        <v>498</v>
      </c>
      <c r="C63" s="730"/>
      <c r="D63" s="495"/>
      <c r="E63" s="505"/>
      <c r="F63" s="506"/>
      <c r="G63" s="506"/>
      <c r="H63" s="495"/>
      <c r="I63" s="539"/>
      <c r="J63" s="539"/>
      <c r="K63" s="539"/>
      <c r="L63" s="540"/>
      <c r="M63" s="379"/>
      <c r="N63" s="541"/>
      <c r="O63" s="390"/>
    </row>
    <row r="64" spans="1:15" ht="15.75" x14ac:dyDescent="0.3">
      <c r="A64" s="503"/>
      <c r="B64" s="495" t="s">
        <v>1111</v>
      </c>
      <c r="C64" s="542">
        <v>50</v>
      </c>
      <c r="D64" s="495" t="s">
        <v>510</v>
      </c>
      <c r="E64" s="543">
        <f>(C64*E62)/(VLOOKUP($B61,'Standard values'!$C$9:$S$162,14, FALSE))/(1-$C$26)/1000</f>
        <v>2.0835416875020834E-3</v>
      </c>
      <c r="F64" s="495" t="s">
        <v>244</v>
      </c>
      <c r="G64" s="495"/>
      <c r="H64" s="495"/>
      <c r="I64" s="544">
        <f>$E64*VLOOKUP($B64,'Standard values'!$C$9:$S$162,15, FALSE)*VLOOKUP(C65,'Standard values'!$C$9:$S$162,7, FALSE)/$E$202</f>
        <v>0.29143883176183427</v>
      </c>
      <c r="J64" s="544">
        <f>$E64*((VLOOKUP($B64,'Standard values'!$C$9:$S$162,15, FALSE)*VLOOKUP(C65,'Standard values'!$C$9:$S$162,8, FALSE))+VLOOKUP($B64,'Standard values'!$C$9:$S$162,16, FALSE))/$E$202</f>
        <v>1.7764161389847265E-5</v>
      </c>
      <c r="K64" s="544">
        <f>$E64*((VLOOKUP($B64,'Standard values'!$C$9:$S$162,15, FALSE)*VLOOKUP(C65,'Standard values'!$C$9:$S$162,9, FALSE))+VLOOKUP($B64,'Standard values'!$C$9:$S$162,17, FALSE))/$E$202</f>
        <v>0</v>
      </c>
      <c r="L64" s="516">
        <f>I64*'Standard values'!$D$10+J64*'Standard values'!$D$11+K64*'Standard values'!$D$12</f>
        <v>0.29188293579658048</v>
      </c>
      <c r="M64" s="379"/>
      <c r="N64" s="1201">
        <f>+L64/E$27</f>
        <v>4.0670792079207931</v>
      </c>
      <c r="O64" s="390"/>
    </row>
    <row r="65" spans="1:15" x14ac:dyDescent="0.2">
      <c r="A65" s="503"/>
      <c r="B65" s="546" t="s">
        <v>54</v>
      </c>
      <c r="C65" s="547" t="s">
        <v>509</v>
      </c>
      <c r="D65" s="495"/>
      <c r="E65" s="543"/>
      <c r="F65" s="495"/>
      <c r="G65" s="495"/>
      <c r="H65" s="495"/>
      <c r="I65" s="544"/>
      <c r="J65" s="544"/>
      <c r="K65" s="544"/>
      <c r="L65" s="516"/>
      <c r="M65" s="379"/>
      <c r="N65" s="1203"/>
      <c r="O65" s="390"/>
    </row>
    <row r="66" spans="1:15" x14ac:dyDescent="0.2">
      <c r="A66" s="503"/>
      <c r="B66" s="495"/>
      <c r="C66" s="495"/>
      <c r="D66" s="495"/>
      <c r="E66" s="503"/>
      <c r="F66" s="495"/>
      <c r="G66" s="495"/>
      <c r="H66" s="548"/>
      <c r="I66" s="544"/>
      <c r="J66" s="544"/>
      <c r="K66" s="544"/>
      <c r="L66" s="516"/>
      <c r="M66" s="379"/>
      <c r="N66" s="390"/>
      <c r="O66" s="390"/>
    </row>
    <row r="67" spans="1:15" ht="14.25" x14ac:dyDescent="0.25">
      <c r="A67" s="519"/>
      <c r="B67" s="520"/>
      <c r="C67" s="520"/>
      <c r="D67" s="520"/>
      <c r="E67" s="519"/>
      <c r="F67" s="521"/>
      <c r="G67" s="521"/>
      <c r="H67" s="521" t="s">
        <v>534</v>
      </c>
      <c r="I67" s="520"/>
      <c r="J67" s="523" t="s">
        <v>675</v>
      </c>
      <c r="K67" s="549"/>
      <c r="L67" s="525">
        <f>N64*E$27</f>
        <v>0.29188293579658053</v>
      </c>
      <c r="M67" s="379"/>
      <c r="N67" s="390"/>
      <c r="O67" s="390"/>
    </row>
    <row r="68" spans="1:15" x14ac:dyDescent="0.2">
      <c r="A68" s="390"/>
      <c r="B68" s="390"/>
      <c r="C68" s="390"/>
      <c r="D68" s="390"/>
      <c r="E68" s="390"/>
      <c r="F68" s="376"/>
      <c r="G68" s="376"/>
      <c r="H68" s="376"/>
      <c r="I68" s="390"/>
      <c r="J68" s="550"/>
      <c r="K68" s="551"/>
      <c r="L68" s="552"/>
      <c r="M68" s="379"/>
      <c r="N68" s="379"/>
      <c r="O68" s="379"/>
    </row>
    <row r="69" spans="1:15" x14ac:dyDescent="0.2">
      <c r="A69" s="390"/>
      <c r="B69" s="390"/>
      <c r="C69" s="731"/>
      <c r="D69" s="390"/>
      <c r="E69" s="390"/>
      <c r="F69" s="390"/>
      <c r="G69" s="390"/>
      <c r="H69" s="390"/>
      <c r="I69" s="390"/>
      <c r="J69" s="390"/>
      <c r="K69" s="390"/>
      <c r="L69" s="375"/>
      <c r="M69" s="379"/>
      <c r="N69" s="379"/>
      <c r="O69" s="379"/>
    </row>
    <row r="70" spans="1:15" ht="15.75" x14ac:dyDescent="0.25">
      <c r="A70" s="530" t="s">
        <v>639</v>
      </c>
      <c r="B70" s="531"/>
      <c r="C70" s="531"/>
      <c r="D70" s="531"/>
      <c r="E70" s="530" t="s">
        <v>513</v>
      </c>
      <c r="F70" s="532"/>
      <c r="G70" s="532"/>
      <c r="H70" s="531"/>
      <c r="I70" s="532" t="s">
        <v>532</v>
      </c>
      <c r="J70" s="533"/>
      <c r="K70" s="533"/>
      <c r="L70" s="534"/>
      <c r="M70" s="379"/>
      <c r="N70" s="535" t="s">
        <v>162</v>
      </c>
      <c r="O70" s="379"/>
    </row>
    <row r="71" spans="1:15" x14ac:dyDescent="0.2">
      <c r="A71" s="503"/>
      <c r="B71" s="511" t="s">
        <v>524</v>
      </c>
      <c r="C71" s="495"/>
      <c r="D71" s="495"/>
      <c r="E71" s="553"/>
      <c r="F71" s="674"/>
      <c r="G71" s="674"/>
      <c r="H71" s="495"/>
      <c r="I71" s="492" t="s">
        <v>674</v>
      </c>
      <c r="J71" s="514"/>
      <c r="K71" s="514"/>
      <c r="L71" s="537"/>
      <c r="M71" s="379"/>
      <c r="N71" s="554" t="s">
        <v>588</v>
      </c>
      <c r="O71" s="379"/>
    </row>
    <row r="72" spans="1:15" ht="15.75" x14ac:dyDescent="0.3">
      <c r="A72" s="503"/>
      <c r="B72" s="495" t="s">
        <v>1039</v>
      </c>
      <c r="C72" s="676">
        <v>0.61250210048731302</v>
      </c>
      <c r="D72" s="495" t="s">
        <v>643</v>
      </c>
      <c r="E72" s="553">
        <f>E61*C72</f>
        <v>44861.47464487439</v>
      </c>
      <c r="F72" s="499" t="s">
        <v>654</v>
      </c>
      <c r="G72" s="499"/>
      <c r="H72" s="495"/>
      <c r="I72" s="539" t="s">
        <v>1053</v>
      </c>
      <c r="J72" s="539" t="s">
        <v>1054</v>
      </c>
      <c r="K72" s="539" t="s">
        <v>1055</v>
      </c>
      <c r="L72" s="540" t="s">
        <v>1056</v>
      </c>
      <c r="M72" s="379"/>
      <c r="N72" s="540" t="s">
        <v>1056</v>
      </c>
      <c r="O72" s="379"/>
    </row>
    <row r="73" spans="1:15" ht="15.75" x14ac:dyDescent="0.3">
      <c r="A73" s="563"/>
      <c r="B73" s="506" t="s">
        <v>127</v>
      </c>
      <c r="C73" s="676">
        <v>0.38749789951268698</v>
      </c>
      <c r="D73" s="495" t="s">
        <v>666</v>
      </c>
      <c r="E73" s="505">
        <f>E62*C72</f>
        <v>0.6064377232547653</v>
      </c>
      <c r="F73" s="506" t="s">
        <v>740</v>
      </c>
      <c r="G73" s="506"/>
      <c r="H73" s="495"/>
      <c r="I73" s="495"/>
      <c r="J73" s="495"/>
      <c r="K73" s="495"/>
      <c r="L73" s="541"/>
      <c r="M73" s="379"/>
      <c r="N73" s="541"/>
      <c r="O73" s="379"/>
    </row>
    <row r="74" spans="1:15" ht="15.75" x14ac:dyDescent="0.3">
      <c r="A74" s="563"/>
      <c r="B74" s="506"/>
      <c r="C74" s="732"/>
      <c r="D74" s="506"/>
      <c r="E74" s="557">
        <f>E72/$E$201/VLOOKUP($B72,'Standard values'!$C$9:$S$162,14, FALSE)</f>
        <v>2.7948402948402951E-2</v>
      </c>
      <c r="F74" s="499" t="s">
        <v>537</v>
      </c>
      <c r="G74" s="499"/>
      <c r="H74" s="495"/>
      <c r="I74" s="495"/>
      <c r="J74" s="495"/>
      <c r="K74" s="495"/>
      <c r="L74" s="541"/>
      <c r="M74" s="379"/>
      <c r="N74" s="541"/>
      <c r="O74" s="379"/>
    </row>
    <row r="75" spans="1:15" x14ac:dyDescent="0.2">
      <c r="A75" s="503"/>
      <c r="B75" s="511" t="s">
        <v>525</v>
      </c>
      <c r="C75" s="730"/>
      <c r="D75" s="495"/>
      <c r="E75" s="513"/>
      <c r="F75" s="495"/>
      <c r="G75" s="495"/>
      <c r="H75" s="495"/>
      <c r="I75" s="495"/>
      <c r="J75" s="495"/>
      <c r="K75" s="495"/>
      <c r="L75" s="541"/>
      <c r="M75" s="379"/>
      <c r="N75" s="541"/>
      <c r="O75" s="379"/>
    </row>
    <row r="76" spans="1:15" ht="15.75" x14ac:dyDescent="0.3">
      <c r="A76" s="503"/>
      <c r="B76" s="1301" t="s">
        <v>50</v>
      </c>
      <c r="C76" s="676">
        <f>1.4*0.00839506172839506</f>
        <v>1.1753086419753084E-2</v>
      </c>
      <c r="D76" s="495" t="s">
        <v>644</v>
      </c>
      <c r="E76" s="503"/>
      <c r="F76" s="495"/>
      <c r="G76" s="495"/>
      <c r="H76" s="495"/>
      <c r="I76" s="544">
        <f>$C76*$E$73*VLOOKUP($B76,'Standard values'!$C$9:$S$162,7, FALSE)/$E$202</f>
        <v>1.450699105312383</v>
      </c>
      <c r="J76" s="544">
        <f>$C76*$E$73*VLOOKUP($B76,'Standard values'!$C$9:$S$162,8, FALSE)/$E$202</f>
        <v>3.5377569210624763E-3</v>
      </c>
      <c r="K76" s="544">
        <f>$C76*$E$73*VLOOKUP($B76,'Standard values'!$C$9:$S$162,9, FALSE)/$E$202</f>
        <v>6.5495261254520522E-5</v>
      </c>
      <c r="L76" s="419">
        <f>I76*'Standard values'!$D$10+J76*'Standard values'!$D$11+K76*'Standard values'!$D$12</f>
        <v>1.5586606161927921</v>
      </c>
      <c r="M76" s="379"/>
      <c r="N76" s="561">
        <f>L76/$E$74</f>
        <v>55.769219410150882</v>
      </c>
      <c r="O76" s="379"/>
    </row>
    <row r="77" spans="1:15" ht="15.75" x14ac:dyDescent="0.3">
      <c r="A77" s="503"/>
      <c r="B77" s="495" t="s">
        <v>496</v>
      </c>
      <c r="C77" s="676">
        <f>1.4*0.0397805212620027</f>
        <v>5.569272976680377E-2</v>
      </c>
      <c r="D77" s="495" t="s">
        <v>644</v>
      </c>
      <c r="E77" s="503"/>
      <c r="F77" s="495"/>
      <c r="G77" s="495"/>
      <c r="H77" s="495"/>
      <c r="I77" s="544"/>
      <c r="J77" s="544"/>
      <c r="K77" s="544"/>
      <c r="L77" s="677"/>
      <c r="M77" s="379"/>
      <c r="N77" s="562"/>
      <c r="O77" s="379"/>
    </row>
    <row r="78" spans="1:15" x14ac:dyDescent="0.2">
      <c r="A78" s="503"/>
      <c r="B78" s="571" t="s">
        <v>729</v>
      </c>
      <c r="C78" s="566"/>
      <c r="D78" s="566"/>
      <c r="E78" s="567"/>
      <c r="F78" s="568"/>
      <c r="G78" s="568"/>
      <c r="H78" s="568"/>
      <c r="I78" s="569" t="s">
        <v>830</v>
      </c>
      <c r="J78" s="568"/>
      <c r="K78" s="568"/>
      <c r="L78" s="678"/>
      <c r="M78" s="379"/>
      <c r="N78" s="562"/>
      <c r="O78" s="379"/>
    </row>
    <row r="79" spans="1:15" ht="15.75" x14ac:dyDescent="0.3">
      <c r="A79" s="503"/>
      <c r="B79" s="679" t="s">
        <v>826</v>
      </c>
      <c r="C79" s="573"/>
      <c r="D79" s="566"/>
      <c r="E79" s="567"/>
      <c r="F79" s="568"/>
      <c r="G79" s="568"/>
      <c r="H79" s="568"/>
      <c r="I79" s="574">
        <f>$C77*$E$73*VLOOKUP($B79,'Standard values'!$C$9:$S$159,7, FALSE)/$E$202</f>
        <v>0</v>
      </c>
      <c r="J79" s="574">
        <f>$C77*$E$73*VLOOKUP($B79,'Standard values'!$C$9:$S$159,8, FALSE)/$E$202</f>
        <v>1.5997595987307905E-4</v>
      </c>
      <c r="K79" s="574">
        <f>$C77*$E$73*VLOOKUP($B79,'Standard values'!$C$9:$S$159,9, FALSE)/$E$202</f>
        <v>6.3990383949231609E-5</v>
      </c>
      <c r="L79" s="575">
        <f>I79*'Standard values'!$D$10+J79*'Standard values'!$D$11+K79*'Standard values'!$D$12</f>
        <v>2.3068533413697995E-2</v>
      </c>
      <c r="M79" s="379"/>
      <c r="N79" s="561">
        <f>L79/$E$74</f>
        <v>0.8253971955494579</v>
      </c>
      <c r="O79" s="379"/>
    </row>
    <row r="80" spans="1:15" ht="14.25" x14ac:dyDescent="0.25">
      <c r="A80" s="503"/>
      <c r="B80" s="582" t="s">
        <v>828</v>
      </c>
      <c r="C80" s="536">
        <f>1/0.9</f>
        <v>1.1111111111111112</v>
      </c>
      <c r="D80" s="568" t="s">
        <v>419</v>
      </c>
      <c r="E80" s="567"/>
      <c r="F80" s="568"/>
      <c r="G80" s="568"/>
      <c r="H80" s="568"/>
      <c r="I80" s="574"/>
      <c r="J80" s="581"/>
      <c r="K80" s="581"/>
      <c r="L80" s="575"/>
      <c r="M80" s="379"/>
      <c r="N80" s="562"/>
      <c r="O80" s="379"/>
    </row>
    <row r="81" spans="1:15" ht="28.5" customHeight="1" x14ac:dyDescent="0.3">
      <c r="A81" s="503"/>
      <c r="B81" s="680" t="s">
        <v>158</v>
      </c>
      <c r="C81" s="573">
        <f>C80*C77</f>
        <v>6.1880810852004191E-2</v>
      </c>
      <c r="D81" s="568" t="s">
        <v>644</v>
      </c>
      <c r="E81" s="567"/>
      <c r="F81" s="568"/>
      <c r="G81" s="568"/>
      <c r="H81" s="568"/>
      <c r="I81" s="574">
        <f>$C81*$E$73*VLOOKUP($B81,'Standard values'!$C$9:$S$162,7, FALSE)/$E$202</f>
        <v>4.0290905349794199</v>
      </c>
      <c r="J81" s="574">
        <f>$C81*$E$73*VLOOKUP($B81,'Standard values'!$C$9:$S$162,8, FALSE)/$E$202</f>
        <v>1.2678983575274144E-2</v>
      </c>
      <c r="K81" s="574">
        <f>$C81*$E$73*VLOOKUP($B81,'Standard values'!$C$9:$S$162,9, FALSE)/$E$202</f>
        <v>1.4220085322051473E-5</v>
      </c>
      <c r="L81" s="575">
        <f>I81*'Standard values'!$D$10+J81*'Standard values'!$D$11+K81*'Standard values'!$D$12</f>
        <v>4.3503027097872451</v>
      </c>
      <c r="M81" s="379"/>
      <c r="N81" s="561">
        <f>L81/$E$74</f>
        <v>155.65478706667329</v>
      </c>
      <c r="O81" s="379"/>
    </row>
    <row r="82" spans="1:15" ht="14.25" x14ac:dyDescent="0.25">
      <c r="A82" s="503"/>
      <c r="B82" s="582" t="s">
        <v>829</v>
      </c>
      <c r="C82" s="536">
        <v>0.02</v>
      </c>
      <c r="D82" s="568" t="s">
        <v>419</v>
      </c>
      <c r="E82" s="567"/>
      <c r="F82" s="568"/>
      <c r="G82" s="568"/>
      <c r="H82" s="568"/>
      <c r="I82" s="574"/>
      <c r="J82" s="581"/>
      <c r="K82" s="581"/>
      <c r="L82" s="575"/>
      <c r="M82" s="379"/>
      <c r="N82" s="561"/>
      <c r="O82" s="379"/>
    </row>
    <row r="83" spans="1:15" ht="15.75" x14ac:dyDescent="0.3">
      <c r="A83" s="503"/>
      <c r="B83" s="1301" t="s">
        <v>50</v>
      </c>
      <c r="C83" s="573">
        <f>C82*C77</f>
        <v>1.1138545953360754E-3</v>
      </c>
      <c r="D83" s="568" t="s">
        <v>644</v>
      </c>
      <c r="E83" s="567"/>
      <c r="F83" s="568"/>
      <c r="G83" s="568"/>
      <c r="H83" s="568"/>
      <c r="I83" s="574">
        <f>$C83*$E$73*VLOOKUP($B83,'Standard values'!$C$9:$S$162,7, FALSE)/$E$202</f>
        <v>0.13748455573221915</v>
      </c>
      <c r="J83" s="574">
        <f>$C83*$E$73*VLOOKUP($B83,'Standard values'!$C$9:$S$162,8, FALSE)/$E$202</f>
        <v>3.3527761670199907E-4</v>
      </c>
      <c r="K83" s="574">
        <f>$C83*$E$73*VLOOKUP($B83,'Standard values'!$C$9:$S$162,9, FALSE)/$E$202</f>
        <v>6.2070672430754665E-6</v>
      </c>
      <c r="L83" s="575">
        <f>I83*'Standard values'!$D$10+J83*'Standard values'!$D$11+K83*'Standard values'!$D$12</f>
        <v>0.14771620218820561</v>
      </c>
      <c r="M83" s="379"/>
      <c r="N83" s="561">
        <f>L83/$E$74</f>
        <v>5.2853181793933786</v>
      </c>
      <c r="O83" s="379"/>
    </row>
    <row r="84" spans="1:15" x14ac:dyDescent="0.2">
      <c r="A84" s="503"/>
      <c r="B84" s="495"/>
      <c r="C84" s="730"/>
      <c r="D84" s="730"/>
      <c r="E84" s="503"/>
      <c r="F84" s="495"/>
      <c r="G84" s="495"/>
      <c r="H84" s="495"/>
      <c r="I84" s="544"/>
      <c r="J84" s="544"/>
      <c r="K84" s="544"/>
      <c r="L84" s="419"/>
      <c r="M84" s="379"/>
      <c r="N84" s="561"/>
      <c r="O84" s="379"/>
    </row>
    <row r="85" spans="1:15" x14ac:dyDescent="0.2">
      <c r="A85" s="503"/>
      <c r="B85" s="511" t="s">
        <v>641</v>
      </c>
      <c r="C85" s="730"/>
      <c r="D85" s="495"/>
      <c r="E85" s="503"/>
      <c r="F85" s="495"/>
      <c r="G85" s="495"/>
      <c r="H85" s="495"/>
      <c r="I85" s="544"/>
      <c r="J85" s="544"/>
      <c r="K85" s="544"/>
      <c r="L85" s="419"/>
      <c r="M85" s="379"/>
      <c r="N85" s="561"/>
      <c r="O85" s="379"/>
    </row>
    <row r="86" spans="1:15" ht="15.75" x14ac:dyDescent="0.3">
      <c r="A86" s="503"/>
      <c r="B86" s="674" t="s">
        <v>1106</v>
      </c>
      <c r="C86" s="676">
        <f>1.4*0.00309382716049383</f>
        <v>4.3313580246913614E-3</v>
      </c>
      <c r="D86" s="495" t="s">
        <v>644</v>
      </c>
      <c r="E86" s="503"/>
      <c r="F86" s="495"/>
      <c r="G86" s="495"/>
      <c r="H86" s="495"/>
      <c r="I86" s="544">
        <f>$C86*$E$73*VLOOKUP($B86,'Standard values'!$C$9:$S$162,7, FALSE)/$E$202</f>
        <v>0.35869468808454952</v>
      </c>
      <c r="J86" s="544">
        <f>$C86*$E$73*VLOOKUP($B86,'Standard values'!$C$9:$S$162,8, FALSE)/$E$202</f>
        <v>6.5194594712557737E-5</v>
      </c>
      <c r="K86" s="544">
        <f>$C86*$E$73*VLOOKUP($B86,'Standard values'!$C$9:$S$162,9, FALSE)/$E$202</f>
        <v>1.2441716548198042E-6</v>
      </c>
      <c r="L86" s="419">
        <f>I86*'Standard values'!$D$10+J86*'Standard values'!$D$11+K86*'Standard values'!$D$12</f>
        <v>0.36069531610549976</v>
      </c>
      <c r="M86" s="379"/>
      <c r="N86" s="561">
        <f>L86/$E$74</f>
        <v>12.905757683950627</v>
      </c>
      <c r="O86" s="379"/>
    </row>
    <row r="87" spans="1:15" x14ac:dyDescent="0.2">
      <c r="A87" s="503"/>
      <c r="B87" s="495"/>
      <c r="C87" s="499"/>
      <c r="D87" s="499"/>
      <c r="E87" s="681"/>
      <c r="F87" s="495"/>
      <c r="G87" s="495"/>
      <c r="H87" s="514" t="s">
        <v>1047</v>
      </c>
      <c r="I87" s="583">
        <f>SUM(I73:I86)</f>
        <v>5.9759688841085712</v>
      </c>
      <c r="J87" s="583">
        <f>SUM(J73:J86)</f>
        <v>1.6777188667624256E-2</v>
      </c>
      <c r="K87" s="583">
        <f>SUM(K73:K86)</f>
        <v>1.5115696942369884E-4</v>
      </c>
      <c r="L87" s="516">
        <f>I87*'Standard values'!$D$10+J87*'Standard values'!$D$11+K87*'Standard values'!$D$12</f>
        <v>6.4404433776874397</v>
      </c>
      <c r="M87" s="379"/>
      <c r="N87" s="1201">
        <f>L87/E$74</f>
        <v>230.4404795357176</v>
      </c>
      <c r="O87" s="379"/>
    </row>
    <row r="88" spans="1:15" x14ac:dyDescent="0.2">
      <c r="A88" s="503"/>
      <c r="B88" s="682"/>
      <c r="C88" s="499"/>
      <c r="D88" s="499"/>
      <c r="E88" s="503"/>
      <c r="F88" s="495"/>
      <c r="G88" s="495"/>
      <c r="H88" s="495"/>
      <c r="I88" s="495"/>
      <c r="J88" s="495"/>
      <c r="K88" s="495"/>
      <c r="L88" s="541"/>
      <c r="M88" s="379"/>
      <c r="N88" s="1203"/>
      <c r="O88" s="379"/>
    </row>
    <row r="89" spans="1:15" ht="14.25" x14ac:dyDescent="0.25">
      <c r="A89" s="519"/>
      <c r="B89" s="520"/>
      <c r="C89" s="520"/>
      <c r="D89" s="520"/>
      <c r="E89" s="519"/>
      <c r="F89" s="521"/>
      <c r="G89" s="521"/>
      <c r="H89" s="521" t="s">
        <v>534</v>
      </c>
      <c r="I89" s="520"/>
      <c r="J89" s="523" t="s">
        <v>675</v>
      </c>
      <c r="K89" s="549"/>
      <c r="L89" s="525">
        <f>N87*E$74</f>
        <v>6.4404433776874397</v>
      </c>
      <c r="M89" s="379"/>
      <c r="N89" s="390"/>
      <c r="O89" s="379"/>
    </row>
    <row r="90" spans="1:15" x14ac:dyDescent="0.2">
      <c r="A90" s="390"/>
      <c r="B90" s="390"/>
      <c r="C90" s="390"/>
      <c r="D90" s="390"/>
      <c r="E90" s="390"/>
      <c r="F90" s="376"/>
      <c r="G90" s="376"/>
      <c r="H90" s="376"/>
      <c r="I90" s="390"/>
      <c r="J90" s="550"/>
      <c r="K90" s="551"/>
      <c r="L90" s="585"/>
      <c r="M90" s="379"/>
      <c r="N90" s="390"/>
      <c r="O90" s="390"/>
    </row>
    <row r="91" spans="1:15" x14ac:dyDescent="0.2">
      <c r="A91" s="390"/>
      <c r="B91" s="390"/>
      <c r="C91" s="390"/>
      <c r="D91" s="390"/>
      <c r="E91" s="390"/>
      <c r="F91" s="376"/>
      <c r="G91" s="376"/>
      <c r="H91" s="376"/>
      <c r="I91" s="390"/>
      <c r="J91" s="550"/>
      <c r="K91" s="551"/>
      <c r="L91" s="585"/>
      <c r="M91" s="379"/>
      <c r="N91" s="390"/>
      <c r="O91" s="390"/>
    </row>
    <row r="92" spans="1:15" ht="15.75" x14ac:dyDescent="0.25">
      <c r="A92" s="530" t="s">
        <v>1057</v>
      </c>
      <c r="B92" s="531"/>
      <c r="C92" s="531"/>
      <c r="D92" s="531"/>
      <c r="E92" s="608" t="s">
        <v>526</v>
      </c>
      <c r="F92" s="606"/>
      <c r="G92" s="606"/>
      <c r="H92" s="606"/>
      <c r="I92" s="607"/>
      <c r="J92" s="608" t="s">
        <v>675</v>
      </c>
      <c r="K92" s="607"/>
      <c r="L92" s="609">
        <f>L46+L57+L67+L89</f>
        <v>55.40331594797312</v>
      </c>
      <c r="M92" s="379"/>
      <c r="N92" s="390"/>
      <c r="O92" s="390"/>
    </row>
    <row r="93" spans="1:15" ht="15.75" x14ac:dyDescent="0.25">
      <c r="A93" s="610" t="s">
        <v>937</v>
      </c>
      <c r="B93" s="611"/>
      <c r="C93" s="611"/>
      <c r="D93" s="611"/>
      <c r="E93" s="613"/>
      <c r="F93" s="613"/>
      <c r="G93" s="613"/>
      <c r="H93" s="613"/>
      <c r="I93" s="613"/>
      <c r="J93" s="613"/>
      <c r="K93" s="613"/>
      <c r="L93" s="614"/>
      <c r="M93" s="379"/>
      <c r="N93" s="535" t="s">
        <v>162</v>
      </c>
      <c r="O93" s="390"/>
    </row>
    <row r="94" spans="1:15" ht="15.75" x14ac:dyDescent="0.3">
      <c r="A94" s="567"/>
      <c r="B94" s="568"/>
      <c r="C94" s="568"/>
      <c r="D94" s="683"/>
      <c r="E94" s="683"/>
      <c r="F94" s="683"/>
      <c r="G94" s="683"/>
      <c r="H94" s="683" t="s">
        <v>667</v>
      </c>
      <c r="I94" s="684">
        <f>L92</f>
        <v>55.40331594797312</v>
      </c>
      <c r="J94" s="568" t="s">
        <v>847</v>
      </c>
      <c r="K94" s="568"/>
      <c r="L94" s="685"/>
      <c r="M94" s="379"/>
      <c r="N94" s="554" t="s">
        <v>588</v>
      </c>
      <c r="O94" s="390"/>
    </row>
    <row r="95" spans="1:15" ht="15.75" x14ac:dyDescent="0.3">
      <c r="A95" s="567"/>
      <c r="B95" s="568" t="s">
        <v>51</v>
      </c>
      <c r="C95" s="568" t="s">
        <v>640</v>
      </c>
      <c r="D95" s="568"/>
      <c r="E95" s="683" t="s">
        <v>659</v>
      </c>
      <c r="F95" s="686">
        <v>1</v>
      </c>
      <c r="G95" s="686"/>
      <c r="H95" s="568" t="s">
        <v>501</v>
      </c>
      <c r="I95" s="574">
        <f>$I$94*F95/F$97</f>
        <v>33.934647392095783</v>
      </c>
      <c r="J95" s="568" t="s">
        <v>847</v>
      </c>
      <c r="K95" s="568"/>
      <c r="L95" s="685"/>
      <c r="M95" s="379"/>
      <c r="N95" s="540" t="s">
        <v>1056</v>
      </c>
      <c r="O95" s="390"/>
    </row>
    <row r="96" spans="1:15" ht="15.75" x14ac:dyDescent="0.3">
      <c r="A96" s="567"/>
      <c r="B96" s="568" t="s">
        <v>123</v>
      </c>
      <c r="C96" s="568" t="s">
        <v>658</v>
      </c>
      <c r="D96" s="568"/>
      <c r="E96" s="683" t="s">
        <v>134</v>
      </c>
      <c r="F96" s="686">
        <f>C73/C72</f>
        <v>0.63264746227709201</v>
      </c>
      <c r="G96" s="686"/>
      <c r="H96" s="568" t="s">
        <v>501</v>
      </c>
      <c r="I96" s="574">
        <f>$I$94*F96/F$97</f>
        <v>21.468668555877333</v>
      </c>
      <c r="J96" s="568" t="s">
        <v>847</v>
      </c>
      <c r="K96" s="568"/>
      <c r="L96" s="685"/>
      <c r="M96" s="379"/>
      <c r="N96" s="541"/>
      <c r="O96" s="390"/>
    </row>
    <row r="97" spans="1:15" x14ac:dyDescent="0.2">
      <c r="A97" s="567"/>
      <c r="B97" s="568"/>
      <c r="C97" s="568"/>
      <c r="D97" s="568"/>
      <c r="E97" s="568" t="s">
        <v>533</v>
      </c>
      <c r="F97" s="686">
        <f>SUM(F95:F96)</f>
        <v>1.6326474622770921</v>
      </c>
      <c r="G97" s="686"/>
      <c r="H97" s="568" t="s">
        <v>501</v>
      </c>
      <c r="I97" s="568"/>
      <c r="J97" s="568"/>
      <c r="K97" s="568"/>
      <c r="L97" s="685"/>
      <c r="M97" s="379"/>
      <c r="N97" s="541"/>
      <c r="O97" s="390"/>
    </row>
    <row r="98" spans="1:15" ht="14.25" x14ac:dyDescent="0.25">
      <c r="A98" s="519"/>
      <c r="B98" s="520"/>
      <c r="C98" s="520"/>
      <c r="D98" s="520"/>
      <c r="E98" s="523" t="s">
        <v>1058</v>
      </c>
      <c r="F98" s="521"/>
      <c r="G98" s="521"/>
      <c r="H98" s="687"/>
      <c r="I98" s="520"/>
      <c r="J98" s="523" t="s">
        <v>675</v>
      </c>
      <c r="K98" s="687"/>
      <c r="L98" s="525">
        <f>I95</f>
        <v>33.934647392095783</v>
      </c>
      <c r="M98" s="379"/>
      <c r="N98" s="545">
        <f>L98/$E$74</f>
        <v>1214.189141853449</v>
      </c>
      <c r="O98" s="379"/>
    </row>
    <row r="99" spans="1:15" x14ac:dyDescent="0.2">
      <c r="A99" s="390"/>
      <c r="B99" s="390"/>
      <c r="C99" s="390"/>
      <c r="D99" s="379"/>
      <c r="E99" s="379"/>
      <c r="F99" s="551"/>
      <c r="G99" s="551"/>
      <c r="H99" s="437"/>
      <c r="I99" s="378"/>
      <c r="J99" s="379"/>
      <c r="K99" s="379"/>
      <c r="L99" s="586"/>
      <c r="M99" s="379"/>
      <c r="O99" s="379"/>
    </row>
    <row r="100" spans="1:15" x14ac:dyDescent="0.2">
      <c r="A100" s="390"/>
      <c r="B100" s="390"/>
      <c r="C100" s="390"/>
      <c r="D100" s="390"/>
      <c r="E100" s="390"/>
      <c r="F100" s="390"/>
      <c r="G100" s="390"/>
      <c r="H100" s="390"/>
      <c r="I100" s="529"/>
      <c r="J100" s="529"/>
      <c r="K100" s="529"/>
      <c r="L100" s="529"/>
      <c r="M100" s="379"/>
      <c r="N100" s="390"/>
      <c r="O100" s="390"/>
    </row>
    <row r="101" spans="1:15" ht="15.75" x14ac:dyDescent="0.25">
      <c r="A101" s="530" t="s">
        <v>1208</v>
      </c>
      <c r="B101" s="531"/>
      <c r="C101" s="531"/>
      <c r="D101" s="531"/>
      <c r="E101" s="530" t="s">
        <v>513</v>
      </c>
      <c r="F101" s="532"/>
      <c r="G101" s="532"/>
      <c r="H101" s="531"/>
      <c r="I101" s="532" t="s">
        <v>532</v>
      </c>
      <c r="J101" s="533"/>
      <c r="K101" s="533"/>
      <c r="L101" s="534"/>
      <c r="M101" s="379"/>
      <c r="N101" s="535" t="s">
        <v>162</v>
      </c>
      <c r="O101" s="390"/>
    </row>
    <row r="102" spans="1:15" ht="15.75" x14ac:dyDescent="0.3">
      <c r="A102" s="503"/>
      <c r="B102" s="511" t="s">
        <v>1039</v>
      </c>
      <c r="C102" s="536">
        <v>1</v>
      </c>
      <c r="D102" s="495" t="s">
        <v>645</v>
      </c>
      <c r="E102" s="553">
        <f>E72*C102</f>
        <v>44861.47464487439</v>
      </c>
      <c r="F102" s="499" t="s">
        <v>654</v>
      </c>
      <c r="G102" s="499"/>
      <c r="H102" s="495"/>
      <c r="I102" s="492" t="s">
        <v>674</v>
      </c>
      <c r="J102" s="514"/>
      <c r="K102" s="514"/>
      <c r="L102" s="537"/>
      <c r="M102" s="379"/>
      <c r="N102" s="554" t="s">
        <v>637</v>
      </c>
      <c r="O102" s="390"/>
    </row>
    <row r="103" spans="1:15" ht="15.75" x14ac:dyDescent="0.3">
      <c r="A103" s="503"/>
      <c r="B103" s="495"/>
      <c r="C103" s="730"/>
      <c r="D103" s="495"/>
      <c r="E103" s="505">
        <f>E73*C102</f>
        <v>0.6064377232547653</v>
      </c>
      <c r="F103" s="506" t="s">
        <v>740</v>
      </c>
      <c r="G103" s="506"/>
      <c r="H103" s="495"/>
      <c r="I103" s="539" t="s">
        <v>1053</v>
      </c>
      <c r="J103" s="539" t="s">
        <v>1054</v>
      </c>
      <c r="K103" s="539" t="s">
        <v>1055</v>
      </c>
      <c r="L103" s="540" t="s">
        <v>1056</v>
      </c>
      <c r="M103" s="379"/>
      <c r="N103" s="540" t="s">
        <v>1056</v>
      </c>
      <c r="O103" s="390"/>
    </row>
    <row r="104" spans="1:15" x14ac:dyDescent="0.2">
      <c r="A104" s="503"/>
      <c r="B104" s="511" t="s">
        <v>498</v>
      </c>
      <c r="C104" s="730"/>
      <c r="D104" s="495"/>
      <c r="E104" s="505"/>
      <c r="F104" s="506"/>
      <c r="G104" s="506"/>
      <c r="H104" s="495"/>
      <c r="I104" s="539"/>
      <c r="J104" s="539"/>
      <c r="K104" s="539"/>
      <c r="L104" s="540"/>
      <c r="M104" s="379"/>
      <c r="N104" s="541"/>
      <c r="O104" s="390"/>
    </row>
    <row r="105" spans="1:15" ht="15.75" x14ac:dyDescent="0.3">
      <c r="A105" s="503"/>
      <c r="B105" s="495" t="s">
        <v>159</v>
      </c>
      <c r="C105" s="542">
        <v>0</v>
      </c>
      <c r="D105" s="495" t="s">
        <v>510</v>
      </c>
      <c r="E105" s="543">
        <f>(C105*E103)/(VLOOKUP($B102,'Standard values'!$C$9:$S$162,14, FALSE))/1000</f>
        <v>0</v>
      </c>
      <c r="F105" s="495" t="s">
        <v>244</v>
      </c>
      <c r="G105" s="495"/>
      <c r="H105" s="495"/>
      <c r="I105" s="544">
        <f>$E105*VLOOKUP($B105,'Standard values'!$C$9:$S$162,15, FALSE)*VLOOKUP(C106,'Standard values'!$C$9:$S$162,7, FALSE)/$E$202</f>
        <v>0</v>
      </c>
      <c r="J105" s="544">
        <f>$E105*((VLOOKUP($B105,'Standard values'!$C$9:$S$162,15, FALSE)*VLOOKUP(C106,'Standard values'!$C$9:$S$162,8, FALSE))+VLOOKUP($B105,'Standard values'!$C$9:$S$162,16, FALSE))/$E$202</f>
        <v>0</v>
      </c>
      <c r="K105" s="544">
        <f>$E105*((VLOOKUP($B105,'Standard values'!$C$9:$S$162,15, FALSE)*VLOOKUP(C106,'Standard values'!$C$9:$S$162,9, FALSE))+VLOOKUP($B105,'Standard values'!$C$9:$S$162,17, FALSE))/$E$202</f>
        <v>0</v>
      </c>
      <c r="L105" s="516">
        <f>I105*'Standard values'!$D$10+J105*'Standard values'!$D$11+K105*'Standard values'!$D$12</f>
        <v>0</v>
      </c>
      <c r="M105" s="379"/>
      <c r="N105" s="545">
        <f>L105/$E$74</f>
        <v>0</v>
      </c>
      <c r="O105" s="390"/>
    </row>
    <row r="106" spans="1:15" x14ac:dyDescent="0.2">
      <c r="A106" s="503"/>
      <c r="B106" s="546" t="s">
        <v>54</v>
      </c>
      <c r="C106" s="547" t="s">
        <v>509</v>
      </c>
      <c r="D106" s="495"/>
      <c r="E106" s="543"/>
      <c r="F106" s="495"/>
      <c r="G106" s="495"/>
      <c r="H106" s="495"/>
      <c r="I106" s="544"/>
      <c r="J106" s="544"/>
      <c r="K106" s="544"/>
      <c r="L106" s="516"/>
      <c r="M106" s="379"/>
      <c r="O106" s="390"/>
    </row>
    <row r="107" spans="1:15" x14ac:dyDescent="0.2">
      <c r="A107" s="503"/>
      <c r="B107" s="495"/>
      <c r="C107" s="495"/>
      <c r="D107" s="495"/>
      <c r="E107" s="503"/>
      <c r="F107" s="495"/>
      <c r="G107" s="495"/>
      <c r="H107" s="548"/>
      <c r="I107" s="544"/>
      <c r="J107" s="544"/>
      <c r="K107" s="544"/>
      <c r="L107" s="516"/>
      <c r="M107" s="379"/>
      <c r="N107" s="390"/>
      <c r="O107" s="390"/>
    </row>
    <row r="108" spans="1:15" ht="14.25" x14ac:dyDescent="0.25">
      <c r="A108" s="519"/>
      <c r="B108" s="520"/>
      <c r="C108" s="520"/>
      <c r="D108" s="520"/>
      <c r="E108" s="519"/>
      <c r="F108" s="521"/>
      <c r="G108" s="521"/>
      <c r="H108" s="521" t="s">
        <v>534</v>
      </c>
      <c r="I108" s="520"/>
      <c r="J108" s="523" t="s">
        <v>675</v>
      </c>
      <c r="K108" s="549"/>
      <c r="L108" s="525">
        <f>L105</f>
        <v>0</v>
      </c>
      <c r="M108" s="379"/>
      <c r="N108" s="390"/>
      <c r="O108" s="390"/>
    </row>
    <row r="109" spans="1:15" x14ac:dyDescent="0.2">
      <c r="A109" s="390"/>
      <c r="B109" s="390"/>
      <c r="C109" s="390"/>
      <c r="D109" s="390"/>
      <c r="E109" s="390"/>
      <c r="F109" s="376"/>
      <c r="G109" s="376"/>
      <c r="H109" s="376"/>
      <c r="I109" s="390"/>
      <c r="J109" s="550"/>
      <c r="K109" s="551"/>
      <c r="L109" s="552"/>
      <c r="M109" s="379"/>
      <c r="N109" s="379"/>
      <c r="O109" s="379"/>
    </row>
    <row r="110" spans="1:15" x14ac:dyDescent="0.2">
      <c r="A110" s="390"/>
      <c r="B110" s="390"/>
      <c r="C110" s="390"/>
      <c r="D110" s="379"/>
      <c r="E110" s="379"/>
      <c r="F110" s="551"/>
      <c r="G110" s="551"/>
      <c r="H110" s="437"/>
      <c r="I110" s="378"/>
      <c r="J110" s="379"/>
      <c r="K110" s="379"/>
      <c r="L110" s="586"/>
      <c r="M110" s="379"/>
      <c r="N110" s="379"/>
      <c r="O110" s="379"/>
    </row>
    <row r="111" spans="1:15" ht="15.75" x14ac:dyDescent="0.25">
      <c r="A111" s="530" t="s">
        <v>341</v>
      </c>
      <c r="B111" s="531"/>
      <c r="C111" s="531"/>
      <c r="D111" s="531"/>
      <c r="E111" s="530" t="s">
        <v>513</v>
      </c>
      <c r="F111" s="532"/>
      <c r="G111" s="532"/>
      <c r="H111" s="531"/>
      <c r="I111" s="532" t="s">
        <v>532</v>
      </c>
      <c r="J111" s="533"/>
      <c r="K111" s="533"/>
      <c r="L111" s="534"/>
      <c r="M111" s="379"/>
      <c r="N111" s="535" t="s">
        <v>162</v>
      </c>
      <c r="O111" s="379"/>
    </row>
    <row r="112" spans="1:15" x14ac:dyDescent="0.2">
      <c r="A112" s="503"/>
      <c r="B112" s="511" t="s">
        <v>524</v>
      </c>
      <c r="C112" s="495"/>
      <c r="D112" s="495"/>
      <c r="E112" s="553"/>
      <c r="F112" s="499"/>
      <c r="G112" s="499"/>
      <c r="H112" s="495"/>
      <c r="I112" s="492" t="s">
        <v>674</v>
      </c>
      <c r="J112" s="514"/>
      <c r="K112" s="514"/>
      <c r="L112" s="537"/>
      <c r="M112" s="379"/>
      <c r="N112" s="554" t="s">
        <v>539</v>
      </c>
      <c r="O112" s="379"/>
    </row>
    <row r="113" spans="1:15" ht="15.75" x14ac:dyDescent="0.3">
      <c r="A113" s="503"/>
      <c r="B113" s="495" t="s">
        <v>668</v>
      </c>
      <c r="C113" s="676">
        <v>0.96703296703296693</v>
      </c>
      <c r="D113" s="495" t="s">
        <v>346</v>
      </c>
      <c r="E113" s="553">
        <f>E102*C113</f>
        <v>43382.524931307096</v>
      </c>
      <c r="F113" s="499" t="s">
        <v>671</v>
      </c>
      <c r="G113" s="499"/>
      <c r="H113" s="495"/>
      <c r="I113" s="539" t="s">
        <v>1053</v>
      </c>
      <c r="J113" s="539" t="s">
        <v>1054</v>
      </c>
      <c r="K113" s="539" t="s">
        <v>1055</v>
      </c>
      <c r="L113" s="540" t="s">
        <v>1056</v>
      </c>
      <c r="M113" s="379"/>
      <c r="N113" s="540" t="s">
        <v>1056</v>
      </c>
      <c r="O113" s="379"/>
    </row>
    <row r="114" spans="1:15" ht="15.75" x14ac:dyDescent="0.3">
      <c r="A114" s="563"/>
      <c r="B114" s="506"/>
      <c r="C114" s="564"/>
      <c r="D114" s="506"/>
      <c r="E114" s="505">
        <f>E103*C113</f>
        <v>0.58644527083977294</v>
      </c>
      <c r="F114" s="506" t="s">
        <v>740</v>
      </c>
      <c r="G114" s="506"/>
      <c r="H114" s="495"/>
      <c r="I114" s="495"/>
      <c r="J114" s="495"/>
      <c r="K114" s="495"/>
      <c r="L114" s="541"/>
      <c r="M114" s="379"/>
      <c r="N114" s="541"/>
      <c r="O114" s="379"/>
    </row>
    <row r="115" spans="1:15" ht="15.75" x14ac:dyDescent="0.3">
      <c r="A115" s="563"/>
      <c r="B115" s="511" t="s">
        <v>525</v>
      </c>
      <c r="C115" s="564"/>
      <c r="D115" s="506"/>
      <c r="E115" s="557">
        <f>E113/$E$201/VLOOKUP($B113,'Standard values'!$C$9:$S$162,14, FALSE)</f>
        <v>2.2727272727272728E-2</v>
      </c>
      <c r="F115" s="499" t="s">
        <v>538</v>
      </c>
      <c r="G115" s="499"/>
      <c r="H115" s="495"/>
      <c r="I115" s="495"/>
      <c r="J115" s="495"/>
      <c r="K115" s="495"/>
      <c r="L115" s="541"/>
      <c r="M115" s="379"/>
      <c r="N115" s="541"/>
      <c r="O115" s="379"/>
    </row>
    <row r="116" spans="1:15" ht="15.75" x14ac:dyDescent="0.3">
      <c r="A116" s="503"/>
      <c r="B116" s="1301" t="s">
        <v>50</v>
      </c>
      <c r="C116" s="676">
        <f>1.4*-0.00150545454545455</f>
        <v>-2.1076363636363701E-3</v>
      </c>
      <c r="D116" s="495" t="s">
        <v>670</v>
      </c>
      <c r="E116" s="513"/>
      <c r="F116" s="495"/>
      <c r="G116" s="495"/>
      <c r="H116" s="495"/>
      <c r="I116" s="544">
        <f>$C116*$E$114*VLOOKUP($B116,'Standard values'!$C$9:$S$162,7, FALSE)/$E$202</f>
        <v>-0.25157204290909169</v>
      </c>
      <c r="J116" s="544">
        <f>$C116*$E$114*VLOOKUP($B116,'Standard values'!$C$9:$S$162,8, FALSE)/$E$202</f>
        <v>-6.1349781818182021E-4</v>
      </c>
      <c r="K116" s="544">
        <f>$C116*$E$114*VLOOKUP($B116,'Standard values'!$C$9:$S$162,9, FALSE)/$E$202</f>
        <v>-1.1357818181818217E-5</v>
      </c>
      <c r="L116" s="419">
        <f>I116*'Standard values'!$D$10+J116*'Standard values'!$D$11+K116*'Standard values'!$D$12</f>
        <v>-0.27029411818181903</v>
      </c>
      <c r="M116" s="379"/>
      <c r="N116" s="562">
        <f>L116/$E$115</f>
        <v>-11.892941200000037</v>
      </c>
      <c r="O116" s="379"/>
    </row>
    <row r="117" spans="1:15" ht="15.75" x14ac:dyDescent="0.3">
      <c r="A117" s="503"/>
      <c r="B117" s="495" t="s">
        <v>496</v>
      </c>
      <c r="C117" s="676">
        <f>1.4*-0.00795454545454546</f>
        <v>-1.1136363636363644E-2</v>
      </c>
      <c r="D117" s="495" t="s">
        <v>670</v>
      </c>
      <c r="E117" s="503"/>
      <c r="F117" s="495"/>
      <c r="G117" s="495"/>
      <c r="H117" s="495"/>
      <c r="I117" s="544"/>
      <c r="J117" s="544"/>
      <c r="K117" s="544"/>
      <c r="L117" s="677"/>
      <c r="M117" s="379"/>
      <c r="N117" s="562"/>
      <c r="O117" s="379"/>
    </row>
    <row r="118" spans="1:15" x14ac:dyDescent="0.2">
      <c r="A118" s="503"/>
      <c r="B118" s="571" t="s">
        <v>729</v>
      </c>
      <c r="C118" s="566"/>
      <c r="D118" s="566"/>
      <c r="E118" s="567"/>
      <c r="F118" s="568"/>
      <c r="G118" s="568"/>
      <c r="H118" s="568"/>
      <c r="I118" s="569" t="s">
        <v>830</v>
      </c>
      <c r="J118" s="568"/>
      <c r="K118" s="568"/>
      <c r="L118" s="678"/>
      <c r="M118" s="379"/>
      <c r="N118" s="562"/>
      <c r="O118" s="379"/>
    </row>
    <row r="119" spans="1:15" ht="15.75" x14ac:dyDescent="0.3">
      <c r="A119" s="503"/>
      <c r="B119" s="679" t="s">
        <v>826</v>
      </c>
      <c r="C119" s="573"/>
      <c r="D119" s="566"/>
      <c r="E119" s="567"/>
      <c r="F119" s="568"/>
      <c r="G119" s="568"/>
      <c r="H119" s="568"/>
      <c r="I119" s="574">
        <f>$C117*$E$114*VLOOKUP($B119,'Standard values'!$C$9:$S$159,7, FALSE)/$E$202</f>
        <v>0</v>
      </c>
      <c r="J119" s="574">
        <f>$C117*$E$114*VLOOKUP($B119,'Standard values'!$C$9:$S$159,8, FALSE)/$E$202</f>
        <v>-3.0934343434343456E-5</v>
      </c>
      <c r="K119" s="574">
        <f>$C117*$E$114*VLOOKUP($B119,'Standard values'!$C$9:$S$159,9, FALSE)/$E$202</f>
        <v>-1.2373737373737382E-5</v>
      </c>
      <c r="L119" s="575">
        <f>I119*'Standard values'!$D$10+J119*'Standard values'!$D$11+K119*'Standard values'!$D$12</f>
        <v>-4.4607323232323257E-3</v>
      </c>
      <c r="M119" s="379"/>
      <c r="N119" s="562">
        <f t="shared" ref="N119:N127" si="3">L119/$E$115</f>
        <v>-0.19627222222222232</v>
      </c>
      <c r="O119" s="379"/>
    </row>
    <row r="120" spans="1:15" ht="14.25" x14ac:dyDescent="0.25">
      <c r="A120" s="503"/>
      <c r="B120" s="582" t="s">
        <v>828</v>
      </c>
      <c r="C120" s="536">
        <f>1/0.9</f>
        <v>1.1111111111111112</v>
      </c>
      <c r="D120" s="568" t="s">
        <v>419</v>
      </c>
      <c r="E120" s="567"/>
      <c r="F120" s="568"/>
      <c r="G120" s="568"/>
      <c r="H120" s="568"/>
      <c r="I120" s="574"/>
      <c r="J120" s="581"/>
      <c r="K120" s="581"/>
      <c r="L120" s="575"/>
      <c r="M120" s="379"/>
      <c r="N120" s="562"/>
      <c r="O120" s="379"/>
    </row>
    <row r="121" spans="1:15" ht="29.25" customHeight="1" x14ac:dyDescent="0.3">
      <c r="A121" s="503"/>
      <c r="B121" s="680" t="s">
        <v>158</v>
      </c>
      <c r="C121" s="573">
        <f>C120*C117</f>
        <v>-1.2373737373737382E-2</v>
      </c>
      <c r="D121" s="568" t="s">
        <v>670</v>
      </c>
      <c r="E121" s="567"/>
      <c r="F121" s="568"/>
      <c r="G121" s="568"/>
      <c r="H121" s="568"/>
      <c r="I121" s="574">
        <f>$C121*$E$114*VLOOKUP($B121,'Standard values'!$C$9:$S$162,7, FALSE)/$E$202</f>
        <v>-0.77910000000000057</v>
      </c>
      <c r="J121" s="574">
        <f>$C121*$E$114*VLOOKUP($B121,'Standard values'!$C$9:$S$162,8, FALSE)/$E$202</f>
        <v>-2.4517185746352429E-3</v>
      </c>
      <c r="K121" s="574">
        <f>$C121*$E$114*VLOOKUP($B121,'Standard values'!$C$9:$S$162,9, FALSE)/$E$202</f>
        <v>-2.7497194163860851E-6</v>
      </c>
      <c r="L121" s="575">
        <f>I121*'Standard values'!$D$10+J121*'Standard values'!$D$11+K121*'Standard values'!$D$12</f>
        <v>-0.84121238075196469</v>
      </c>
      <c r="M121" s="379"/>
      <c r="N121" s="562">
        <f t="shared" si="3"/>
        <v>-37.013344753086443</v>
      </c>
      <c r="O121" s="379"/>
    </row>
    <row r="122" spans="1:15" ht="14.25" x14ac:dyDescent="0.25">
      <c r="A122" s="503"/>
      <c r="B122" s="582" t="s">
        <v>829</v>
      </c>
      <c r="C122" s="536">
        <v>0.02</v>
      </c>
      <c r="D122" s="568" t="s">
        <v>419</v>
      </c>
      <c r="E122" s="567"/>
      <c r="F122" s="568"/>
      <c r="G122" s="568"/>
      <c r="H122" s="568"/>
      <c r="I122" s="574"/>
      <c r="J122" s="581"/>
      <c r="K122" s="581"/>
      <c r="L122" s="575"/>
      <c r="M122" s="379"/>
      <c r="N122" s="562"/>
      <c r="O122" s="379"/>
    </row>
    <row r="123" spans="1:15" ht="15.75" x14ac:dyDescent="0.3">
      <c r="A123" s="503"/>
      <c r="B123" s="1301" t="s">
        <v>50</v>
      </c>
      <c r="C123" s="573">
        <f>C122*C117</f>
        <v>-2.2272727272727288E-4</v>
      </c>
      <c r="D123" s="568" t="s">
        <v>670</v>
      </c>
      <c r="E123" s="567"/>
      <c r="F123" s="568"/>
      <c r="G123" s="568"/>
      <c r="H123" s="568"/>
      <c r="I123" s="574">
        <f>$C123*$E$114*VLOOKUP($B123,'Standard values'!$C$9:$S$162,7, FALSE)/$E$202</f>
        <v>-2.6585209848484868E-2</v>
      </c>
      <c r="J123" s="574">
        <f>$C123*$E$114*VLOOKUP($B123,'Standard values'!$C$9:$S$162,8, FALSE)/$E$202</f>
        <v>-6.4832196969697028E-5</v>
      </c>
      <c r="K123" s="574">
        <f>$C123*$E$114*VLOOKUP($B123,'Standard values'!$C$9:$S$162,9, FALSE)/$E$202</f>
        <v>-1.2002525252525264E-6</v>
      </c>
      <c r="L123" s="575">
        <f>I123*'Standard values'!$D$10+J123*'Standard values'!$D$11+K123*'Standard values'!$D$12</f>
        <v>-2.8563690025252546E-2</v>
      </c>
      <c r="M123" s="379"/>
      <c r="N123" s="562">
        <f t="shared" si="3"/>
        <v>-1.2568023611111119</v>
      </c>
      <c r="O123" s="379"/>
    </row>
    <row r="124" spans="1:15" x14ac:dyDescent="0.2">
      <c r="A124" s="503"/>
      <c r="B124" s="495"/>
      <c r="C124" s="730"/>
      <c r="D124" s="495"/>
      <c r="E124" s="503"/>
      <c r="F124" s="495"/>
      <c r="G124" s="495"/>
      <c r="H124" s="495"/>
      <c r="I124" s="544"/>
      <c r="J124" s="544"/>
      <c r="K124" s="544"/>
      <c r="L124" s="419"/>
      <c r="M124" s="379"/>
      <c r="N124" s="562"/>
      <c r="O124" s="379"/>
    </row>
    <row r="125" spans="1:15" x14ac:dyDescent="0.2">
      <c r="A125" s="503"/>
      <c r="B125" s="511" t="s">
        <v>641</v>
      </c>
      <c r="C125" s="730"/>
      <c r="D125" s="495"/>
      <c r="E125" s="503"/>
      <c r="F125" s="495"/>
      <c r="G125" s="495"/>
      <c r="H125" s="495"/>
      <c r="I125" s="544"/>
      <c r="J125" s="544"/>
      <c r="K125" s="544"/>
      <c r="L125" s="419"/>
      <c r="M125" s="379"/>
      <c r="N125" s="562"/>
      <c r="O125" s="379"/>
    </row>
    <row r="126" spans="1:15" ht="15.75" x14ac:dyDescent="0.3">
      <c r="A126" s="503"/>
      <c r="B126" s="674" t="s">
        <v>1109</v>
      </c>
      <c r="C126" s="676">
        <f>1.4*0.0856818181818182</f>
        <v>0.11995454545454548</v>
      </c>
      <c r="D126" s="495" t="s">
        <v>670</v>
      </c>
      <c r="E126" s="503"/>
      <c r="F126" s="495"/>
      <c r="G126" s="495"/>
      <c r="H126" s="495"/>
      <c r="I126" s="544">
        <f>$C126*$E$114*VLOOKUP($B126,'Standard values'!$C$9:$S$162,7, FALSE)/$E$202</f>
        <v>9.7005408270202054</v>
      </c>
      <c r="J126" s="544">
        <f>$C126*$E$114*VLOOKUP($B126,'Standard values'!$C$9:$S$162,8, FALSE)/$E$202</f>
        <v>3.3164099747474758E-2</v>
      </c>
      <c r="K126" s="544">
        <f>$C126*$E$114*VLOOKUP($B126,'Standard values'!$C$9:$S$162,9, FALSE)/$E$202</f>
        <v>3.6652777777777792E-5</v>
      </c>
      <c r="L126" s="419">
        <f>I126*'Standard values'!$D$10+J126*'Standard values'!$D$11+K126*'Standard values'!$D$12</f>
        <v>10.540565848484851</v>
      </c>
      <c r="M126" s="379"/>
      <c r="N126" s="562">
        <f t="shared" si="3"/>
        <v>463.78489733333345</v>
      </c>
      <c r="O126" s="379"/>
    </row>
    <row r="127" spans="1:15" x14ac:dyDescent="0.2">
      <c r="A127" s="503"/>
      <c r="B127" s="682"/>
      <c r="C127" s="499"/>
      <c r="D127" s="499"/>
      <c r="E127" s="681"/>
      <c r="F127" s="495"/>
      <c r="G127" s="495"/>
      <c r="H127" s="514" t="s">
        <v>1047</v>
      </c>
      <c r="I127" s="583">
        <f>SUM(I114:I126)</f>
        <v>8.6432835742626288</v>
      </c>
      <c r="J127" s="583">
        <f>SUM(J114:J126)</f>
        <v>3.0003116814253654E-2</v>
      </c>
      <c r="K127" s="583">
        <f>SUM(K114:K126)</f>
        <v>8.9712502805835803E-6</v>
      </c>
      <c r="L127" s="516">
        <f>I127*'Standard values'!$D$10+J127*'Standard values'!$D$11+K127*'Standard values'!$D$12</f>
        <v>9.3960349272025834</v>
      </c>
      <c r="M127" s="379"/>
      <c r="N127" s="545">
        <f t="shared" si="3"/>
        <v>413.42553679691366</v>
      </c>
      <c r="O127" s="379"/>
    </row>
    <row r="128" spans="1:15" x14ac:dyDescent="0.2">
      <c r="A128" s="503"/>
      <c r="B128" s="682"/>
      <c r="C128" s="499"/>
      <c r="D128" s="499"/>
      <c r="E128" s="503"/>
      <c r="F128" s="495"/>
      <c r="G128" s="495"/>
      <c r="H128" s="495"/>
      <c r="I128" s="495"/>
      <c r="J128" s="495"/>
      <c r="K128" s="495"/>
      <c r="L128" s="541"/>
      <c r="M128" s="379"/>
      <c r="N128" s="390"/>
      <c r="O128" s="379"/>
    </row>
    <row r="129" spans="1:15" ht="14.25" x14ac:dyDescent="0.25">
      <c r="A129" s="519"/>
      <c r="B129" s="520"/>
      <c r="C129" s="520"/>
      <c r="D129" s="520"/>
      <c r="E129" s="519"/>
      <c r="F129" s="521"/>
      <c r="G129" s="521"/>
      <c r="H129" s="521" t="s">
        <v>534</v>
      </c>
      <c r="I129" s="520"/>
      <c r="J129" s="523" t="s">
        <v>675</v>
      </c>
      <c r="K129" s="549"/>
      <c r="L129" s="525">
        <f>L127</f>
        <v>9.3960349272025834</v>
      </c>
      <c r="M129" s="379"/>
      <c r="N129" s="390"/>
      <c r="O129" s="379"/>
    </row>
    <row r="130" spans="1:15" x14ac:dyDescent="0.2">
      <c r="A130" s="390"/>
      <c r="B130" s="390"/>
      <c r="C130" s="390"/>
      <c r="D130" s="379"/>
      <c r="E130" s="379"/>
      <c r="F130" s="551"/>
      <c r="G130" s="551"/>
      <c r="H130" s="437"/>
      <c r="I130" s="378"/>
      <c r="J130" s="379"/>
      <c r="K130" s="379"/>
      <c r="L130" s="586"/>
      <c r="M130" s="379"/>
      <c r="N130" s="379"/>
      <c r="O130" s="379"/>
    </row>
    <row r="131" spans="1:15" x14ac:dyDescent="0.2">
      <c r="A131" s="375"/>
      <c r="B131" s="585"/>
      <c r="C131" s="386"/>
      <c r="D131" s="390"/>
      <c r="E131" s="379"/>
      <c r="F131" s="379"/>
      <c r="G131" s="379"/>
      <c r="H131" s="379"/>
      <c r="I131" s="379"/>
      <c r="J131" s="591"/>
      <c r="K131" s="379"/>
      <c r="L131" s="379"/>
      <c r="M131" s="379"/>
      <c r="N131" s="379"/>
      <c r="O131" s="379"/>
    </row>
    <row r="132" spans="1:15" ht="15.75" x14ac:dyDescent="0.25">
      <c r="A132" s="530" t="s">
        <v>813</v>
      </c>
      <c r="B132" s="532"/>
      <c r="C132" s="531"/>
      <c r="D132" s="531"/>
      <c r="E132" s="530" t="s">
        <v>513</v>
      </c>
      <c r="F132" s="532"/>
      <c r="G132" s="532"/>
      <c r="H132" s="531"/>
      <c r="I132" s="532" t="s">
        <v>532</v>
      </c>
      <c r="J132" s="533"/>
      <c r="K132" s="533"/>
      <c r="L132" s="534"/>
      <c r="M132" s="379"/>
      <c r="N132" s="535" t="s">
        <v>162</v>
      </c>
      <c r="O132" s="379"/>
    </row>
    <row r="133" spans="1:15" ht="15.75" x14ac:dyDescent="0.3">
      <c r="A133" s="503"/>
      <c r="B133" s="511" t="s">
        <v>668</v>
      </c>
      <c r="C133" s="536">
        <v>1</v>
      </c>
      <c r="D133" s="495" t="s">
        <v>669</v>
      </c>
      <c r="E133" s="513">
        <f>E113*C133</f>
        <v>43382.524931307096</v>
      </c>
      <c r="F133" s="499" t="s">
        <v>671</v>
      </c>
      <c r="G133" s="499"/>
      <c r="H133" s="594"/>
      <c r="I133" s="492" t="s">
        <v>674</v>
      </c>
      <c r="J133" s="514"/>
      <c r="K133" s="514"/>
      <c r="L133" s="537"/>
      <c r="M133" s="379"/>
      <c r="N133" s="554" t="s">
        <v>539</v>
      </c>
      <c r="O133" s="379"/>
    </row>
    <row r="134" spans="1:15" ht="15.75" x14ac:dyDescent="0.3">
      <c r="A134" s="503"/>
      <c r="B134" s="495"/>
      <c r="C134" s="730"/>
      <c r="D134" s="495"/>
      <c r="E134" s="505">
        <f>E114*C133</f>
        <v>0.58644527083977294</v>
      </c>
      <c r="F134" s="506" t="s">
        <v>740</v>
      </c>
      <c r="G134" s="506"/>
      <c r="H134" s="594"/>
      <c r="I134" s="539" t="s">
        <v>1053</v>
      </c>
      <c r="J134" s="539" t="s">
        <v>1054</v>
      </c>
      <c r="K134" s="539" t="s">
        <v>1055</v>
      </c>
      <c r="L134" s="540" t="s">
        <v>1056</v>
      </c>
      <c r="M134" s="379"/>
      <c r="N134" s="540" t="s">
        <v>1056</v>
      </c>
      <c r="O134" s="379"/>
    </row>
    <row r="135" spans="1:15" x14ac:dyDescent="0.2">
      <c r="A135" s="503"/>
      <c r="B135" s="511" t="s">
        <v>498</v>
      </c>
      <c r="C135" s="730"/>
      <c r="D135" s="495"/>
      <c r="E135" s="513"/>
      <c r="F135" s="495"/>
      <c r="G135" s="495"/>
      <c r="H135" s="495"/>
      <c r="I135" s="495"/>
      <c r="J135" s="495"/>
      <c r="K135" s="495"/>
      <c r="L135" s="541"/>
      <c r="M135" s="379"/>
      <c r="N135" s="541"/>
      <c r="O135" s="379"/>
    </row>
    <row r="136" spans="1:15" ht="15.75" x14ac:dyDescent="0.3">
      <c r="A136" s="503"/>
      <c r="B136" s="495" t="s">
        <v>159</v>
      </c>
      <c r="C136" s="595">
        <v>150</v>
      </c>
      <c r="D136" s="495" t="s">
        <v>510</v>
      </c>
      <c r="E136" s="543">
        <f>(C136*E134/VLOOKUP($B133,'Standard values'!$C$9:$S$162,14, FALSE))/1000</f>
        <v>1.9992452414992258E-3</v>
      </c>
      <c r="F136" s="495" t="s">
        <v>244</v>
      </c>
      <c r="G136" s="495"/>
      <c r="H136" s="495"/>
      <c r="I136" s="544">
        <f>$E136*VLOOKUP($B136,'Standard values'!$C$9:$S$162,15, FALSE)*VLOOKUP(C137,'Standard values'!$C$9:$S$162,7, FALSE)/$E$202</f>
        <v>0.30115909090909088</v>
      </c>
      <c r="J136" s="544">
        <f>$E136*((VLOOKUP($B136,'Standard values'!$C$9:$S$162,15, FALSE)*VLOOKUP(C137,'Standard values'!$C$9:$S$162,8, FALSE))+VLOOKUP($B136,'Standard values'!$C$9:$S$162,16, FALSE))/$E$202</f>
        <v>1.7045454545454543E-5</v>
      </c>
      <c r="K136" s="544">
        <f>$E136*((VLOOKUP($B136,'Standard values'!$C$9:$S$162,15, FALSE)*VLOOKUP(C137,'Standard values'!$C$9:$S$162,9, FALSE))+VLOOKUP($B136,'Standard values'!$C$9:$S$162,17, FALSE))/$E$202</f>
        <v>0</v>
      </c>
      <c r="L136" s="516">
        <f>I136*'Standard values'!$D$10+J136*'Standard values'!$D$11+K136*'Standard values'!$D$12</f>
        <v>0.30158522727272724</v>
      </c>
      <c r="M136" s="379"/>
      <c r="N136" s="562">
        <f>L136/$E$115</f>
        <v>13.269749999999998</v>
      </c>
      <c r="O136" s="379"/>
    </row>
    <row r="137" spans="1:15" x14ac:dyDescent="0.2">
      <c r="A137" s="503"/>
      <c r="B137" s="546" t="s">
        <v>54</v>
      </c>
      <c r="C137" s="547" t="s">
        <v>509</v>
      </c>
      <c r="D137" s="495"/>
      <c r="E137" s="503"/>
      <c r="F137" s="495"/>
      <c r="G137" s="495"/>
      <c r="H137" s="495"/>
      <c r="I137" s="544"/>
      <c r="J137" s="544"/>
      <c r="K137" s="544"/>
      <c r="L137" s="516"/>
      <c r="M137" s="379"/>
      <c r="N137" s="562"/>
      <c r="O137" s="379"/>
    </row>
    <row r="138" spans="1:15" x14ac:dyDescent="0.2">
      <c r="A138" s="503"/>
      <c r="B138" s="495"/>
      <c r="C138" s="727"/>
      <c r="D138" s="495"/>
      <c r="E138" s="543"/>
      <c r="F138" s="495"/>
      <c r="G138" s="495"/>
      <c r="H138" s="495"/>
      <c r="I138" s="544"/>
      <c r="J138" s="544"/>
      <c r="K138" s="544"/>
      <c r="L138" s="516"/>
      <c r="M138" s="379"/>
      <c r="N138" s="562"/>
      <c r="O138" s="379"/>
    </row>
    <row r="139" spans="1:15" x14ac:dyDescent="0.2">
      <c r="A139" s="503"/>
      <c r="B139" s="511" t="s">
        <v>444</v>
      </c>
      <c r="C139" s="730"/>
      <c r="D139" s="495"/>
      <c r="E139" s="503"/>
      <c r="F139" s="495"/>
      <c r="G139" s="495"/>
      <c r="H139" s="495"/>
      <c r="I139" s="544"/>
      <c r="J139" s="544"/>
      <c r="K139" s="544"/>
      <c r="L139" s="584"/>
      <c r="M139" s="379"/>
      <c r="N139" s="562"/>
      <c r="O139" s="379"/>
    </row>
    <row r="140" spans="1:15" ht="15.75" x14ac:dyDescent="0.3">
      <c r="A140" s="590"/>
      <c r="B140" s="1301" t="s">
        <v>49</v>
      </c>
      <c r="C140" s="542">
        <v>8.4000000000000003E-4</v>
      </c>
      <c r="D140" s="495" t="s">
        <v>670</v>
      </c>
      <c r="E140" s="503"/>
      <c r="F140" s="495"/>
      <c r="G140" s="495"/>
      <c r="H140" s="495"/>
      <c r="I140" s="544">
        <f>$C140*$E$134*VLOOKUP($B140,'Standard values'!$C$9:$S$162,7, FALSE)/$E$202</f>
        <v>0.10146738</v>
      </c>
      <c r="J140" s="544">
        <f>$C140*$E$134*VLOOKUP($B140,'Standard values'!$C$9:$S$162,8, FALSE)/$E$202</f>
        <v>2.4744999999999997E-4</v>
      </c>
      <c r="K140" s="544">
        <f>$C140*$E$134*VLOOKUP($B140,'Standard values'!$C$9:$S$162,9, FALSE)/$E$202</f>
        <v>4.5966666666666661E-6</v>
      </c>
      <c r="L140" s="516">
        <f>I140*'Standard values'!$D$10+J140*'Standard values'!$D$11+K140*'Standard values'!$D$12</f>
        <v>0.10902343666666667</v>
      </c>
      <c r="M140" s="379"/>
      <c r="N140" s="562">
        <f>L140/$E$115</f>
        <v>4.7970312133333328</v>
      </c>
      <c r="O140" s="379"/>
    </row>
    <row r="141" spans="1:15" ht="14.25" x14ac:dyDescent="0.25">
      <c r="A141" s="519"/>
      <c r="B141" s="520"/>
      <c r="C141" s="520"/>
      <c r="D141" s="520"/>
      <c r="E141" s="519"/>
      <c r="F141" s="521"/>
      <c r="G141" s="521"/>
      <c r="H141" s="521" t="s">
        <v>534</v>
      </c>
      <c r="I141" s="520"/>
      <c r="J141" s="523" t="s">
        <v>675</v>
      </c>
      <c r="K141" s="549"/>
      <c r="L141" s="525">
        <f>L140+L136</f>
        <v>0.41060866393939388</v>
      </c>
      <c r="M141" s="379"/>
      <c r="N141" s="545">
        <f>L141/$E$115</f>
        <v>18.066781213333329</v>
      </c>
      <c r="O141" s="379"/>
    </row>
    <row r="142" spans="1:15" x14ac:dyDescent="0.2">
      <c r="A142" s="390"/>
      <c r="B142" s="390"/>
      <c r="C142" s="390"/>
      <c r="D142" s="390"/>
      <c r="E142" s="390"/>
      <c r="F142" s="376"/>
      <c r="G142" s="376"/>
      <c r="H142" s="376"/>
      <c r="I142" s="390"/>
      <c r="J142" s="550"/>
      <c r="K142" s="551"/>
      <c r="L142" s="552"/>
      <c r="M142" s="379"/>
      <c r="N142" s="379"/>
      <c r="O142" s="379"/>
    </row>
    <row r="143" spans="1:15" x14ac:dyDescent="0.2">
      <c r="A143" s="390"/>
      <c r="B143" s="390"/>
      <c r="C143" s="390"/>
      <c r="D143" s="390"/>
      <c r="E143" s="390"/>
      <c r="F143" s="376"/>
      <c r="G143" s="376"/>
      <c r="H143" s="376"/>
      <c r="I143" s="390"/>
      <c r="J143" s="550"/>
      <c r="K143" s="551"/>
      <c r="L143" s="552"/>
      <c r="M143" s="379"/>
      <c r="N143" s="379"/>
      <c r="O143" s="379"/>
    </row>
    <row r="144" spans="1:15" ht="15.75" x14ac:dyDescent="0.25">
      <c r="A144" s="530" t="s">
        <v>810</v>
      </c>
      <c r="B144" s="531"/>
      <c r="C144" s="531"/>
      <c r="D144" s="531"/>
      <c r="E144" s="530" t="s">
        <v>513</v>
      </c>
      <c r="F144" s="531"/>
      <c r="G144" s="531"/>
      <c r="H144" s="531"/>
      <c r="I144" s="531"/>
      <c r="J144" s="531"/>
      <c r="K144" s="531"/>
      <c r="L144" s="596"/>
      <c r="M144" s="379"/>
      <c r="N144" s="535" t="s">
        <v>162</v>
      </c>
      <c r="O144" s="379"/>
    </row>
    <row r="145" spans="1:15" ht="15.75" x14ac:dyDescent="0.3">
      <c r="A145" s="503"/>
      <c r="B145" s="511" t="s">
        <v>668</v>
      </c>
      <c r="C145" s="536">
        <v>1</v>
      </c>
      <c r="D145" s="495" t="s">
        <v>669</v>
      </c>
      <c r="E145" s="513">
        <f>E133*C145</f>
        <v>43382.524931307096</v>
      </c>
      <c r="F145" s="499" t="s">
        <v>671</v>
      </c>
      <c r="G145" s="499"/>
      <c r="H145" s="495"/>
      <c r="I145" s="492" t="s">
        <v>674</v>
      </c>
      <c r="J145" s="514"/>
      <c r="K145" s="514"/>
      <c r="L145" s="537"/>
      <c r="M145" s="379"/>
      <c r="N145" s="554" t="s">
        <v>539</v>
      </c>
      <c r="O145" s="379"/>
    </row>
    <row r="146" spans="1:15" ht="15.75" x14ac:dyDescent="0.3">
      <c r="A146" s="503"/>
      <c r="B146" s="495"/>
      <c r="C146" s="730"/>
      <c r="D146" s="495"/>
      <c r="E146" s="505">
        <f>E134*C145</f>
        <v>0.58644527083977294</v>
      </c>
      <c r="F146" s="506" t="s">
        <v>740</v>
      </c>
      <c r="G146" s="506"/>
      <c r="H146" s="495"/>
      <c r="I146" s="539" t="s">
        <v>1053</v>
      </c>
      <c r="J146" s="539" t="s">
        <v>1054</v>
      </c>
      <c r="K146" s="539" t="s">
        <v>1055</v>
      </c>
      <c r="L146" s="540" t="s">
        <v>1056</v>
      </c>
      <c r="M146" s="379"/>
      <c r="N146" s="540" t="s">
        <v>1056</v>
      </c>
      <c r="O146" s="379"/>
    </row>
    <row r="147" spans="1:15" x14ac:dyDescent="0.2">
      <c r="A147" s="503"/>
      <c r="B147" s="511" t="s">
        <v>498</v>
      </c>
      <c r="C147" s="730"/>
      <c r="D147" s="495"/>
      <c r="E147" s="513"/>
      <c r="F147" s="495"/>
      <c r="G147" s="495"/>
      <c r="H147" s="495"/>
      <c r="I147" s="495"/>
      <c r="J147" s="495"/>
      <c r="K147" s="495"/>
      <c r="L147" s="541"/>
      <c r="M147" s="379"/>
      <c r="N147" s="541"/>
      <c r="O147" s="379"/>
    </row>
    <row r="148" spans="1:15" ht="15.75" x14ac:dyDescent="0.3">
      <c r="A148" s="503"/>
      <c r="B148" s="495" t="s">
        <v>159</v>
      </c>
      <c r="C148" s="595">
        <v>150</v>
      </c>
      <c r="D148" s="495" t="s">
        <v>510</v>
      </c>
      <c r="E148" s="543">
        <f>(C148*E146/VLOOKUP($B145,'Standard values'!$C$9:$S$162,14, FALSE))/1000</f>
        <v>1.9992452414992258E-3</v>
      </c>
      <c r="F148" s="495" t="s">
        <v>244</v>
      </c>
      <c r="G148" s="495"/>
      <c r="H148" s="495"/>
      <c r="I148" s="544">
        <f>$E148*VLOOKUP($B148,'Standard values'!$C$9:$S$162,15, FALSE)*VLOOKUP(C149,'Standard values'!$C$9:$S$162,7, FALSE)/$E$202</f>
        <v>0.30115909090909088</v>
      </c>
      <c r="J148" s="544">
        <f>$E148*((VLOOKUP($B148,'Standard values'!$C$9:$S$162,15, FALSE)*VLOOKUP(C149,'Standard values'!$C$9:$S$162,8, FALSE))+VLOOKUP($B148,'Standard values'!$C$9:$S$162,16, FALSE))/$E$202</f>
        <v>1.7045454545454543E-5</v>
      </c>
      <c r="K148" s="544">
        <f>$E148*((VLOOKUP($B148,'Standard values'!$C$9:$S$162,15, FALSE)*VLOOKUP(C149,'Standard values'!$C$9:$S$162,9, FALSE))+VLOOKUP($B148,'Standard values'!$C$9:$S$162,17, FALSE))/$E$202</f>
        <v>0</v>
      </c>
      <c r="L148" s="516">
        <f>I148*'Standard values'!$D$10+J148*'Standard values'!$D$11+K148*'Standard values'!$D$12</f>
        <v>0.30158522727272724</v>
      </c>
      <c r="M148" s="379"/>
      <c r="N148" s="562">
        <f>L148/$E$115</f>
        <v>13.269749999999998</v>
      </c>
      <c r="O148" s="379"/>
    </row>
    <row r="149" spans="1:15" x14ac:dyDescent="0.2">
      <c r="A149" s="503"/>
      <c r="B149" s="546" t="s">
        <v>54</v>
      </c>
      <c r="C149" s="547" t="s">
        <v>509</v>
      </c>
      <c r="D149" s="495"/>
      <c r="E149" s="503"/>
      <c r="F149" s="495"/>
      <c r="G149" s="495"/>
      <c r="H149" s="495"/>
      <c r="I149" s="544"/>
      <c r="J149" s="544"/>
      <c r="K149" s="544"/>
      <c r="L149" s="516"/>
      <c r="M149" s="379"/>
      <c r="N149" s="562"/>
      <c r="O149" s="379"/>
    </row>
    <row r="150" spans="1:15" x14ac:dyDescent="0.2">
      <c r="A150" s="503"/>
      <c r="B150" s="495"/>
      <c r="C150" s="730"/>
      <c r="D150" s="495"/>
      <c r="E150" s="505"/>
      <c r="F150" s="506"/>
      <c r="G150" s="506"/>
      <c r="H150" s="495"/>
      <c r="I150" s="539"/>
      <c r="J150" s="539"/>
      <c r="K150" s="539"/>
      <c r="L150" s="690"/>
      <c r="M150" s="379"/>
      <c r="N150" s="540"/>
      <c r="O150" s="379"/>
    </row>
    <row r="151" spans="1:15" x14ac:dyDescent="0.2">
      <c r="A151" s="503"/>
      <c r="B151" s="511" t="s">
        <v>441</v>
      </c>
      <c r="C151" s="730"/>
      <c r="D151" s="495"/>
      <c r="E151" s="503"/>
      <c r="F151" s="495"/>
      <c r="G151" s="495"/>
      <c r="H151" s="495"/>
      <c r="I151" s="544"/>
      <c r="J151" s="544"/>
      <c r="K151" s="544"/>
      <c r="L151" s="584"/>
      <c r="M151" s="379"/>
      <c r="N151" s="541"/>
      <c r="O151" s="379"/>
    </row>
    <row r="152" spans="1:15" ht="15.75" x14ac:dyDescent="0.3">
      <c r="A152" s="503"/>
      <c r="B152" s="1301" t="s">
        <v>49</v>
      </c>
      <c r="C152" s="542">
        <v>3.3999999999999998E-3</v>
      </c>
      <c r="D152" s="495" t="s">
        <v>670</v>
      </c>
      <c r="E152" s="503"/>
      <c r="F152" s="495"/>
      <c r="G152" s="495"/>
      <c r="H152" s="495"/>
      <c r="I152" s="544">
        <f>$C152*$E$146*VLOOKUP($B152,'Standard values'!$C$9:$S$162,7, FALSE)/$E$202</f>
        <v>0.41070129999999999</v>
      </c>
      <c r="J152" s="544">
        <f>$C152*$E$146*VLOOKUP($B152,'Standard values'!$C$9:$S$162,8, FALSE)/$E$202</f>
        <v>1.0015833333333333E-3</v>
      </c>
      <c r="K152" s="544">
        <f>$C152*$E$146*VLOOKUP($B152,'Standard values'!$C$9:$S$162,9, FALSE)/$E$202</f>
        <v>1.8605555555555555E-5</v>
      </c>
      <c r="L152" s="516">
        <f>I152*'Standard values'!$D$10+J152*'Standard values'!$D$11+K152*'Standard values'!$D$12</f>
        <v>0.44128533888888888</v>
      </c>
      <c r="M152" s="379"/>
      <c r="N152" s="562">
        <f>L152/$E$115</f>
        <v>19.41655491111111</v>
      </c>
      <c r="O152" s="379"/>
    </row>
    <row r="153" spans="1:15" ht="14.25" x14ac:dyDescent="0.25">
      <c r="A153" s="519"/>
      <c r="B153" s="520"/>
      <c r="C153" s="630"/>
      <c r="D153" s="520"/>
      <c r="E153" s="519"/>
      <c r="F153" s="521"/>
      <c r="G153" s="521"/>
      <c r="H153" s="521" t="s">
        <v>534</v>
      </c>
      <c r="I153" s="520"/>
      <c r="J153" s="523" t="s">
        <v>675</v>
      </c>
      <c r="K153" s="549"/>
      <c r="L153" s="525">
        <f>L148+L152</f>
        <v>0.74287056616161617</v>
      </c>
      <c r="M153" s="379"/>
      <c r="N153" s="545">
        <f>L153/$E$115</f>
        <v>32.686304911111108</v>
      </c>
      <c r="O153" s="379"/>
    </row>
    <row r="154" spans="1:15" x14ac:dyDescent="0.2">
      <c r="A154" s="390"/>
      <c r="B154" s="390"/>
      <c r="C154" s="390"/>
      <c r="D154" s="390"/>
      <c r="E154" s="390"/>
      <c r="F154" s="376"/>
      <c r="G154" s="376"/>
      <c r="H154" s="376"/>
      <c r="I154" s="390"/>
      <c r="J154" s="550"/>
      <c r="K154" s="551"/>
      <c r="L154" s="597"/>
      <c r="M154" s="379"/>
      <c r="N154" s="390"/>
      <c r="O154" s="379"/>
    </row>
    <row r="155" spans="1:15" x14ac:dyDescent="0.2">
      <c r="A155" s="390"/>
      <c r="B155" s="390"/>
      <c r="C155" s="390"/>
      <c r="D155" s="390"/>
      <c r="E155" s="390"/>
      <c r="F155" s="376"/>
      <c r="G155" s="376"/>
      <c r="H155" s="376"/>
      <c r="I155" s="390"/>
      <c r="J155" s="550"/>
      <c r="K155" s="551"/>
      <c r="L155" s="597"/>
      <c r="M155" s="379"/>
      <c r="N155" s="379"/>
      <c r="O155" s="379"/>
    </row>
    <row r="156" spans="1:15" ht="15.75" x14ac:dyDescent="0.25">
      <c r="A156" s="530" t="s">
        <v>546</v>
      </c>
      <c r="B156" s="598"/>
      <c r="C156" s="599"/>
      <c r="D156" s="531"/>
      <c r="E156" s="600"/>
      <c r="F156" s="531"/>
      <c r="G156" s="531"/>
      <c r="H156" s="531"/>
      <c r="I156" s="531"/>
      <c r="J156" s="531"/>
      <c r="K156" s="531"/>
      <c r="L156" s="601"/>
      <c r="M156" s="379"/>
      <c r="N156" s="379"/>
      <c r="O156" s="379"/>
    </row>
    <row r="157" spans="1:15" ht="15.75" x14ac:dyDescent="0.25">
      <c r="A157" s="602"/>
      <c r="B157" s="603" t="s">
        <v>549</v>
      </c>
      <c r="C157" s="511" t="s">
        <v>908</v>
      </c>
      <c r="D157" s="495"/>
      <c r="E157" s="503"/>
      <c r="F157" s="495"/>
      <c r="G157" s="495"/>
      <c r="H157" s="495"/>
      <c r="I157" s="495"/>
      <c r="J157" s="495"/>
      <c r="K157" s="495"/>
      <c r="L157" s="537"/>
      <c r="M157" s="379"/>
      <c r="N157" s="390"/>
      <c r="O157" s="390"/>
    </row>
    <row r="158" spans="1:15" ht="15.75" customHeight="1" x14ac:dyDescent="0.25">
      <c r="A158" s="602"/>
      <c r="B158" s="511"/>
      <c r="C158" s="668"/>
      <c r="D158" s="691" t="s">
        <v>431</v>
      </c>
      <c r="E158" s="692" t="str">
        <f>IF(D160="Yes","From :  ", " ")</f>
        <v xml:space="preserve"> </v>
      </c>
      <c r="F158" s="1422" t="str">
        <f>IF(D160="Yes",LUC!H$35 &amp; " ; " &amp; LUC!H$36 &amp; " ; " &amp; LUC!H$39 &amp; " ; " &amp; LUC!H$40 &amp; " ; " &amp; LUC!H$45 &amp; " ; " &amp; LUC!H$46 &amp; " ; " &amp; LUC!H$47, " ")</f>
        <v xml:space="preserve"> </v>
      </c>
      <c r="G158" s="1422"/>
      <c r="H158" s="1422"/>
      <c r="I158" s="1422"/>
      <c r="J158" s="1422"/>
      <c r="K158" s="1422"/>
      <c r="L158" s="1423"/>
      <c r="M158" s="379"/>
      <c r="N158" s="390"/>
      <c r="O158" s="390"/>
    </row>
    <row r="159" spans="1:15" ht="15.75" x14ac:dyDescent="0.25">
      <c r="A159" s="602"/>
      <c r="B159" s="539" t="s">
        <v>450</v>
      </c>
      <c r="C159" s="693" t="s">
        <v>431</v>
      </c>
      <c r="D159" s="691" t="s">
        <v>432</v>
      </c>
      <c r="E159" s="513"/>
      <c r="F159" s="1422"/>
      <c r="G159" s="1422"/>
      <c r="H159" s="1422"/>
      <c r="I159" s="1422"/>
      <c r="J159" s="1422"/>
      <c r="K159" s="1422"/>
      <c r="L159" s="1423"/>
      <c r="M159" s="379"/>
      <c r="N159" s="390"/>
      <c r="O159" s="390"/>
    </row>
    <row r="160" spans="1:15" ht="15.75" customHeight="1" x14ac:dyDescent="0.25">
      <c r="A160" s="602"/>
      <c r="B160" s="511"/>
      <c r="C160" s="670" t="str">
        <f>IF(D160="Yes","Go to", " ")</f>
        <v xml:space="preserve"> </v>
      </c>
      <c r="D160" s="691" t="s">
        <v>432</v>
      </c>
      <c r="E160" s="692" t="str">
        <f>IF(D160="Yes","To    :   ", " ")</f>
        <v xml:space="preserve"> </v>
      </c>
      <c r="F160" s="1424" t="str">
        <f>IF(D160="Yes", LUC!D$35 &amp; " ; " &amp; LUC!D$36 &amp; " ; " &amp; LUC!D$39 &amp; " ; " &amp; LUC!D$40 &amp; " ; " &amp; LUC!D$45 &amp; " ; " &amp; LUC!D$46 &amp; " ; " &amp; LUC!D$47, " ")</f>
        <v xml:space="preserve"> </v>
      </c>
      <c r="G160" s="1424"/>
      <c r="H160" s="1424"/>
      <c r="I160" s="1424"/>
      <c r="J160" s="1424"/>
      <c r="K160" s="1424"/>
      <c r="L160" s="1425"/>
      <c r="M160" s="379"/>
      <c r="N160" s="390"/>
      <c r="O160" s="390"/>
    </row>
    <row r="161" spans="1:15" ht="15.75" x14ac:dyDescent="0.25">
      <c r="A161" s="602"/>
      <c r="B161" s="416"/>
      <c r="C161" s="671" t="str">
        <f>IF(D160="Yes","sheet 'LUC' ", " ")</f>
        <v xml:space="preserve"> </v>
      </c>
      <c r="D161" s="495"/>
      <c r="E161" s="696"/>
      <c r="F161" s="1424"/>
      <c r="G161" s="1424"/>
      <c r="H161" s="1424"/>
      <c r="I161" s="1424"/>
      <c r="J161" s="1424"/>
      <c r="K161" s="1424"/>
      <c r="L161" s="1425"/>
      <c r="M161" s="379"/>
      <c r="N161" s="390"/>
      <c r="O161" s="390"/>
    </row>
    <row r="162" spans="1:15" ht="15.75" x14ac:dyDescent="0.25">
      <c r="A162" s="602"/>
      <c r="B162" s="416"/>
      <c r="C162" s="670" t="str">
        <f>IF(D160="Yes","to calculate the land use change", " ")</f>
        <v xml:space="preserve"> </v>
      </c>
      <c r="D162" s="495"/>
      <c r="E162" s="696"/>
      <c r="F162" s="694"/>
      <c r="G162" s="694"/>
      <c r="H162" s="694"/>
      <c r="I162" s="492" t="s">
        <v>674</v>
      </c>
      <c r="J162" s="514"/>
      <c r="K162" s="694"/>
      <c r="L162" s="695"/>
      <c r="M162" s="379"/>
      <c r="N162" s="390"/>
      <c r="O162" s="390"/>
    </row>
    <row r="163" spans="1:15" ht="16.5" x14ac:dyDescent="0.3">
      <c r="A163" s="602"/>
      <c r="B163" s="416"/>
      <c r="C163" s="670"/>
      <c r="D163" s="495"/>
      <c r="E163" s="696"/>
      <c r="F163" s="694"/>
      <c r="G163" s="694"/>
      <c r="H163" s="694"/>
      <c r="I163" s="539" t="s">
        <v>1053</v>
      </c>
      <c r="J163" s="539" t="s">
        <v>1054</v>
      </c>
      <c r="K163" s="539" t="s">
        <v>1055</v>
      </c>
      <c r="L163" s="540" t="s">
        <v>1056</v>
      </c>
      <c r="M163" s="379"/>
      <c r="N163" s="390"/>
      <c r="O163" s="390"/>
    </row>
    <row r="164" spans="1:15" ht="16.5" x14ac:dyDescent="0.3">
      <c r="A164" s="602"/>
      <c r="B164" s="507" t="s">
        <v>451</v>
      </c>
      <c r="C164" s="697">
        <f>IF(D160="Yes",LUC!$J$86,0)</f>
        <v>0</v>
      </c>
      <c r="D164" s="497" t="s">
        <v>449</v>
      </c>
      <c r="E164" s="503"/>
      <c r="F164" s="495"/>
      <c r="G164" s="495"/>
      <c r="H164" s="495"/>
      <c r="I164" s="544">
        <f>$C164*1000000/$E$201</f>
        <v>0</v>
      </c>
      <c r="J164" s="544">
        <v>0</v>
      </c>
      <c r="K164" s="544">
        <v>0</v>
      </c>
      <c r="L164" s="419">
        <f>I164*'Standard values'!$D$10+J164*'Standard values'!$D$11+K164*'Standard values'!$D$12</f>
        <v>0</v>
      </c>
      <c r="M164" s="379"/>
      <c r="N164" s="390"/>
      <c r="O164" s="390"/>
    </row>
    <row r="165" spans="1:15" ht="15.75" x14ac:dyDescent="0.25">
      <c r="A165" s="602"/>
      <c r="B165" s="507"/>
      <c r="C165" s="698"/>
      <c r="D165" s="497"/>
      <c r="E165" s="503"/>
      <c r="F165" s="495"/>
      <c r="G165" s="495"/>
      <c r="H165" s="495"/>
      <c r="I165" s="544"/>
      <c r="J165" s="544"/>
      <c r="K165" s="544"/>
      <c r="L165" s="516">
        <f>SUM(L164:L164)</f>
        <v>0</v>
      </c>
      <c r="M165" s="379"/>
      <c r="N165" s="390"/>
      <c r="O165" s="390"/>
    </row>
    <row r="166" spans="1:15" ht="15.75" x14ac:dyDescent="0.25">
      <c r="A166" s="602"/>
      <c r="B166" s="416"/>
      <c r="C166" s="492"/>
      <c r="D166" s="495"/>
      <c r="E166" s="503"/>
      <c r="F166" s="495"/>
      <c r="G166" s="495"/>
      <c r="H166" s="495"/>
      <c r="I166" s="544"/>
      <c r="J166" s="544"/>
      <c r="K166" s="544"/>
      <c r="L166" s="516"/>
      <c r="M166" s="379"/>
      <c r="N166" s="390"/>
      <c r="O166" s="390"/>
    </row>
    <row r="167" spans="1:15" ht="15.75" x14ac:dyDescent="0.3">
      <c r="A167" s="503"/>
      <c r="B167" s="539" t="s">
        <v>452</v>
      </c>
      <c r="C167" s="595">
        <v>0</v>
      </c>
      <c r="D167" s="605" t="s">
        <v>673</v>
      </c>
      <c r="E167" s="699"/>
      <c r="F167" s="495"/>
      <c r="G167" s="495"/>
      <c r="H167" s="495"/>
      <c r="I167" s="544">
        <f>-C167</f>
        <v>0</v>
      </c>
      <c r="J167" s="544">
        <v>0</v>
      </c>
      <c r="K167" s="544">
        <v>0</v>
      </c>
      <c r="L167" s="419">
        <f>I167*'Standard values'!$D$10+J167*'Standard values'!$D$11+K167*'Standard values'!$D$12</f>
        <v>0</v>
      </c>
      <c r="M167" s="379"/>
      <c r="N167" s="390"/>
      <c r="O167" s="390"/>
    </row>
    <row r="168" spans="1:15" x14ac:dyDescent="0.2">
      <c r="A168" s="503"/>
      <c r="B168" s="539" t="str">
        <f>IF(C167=-29,"Year of conversion:","")</f>
        <v/>
      </c>
      <c r="C168" s="539" t="str">
        <f>IF(D167=-29,"Year of conversion:","")</f>
        <v/>
      </c>
      <c r="D168" s="605" t="str">
        <f>IF(C167=-29,"Fill in the year of conversion","")</f>
        <v/>
      </c>
      <c r="E168" s="503"/>
      <c r="F168" s="495"/>
      <c r="G168" s="495"/>
      <c r="H168" s="495"/>
      <c r="I168" s="495"/>
      <c r="J168" s="495"/>
      <c r="K168" s="544"/>
      <c r="L168" s="516">
        <f>SUM(L167:L167)</f>
        <v>0</v>
      </c>
      <c r="M168" s="379"/>
      <c r="N168" s="390"/>
      <c r="O168" s="390"/>
    </row>
    <row r="169" spans="1:15" x14ac:dyDescent="0.2">
      <c r="A169" s="503"/>
      <c r="B169" s="539"/>
      <c r="C169" s="539"/>
      <c r="D169" s="605"/>
      <c r="E169" s="503"/>
      <c r="F169" s="495"/>
      <c r="G169" s="495"/>
      <c r="H169" s="495"/>
      <c r="I169" s="495"/>
      <c r="J169" s="495"/>
      <c r="K169" s="544"/>
      <c r="L169" s="700"/>
      <c r="M169" s="379"/>
      <c r="N169" s="390"/>
      <c r="O169" s="390"/>
    </row>
    <row r="170" spans="1:15" ht="14.25" x14ac:dyDescent="0.25">
      <c r="A170" s="519"/>
      <c r="B170" s="520"/>
      <c r="C170" s="520"/>
      <c r="D170" s="520"/>
      <c r="E170" s="519"/>
      <c r="F170" s="521"/>
      <c r="G170" s="521"/>
      <c r="H170" s="521" t="s">
        <v>534</v>
      </c>
      <c r="I170" s="520"/>
      <c r="J170" s="523" t="s">
        <v>675</v>
      </c>
      <c r="K170" s="549"/>
      <c r="L170" s="525">
        <f>L165+L168</f>
        <v>0</v>
      </c>
      <c r="M170" s="379"/>
      <c r="N170" s="390"/>
      <c r="O170" s="390"/>
    </row>
    <row r="171" spans="1:15" x14ac:dyDescent="0.2">
      <c r="A171" s="390"/>
      <c r="B171" s="390"/>
      <c r="C171" s="390"/>
      <c r="D171" s="390"/>
      <c r="E171" s="390"/>
      <c r="F171" s="376"/>
      <c r="G171" s="376"/>
      <c r="H171" s="376"/>
      <c r="I171" s="390"/>
      <c r="J171" s="550"/>
      <c r="K171" s="551"/>
      <c r="L171" s="604"/>
      <c r="M171" s="379"/>
      <c r="N171" s="390"/>
      <c r="O171" s="390"/>
    </row>
    <row r="172" spans="1:15" x14ac:dyDescent="0.2">
      <c r="A172" s="390"/>
      <c r="B172" s="390"/>
      <c r="C172" s="390"/>
      <c r="D172" s="390"/>
      <c r="E172" s="390"/>
      <c r="F172" s="376"/>
      <c r="G172" s="376"/>
      <c r="H172" s="376"/>
      <c r="I172" s="390"/>
      <c r="J172" s="550"/>
      <c r="K172" s="551"/>
      <c r="L172" s="604"/>
      <c r="M172" s="379"/>
      <c r="N172" s="390"/>
      <c r="O172" s="390"/>
    </row>
    <row r="173" spans="1:15" ht="15.75" x14ac:dyDescent="0.25">
      <c r="A173" s="530" t="s">
        <v>547</v>
      </c>
      <c r="B173" s="598"/>
      <c r="C173" s="599"/>
      <c r="D173" s="531"/>
      <c r="E173" s="600"/>
      <c r="F173" s="531"/>
      <c r="G173" s="531"/>
      <c r="H173" s="531"/>
      <c r="I173" s="531"/>
      <c r="J173" s="531"/>
      <c r="K173" s="531"/>
      <c r="L173" s="601"/>
      <c r="M173" s="379"/>
      <c r="N173" s="390"/>
      <c r="O173" s="390"/>
    </row>
    <row r="174" spans="1:15" ht="15.75" x14ac:dyDescent="0.25">
      <c r="A174" s="602"/>
      <c r="B174" s="416" t="s">
        <v>548</v>
      </c>
      <c r="C174" s="492" t="s">
        <v>429</v>
      </c>
      <c r="D174" s="616"/>
      <c r="E174" s="503"/>
      <c r="F174" s="495"/>
      <c r="G174" s="495"/>
      <c r="H174" s="495"/>
      <c r="I174" s="492" t="s">
        <v>674</v>
      </c>
      <c r="J174" s="514"/>
      <c r="K174" s="514"/>
      <c r="L174" s="537"/>
      <c r="M174" s="379"/>
      <c r="N174" s="390"/>
      <c r="O174" s="390"/>
    </row>
    <row r="175" spans="1:15" ht="15.75" customHeight="1" x14ac:dyDescent="0.25">
      <c r="A175" s="602"/>
      <c r="B175" s="511"/>
      <c r="C175" s="668"/>
      <c r="D175" s="691" t="s">
        <v>431</v>
      </c>
      <c r="E175" s="692" t="str">
        <f>IF(D177="Yes","From :  ", " ")</f>
        <v xml:space="preserve"> </v>
      </c>
      <c r="F175" s="1422" t="str">
        <f>IF(D177="Yes",Esca!H$42 &amp; ", " &amp; Esca!H$43 &amp; " input ","")</f>
        <v/>
      </c>
      <c r="G175" s="1422"/>
      <c r="H175" s="1422"/>
      <c r="I175" s="1422"/>
      <c r="J175" s="1422"/>
      <c r="K175" s="1422"/>
      <c r="L175" s="1423"/>
      <c r="M175" s="379"/>
      <c r="N175" s="390"/>
      <c r="O175" s="390"/>
    </row>
    <row r="176" spans="1:15" ht="15.75" x14ac:dyDescent="0.25">
      <c r="A176" s="602"/>
      <c r="B176" s="539" t="s">
        <v>430</v>
      </c>
      <c r="C176" s="668"/>
      <c r="D176" s="691" t="s">
        <v>432</v>
      </c>
      <c r="E176" s="513"/>
      <c r="F176" s="1422"/>
      <c r="G176" s="1422"/>
      <c r="H176" s="1422"/>
      <c r="I176" s="1422"/>
      <c r="J176" s="1422"/>
      <c r="K176" s="1422"/>
      <c r="L176" s="1423"/>
      <c r="M176" s="379"/>
      <c r="N176" s="390"/>
      <c r="O176" s="390"/>
    </row>
    <row r="177" spans="1:15" ht="15.75" customHeight="1" x14ac:dyDescent="0.25">
      <c r="A177" s="602"/>
      <c r="B177" s="511"/>
      <c r="C177" s="670" t="str">
        <f>IF(D177="Yes","Go to", " ")</f>
        <v xml:space="preserve"> </v>
      </c>
      <c r="D177" s="691" t="s">
        <v>432</v>
      </c>
      <c r="E177" s="692" t="str">
        <f>IF(D177="Yes","To    :   ", " ")</f>
        <v xml:space="preserve"> </v>
      </c>
      <c r="F177" s="1422" t="str">
        <f>IF(D177="Yes",Esca!D$42 &amp; ", " &amp; Esca!D$43 &amp; " input ","")</f>
        <v/>
      </c>
      <c r="G177" s="1422"/>
      <c r="H177" s="1422"/>
      <c r="I177" s="1422"/>
      <c r="J177" s="1422"/>
      <c r="K177" s="1422"/>
      <c r="L177" s="1423"/>
      <c r="M177" s="379"/>
      <c r="N177" s="390"/>
      <c r="O177" s="390"/>
    </row>
    <row r="178" spans="1:15" ht="15.75" x14ac:dyDescent="0.25">
      <c r="A178" s="602"/>
      <c r="B178" s="416"/>
      <c r="C178" s="671" t="str">
        <f>IF(D177="Yes","sheet 'Esca' ", " ")</f>
        <v xml:space="preserve"> </v>
      </c>
      <c r="D178" s="495"/>
      <c r="E178" s="696"/>
      <c r="F178" s="1422"/>
      <c r="G178" s="1422"/>
      <c r="H178" s="1422"/>
      <c r="I178" s="1422"/>
      <c r="J178" s="1422"/>
      <c r="K178" s="1422"/>
      <c r="L178" s="1423"/>
      <c r="M178" s="379"/>
      <c r="N178" s="390"/>
      <c r="O178" s="390"/>
    </row>
    <row r="179" spans="1:15" ht="15.75" x14ac:dyDescent="0.25">
      <c r="A179" s="602"/>
      <c r="B179" s="416"/>
      <c r="C179" s="670" t="str">
        <f>IF(D177="Yes","to calculate the soil carbon accumulation", " ")</f>
        <v xml:space="preserve"> </v>
      </c>
      <c r="D179" s="495"/>
      <c r="E179" s="696"/>
      <c r="F179" s="694"/>
      <c r="G179" s="694"/>
      <c r="H179" s="694"/>
      <c r="I179" s="492" t="s">
        <v>674</v>
      </c>
      <c r="J179" s="514"/>
      <c r="K179" s="694"/>
      <c r="L179" s="695"/>
      <c r="M179" s="379"/>
      <c r="N179" s="390"/>
      <c r="O179" s="390"/>
    </row>
    <row r="180" spans="1:15" ht="16.5" x14ac:dyDescent="0.3">
      <c r="A180" s="602"/>
      <c r="B180" s="416"/>
      <c r="C180" s="670"/>
      <c r="D180" s="495"/>
      <c r="E180" s="696"/>
      <c r="F180" s="694"/>
      <c r="G180" s="694"/>
      <c r="H180" s="694"/>
      <c r="I180" s="539" t="s">
        <v>1053</v>
      </c>
      <c r="J180" s="539" t="s">
        <v>1054</v>
      </c>
      <c r="K180" s="539" t="s">
        <v>1055</v>
      </c>
      <c r="L180" s="540" t="s">
        <v>1056</v>
      </c>
      <c r="M180" s="379"/>
      <c r="N180" s="390"/>
      <c r="O180" s="390"/>
    </row>
    <row r="181" spans="1:15" ht="16.5" x14ac:dyDescent="0.3">
      <c r="A181" s="602"/>
      <c r="B181" s="507" t="s">
        <v>807</v>
      </c>
      <c r="C181" s="697">
        <f>IF(D177="yes",Esca!$J$81,0)</f>
        <v>0</v>
      </c>
      <c r="D181" s="497" t="s">
        <v>449</v>
      </c>
      <c r="E181" s="503"/>
      <c r="F181" s="495"/>
      <c r="G181" s="495"/>
      <c r="H181" s="495"/>
      <c r="I181" s="544">
        <f>$C181*1000000/$E$201</f>
        <v>0</v>
      </c>
      <c r="J181" s="544">
        <v>0</v>
      </c>
      <c r="K181" s="544">
        <v>0</v>
      </c>
      <c r="L181" s="419">
        <f>I181*'Standard values'!$D$10+J181*'Standard values'!$D$11+K181*'Standard values'!$D$12</f>
        <v>0</v>
      </c>
      <c r="M181" s="379"/>
      <c r="N181" s="390"/>
      <c r="O181" s="390"/>
    </row>
    <row r="182" spans="1:15" x14ac:dyDescent="0.2">
      <c r="A182" s="503"/>
      <c r="B182" s="539"/>
      <c r="C182" s="539"/>
      <c r="D182" s="605"/>
      <c r="E182" s="503"/>
      <c r="F182" s="495"/>
      <c r="G182" s="495"/>
      <c r="H182" s="495"/>
      <c r="I182" s="495"/>
      <c r="J182" s="495"/>
      <c r="K182" s="544"/>
      <c r="L182" s="516">
        <f>SUM(L181:L181)</f>
        <v>0</v>
      </c>
      <c r="M182" s="379"/>
      <c r="N182" s="390"/>
      <c r="O182" s="390"/>
    </row>
    <row r="183" spans="1:15" x14ac:dyDescent="0.2">
      <c r="A183" s="503"/>
      <c r="B183" s="539"/>
      <c r="C183" s="539"/>
      <c r="D183" s="605"/>
      <c r="E183" s="503"/>
      <c r="F183" s="495"/>
      <c r="G183" s="495"/>
      <c r="H183" s="495"/>
      <c r="I183" s="495"/>
      <c r="J183" s="495"/>
      <c r="K183" s="544"/>
      <c r="L183" s="700"/>
      <c r="M183" s="379"/>
      <c r="N183" s="390"/>
      <c r="O183" s="390"/>
    </row>
    <row r="184" spans="1:15" ht="14.25" x14ac:dyDescent="0.25">
      <c r="A184" s="519"/>
      <c r="B184" s="520"/>
      <c r="C184" s="520"/>
      <c r="D184" s="520"/>
      <c r="E184" s="519"/>
      <c r="F184" s="521"/>
      <c r="G184" s="521"/>
      <c r="H184" s="521" t="s">
        <v>534</v>
      </c>
      <c r="I184" s="520"/>
      <c r="J184" s="523" t="s">
        <v>675</v>
      </c>
      <c r="K184" s="687"/>
      <c r="L184" s="525">
        <f>L182</f>
        <v>0</v>
      </c>
      <c r="M184" s="379"/>
      <c r="N184" s="390"/>
      <c r="O184" s="390"/>
    </row>
    <row r="185" spans="1:15" x14ac:dyDescent="0.2">
      <c r="A185" s="390"/>
      <c r="B185" s="390"/>
      <c r="C185" s="390"/>
      <c r="D185" s="390"/>
      <c r="E185" s="390"/>
      <c r="F185" s="376"/>
      <c r="G185" s="376"/>
      <c r="H185" s="376"/>
      <c r="I185" s="390"/>
      <c r="J185" s="550"/>
      <c r="K185" s="551"/>
      <c r="L185" s="604"/>
      <c r="M185" s="379"/>
      <c r="N185" s="390"/>
      <c r="O185" s="390"/>
    </row>
    <row r="186" spans="1:15" x14ac:dyDescent="0.2">
      <c r="A186" s="390"/>
      <c r="B186" s="390"/>
      <c r="C186" s="390"/>
      <c r="D186" s="390"/>
      <c r="E186" s="390"/>
      <c r="F186" s="376"/>
      <c r="G186" s="376"/>
      <c r="H186" s="376"/>
      <c r="I186" s="390"/>
      <c r="J186" s="550"/>
      <c r="K186" s="551"/>
      <c r="L186" s="604"/>
      <c r="M186" s="379"/>
      <c r="N186" s="390"/>
      <c r="O186" s="390"/>
    </row>
    <row r="187" spans="1:15" ht="18.75" x14ac:dyDescent="0.35">
      <c r="A187" s="530" t="s">
        <v>168</v>
      </c>
      <c r="B187" s="598"/>
      <c r="C187" s="599"/>
      <c r="D187" s="531"/>
      <c r="E187" s="600"/>
      <c r="F187" s="531"/>
      <c r="G187" s="531"/>
      <c r="H187" s="531"/>
      <c r="I187" s="531"/>
      <c r="J187" s="531"/>
      <c r="K187" s="531"/>
      <c r="L187" s="601"/>
      <c r="M187" s="379"/>
      <c r="N187" s="390"/>
      <c r="O187" s="390"/>
    </row>
    <row r="188" spans="1:15" ht="15.75" x14ac:dyDescent="0.25">
      <c r="A188" s="602"/>
      <c r="B188" s="416" t="s">
        <v>166</v>
      </c>
      <c r="C188" s="492"/>
      <c r="D188" s="495"/>
      <c r="E188" s="503"/>
      <c r="F188" s="495"/>
      <c r="G188" s="495"/>
      <c r="H188" s="495"/>
      <c r="I188" s="492" t="s">
        <v>674</v>
      </c>
      <c r="J188" s="514"/>
      <c r="K188" s="514"/>
      <c r="L188" s="537"/>
      <c r="M188" s="379"/>
      <c r="N188" s="390"/>
      <c r="O188" s="390"/>
    </row>
    <row r="189" spans="1:15" ht="15.75" x14ac:dyDescent="0.3">
      <c r="A189" s="503"/>
      <c r="B189" s="539"/>
      <c r="C189" s="542">
        <v>0</v>
      </c>
      <c r="D189" s="605" t="s">
        <v>673</v>
      </c>
      <c r="E189" s="503"/>
      <c r="F189" s="495"/>
      <c r="G189" s="495"/>
      <c r="H189" s="495"/>
      <c r="I189" s="495"/>
      <c r="J189" s="495"/>
      <c r="K189" s="544"/>
      <c r="L189" s="516">
        <f>C189</f>
        <v>0</v>
      </c>
      <c r="M189" s="379"/>
      <c r="N189" s="390"/>
      <c r="O189" s="390"/>
    </row>
    <row r="190" spans="1:15" ht="14.25" x14ac:dyDescent="0.25">
      <c r="A190" s="519"/>
      <c r="B190" s="520"/>
      <c r="C190" s="520"/>
      <c r="D190" s="520"/>
      <c r="E190" s="519"/>
      <c r="F190" s="521"/>
      <c r="G190" s="521"/>
      <c r="H190" s="521" t="s">
        <v>534</v>
      </c>
      <c r="I190" s="520"/>
      <c r="J190" s="523" t="s">
        <v>675</v>
      </c>
      <c r="K190" s="549"/>
      <c r="L190" s="525">
        <f>C189</f>
        <v>0</v>
      </c>
      <c r="M190" s="379"/>
      <c r="N190" s="390"/>
      <c r="O190" s="390"/>
    </row>
    <row r="191" spans="1:15" x14ac:dyDescent="0.2">
      <c r="A191" s="390"/>
      <c r="B191" s="390"/>
      <c r="C191" s="390"/>
      <c r="D191" s="390"/>
      <c r="E191" s="390"/>
      <c r="F191" s="376"/>
      <c r="G191" s="376"/>
      <c r="H191" s="376"/>
      <c r="I191" s="390"/>
      <c r="J191" s="550"/>
      <c r="K191" s="551"/>
      <c r="L191" s="604"/>
      <c r="M191" s="379"/>
      <c r="N191" s="390"/>
      <c r="O191" s="390"/>
    </row>
    <row r="192" spans="1:15" x14ac:dyDescent="0.2">
      <c r="A192" s="390"/>
      <c r="B192" s="390"/>
      <c r="C192" s="390"/>
      <c r="D192" s="390"/>
      <c r="E192" s="390"/>
      <c r="F192" s="376"/>
      <c r="G192" s="376"/>
      <c r="H192" s="376"/>
      <c r="I192" s="390"/>
      <c r="J192" s="550"/>
      <c r="K192" s="551"/>
      <c r="L192" s="604"/>
      <c r="M192" s="379"/>
      <c r="N192" s="390"/>
      <c r="O192" s="390"/>
    </row>
    <row r="193" spans="1:15" ht="18.75" x14ac:dyDescent="0.35">
      <c r="A193" s="530" t="s">
        <v>169</v>
      </c>
      <c r="B193" s="598"/>
      <c r="C193" s="599"/>
      <c r="D193" s="531"/>
      <c r="E193" s="600"/>
      <c r="F193" s="531"/>
      <c r="G193" s="531"/>
      <c r="H193" s="531"/>
      <c r="I193" s="531"/>
      <c r="J193" s="531"/>
      <c r="K193" s="531"/>
      <c r="L193" s="601"/>
      <c r="M193" s="379"/>
      <c r="N193" s="390"/>
      <c r="O193" s="390"/>
    </row>
    <row r="194" spans="1:15" ht="15.75" x14ac:dyDescent="0.25">
      <c r="A194" s="602"/>
      <c r="B194" s="416" t="s">
        <v>167</v>
      </c>
      <c r="C194" s="492"/>
      <c r="D194" s="495"/>
      <c r="E194" s="503"/>
      <c r="F194" s="495"/>
      <c r="G194" s="495"/>
      <c r="H194" s="495"/>
      <c r="I194" s="492" t="s">
        <v>674</v>
      </c>
      <c r="J194" s="514"/>
      <c r="K194" s="514"/>
      <c r="L194" s="537"/>
      <c r="M194" s="379"/>
      <c r="N194" s="390"/>
      <c r="O194" s="390"/>
    </row>
    <row r="195" spans="1:15" ht="15.75" x14ac:dyDescent="0.3">
      <c r="A195" s="503"/>
      <c r="B195" s="539"/>
      <c r="C195" s="542">
        <v>0</v>
      </c>
      <c r="D195" s="605" t="s">
        <v>673</v>
      </c>
      <c r="E195" s="503"/>
      <c r="F195" s="495"/>
      <c r="G195" s="495"/>
      <c r="H195" s="495"/>
      <c r="I195" s="495"/>
      <c r="J195" s="495"/>
      <c r="K195" s="544"/>
      <c r="L195" s="516">
        <f>C195</f>
        <v>0</v>
      </c>
      <c r="M195" s="379"/>
      <c r="N195" s="390"/>
      <c r="O195" s="390"/>
    </row>
    <row r="196" spans="1:15" ht="14.25" x14ac:dyDescent="0.25">
      <c r="A196" s="519"/>
      <c r="B196" s="520"/>
      <c r="C196" s="520"/>
      <c r="D196" s="520"/>
      <c r="E196" s="519"/>
      <c r="F196" s="521"/>
      <c r="G196" s="521"/>
      <c r="H196" s="521" t="s">
        <v>534</v>
      </c>
      <c r="I196" s="520"/>
      <c r="J196" s="523" t="s">
        <v>675</v>
      </c>
      <c r="K196" s="549"/>
      <c r="L196" s="525">
        <f>C195</f>
        <v>0</v>
      </c>
      <c r="M196" s="379"/>
      <c r="N196" s="390"/>
      <c r="O196" s="390"/>
    </row>
    <row r="197" spans="1:15" x14ac:dyDescent="0.2">
      <c r="A197" s="390"/>
      <c r="B197" s="390"/>
      <c r="C197" s="390"/>
      <c r="D197" s="390"/>
      <c r="E197" s="390"/>
      <c r="F197" s="376"/>
      <c r="G197" s="376"/>
      <c r="H197" s="376"/>
      <c r="I197" s="390"/>
      <c r="J197" s="550"/>
      <c r="K197" s="551"/>
      <c r="L197" s="604"/>
      <c r="M197" s="379"/>
      <c r="N197" s="390"/>
      <c r="O197" s="390"/>
    </row>
    <row r="198" spans="1:15" x14ac:dyDescent="0.2">
      <c r="A198" s="390"/>
      <c r="B198" s="390"/>
      <c r="C198" s="390"/>
      <c r="D198" s="390"/>
      <c r="E198" s="390"/>
      <c r="F198" s="376"/>
      <c r="G198" s="376"/>
      <c r="H198" s="376"/>
      <c r="I198" s="390"/>
      <c r="J198" s="550"/>
      <c r="K198" s="551"/>
      <c r="L198" s="604"/>
      <c r="M198" s="379"/>
      <c r="N198" s="390"/>
      <c r="O198" s="390"/>
    </row>
    <row r="199" spans="1:15" ht="15.75" x14ac:dyDescent="0.25">
      <c r="A199" s="530" t="s">
        <v>457</v>
      </c>
      <c r="B199" s="531"/>
      <c r="C199" s="531"/>
      <c r="D199" s="531"/>
      <c r="E199" s="532"/>
      <c r="F199" s="606"/>
      <c r="G199" s="606"/>
      <c r="H199" s="606"/>
      <c r="I199" s="607"/>
      <c r="J199" s="608"/>
      <c r="K199" s="607"/>
      <c r="L199" s="609"/>
      <c r="M199" s="379"/>
      <c r="N199" s="390"/>
      <c r="O199" s="390"/>
    </row>
    <row r="200" spans="1:15" ht="15.75" x14ac:dyDescent="0.25">
      <c r="A200" s="610"/>
      <c r="B200" s="611"/>
      <c r="C200" s="611"/>
      <c r="D200" s="611"/>
      <c r="E200" s="612"/>
      <c r="F200" s="613"/>
      <c r="G200" s="613"/>
      <c r="H200" s="613"/>
      <c r="I200" s="613"/>
      <c r="J200" s="613"/>
      <c r="K200" s="613"/>
      <c r="L200" s="614"/>
      <c r="M200" s="379"/>
      <c r="N200" s="390"/>
      <c r="O200" s="390"/>
    </row>
    <row r="201" spans="1:15" ht="15.75" x14ac:dyDescent="0.3">
      <c r="A201" s="503"/>
      <c r="B201" s="495"/>
      <c r="C201" s="495"/>
      <c r="D201" s="546" t="s">
        <v>300</v>
      </c>
      <c r="E201" s="702">
        <f>E25*C50*C61*C72*C102*C113*C133*C145</f>
        <v>43382.524931307096</v>
      </c>
      <c r="F201" s="499" t="s">
        <v>671</v>
      </c>
      <c r="G201" s="499"/>
      <c r="H201" s="495"/>
      <c r="I201" s="495"/>
      <c r="J201" s="495"/>
      <c r="K201" s="495"/>
      <c r="L201" s="616"/>
      <c r="M201" s="379"/>
      <c r="N201" s="390"/>
      <c r="O201" s="390"/>
    </row>
    <row r="202" spans="1:15" ht="15.75" x14ac:dyDescent="0.3">
      <c r="A202" s="503"/>
      <c r="B202" s="495"/>
      <c r="C202" s="495"/>
      <c r="D202" s="546" t="s">
        <v>299</v>
      </c>
      <c r="E202" s="615">
        <f>E201/E25</f>
        <v>0.58644527083977294</v>
      </c>
      <c r="F202" s="495" t="s">
        <v>677</v>
      </c>
      <c r="G202" s="495"/>
      <c r="H202" s="495"/>
      <c r="I202" s="544"/>
      <c r="J202" s="495"/>
      <c r="K202" s="495"/>
      <c r="L202" s="616"/>
      <c r="M202" s="379"/>
      <c r="N202" s="390"/>
      <c r="O202" s="390"/>
    </row>
    <row r="203" spans="1:15" x14ac:dyDescent="0.2">
      <c r="A203" s="503"/>
      <c r="B203" s="495"/>
      <c r="C203" s="495"/>
      <c r="D203" s="495"/>
      <c r="E203" s="495"/>
      <c r="F203" s="617"/>
      <c r="G203" s="617"/>
      <c r="H203" s="495"/>
      <c r="I203" s="544"/>
      <c r="J203" s="495"/>
      <c r="K203" s="495"/>
      <c r="L203" s="616"/>
      <c r="M203" s="379"/>
      <c r="N203" s="390"/>
      <c r="O203" s="390"/>
    </row>
    <row r="204" spans="1:15" x14ac:dyDescent="0.2">
      <c r="A204" s="503"/>
      <c r="B204" s="495"/>
      <c r="C204" s="495"/>
      <c r="D204" s="495"/>
      <c r="E204" s="495"/>
      <c r="F204" s="617"/>
      <c r="G204" s="617"/>
      <c r="H204" s="495"/>
      <c r="I204" s="495"/>
      <c r="J204" s="495"/>
      <c r="K204" s="495"/>
      <c r="L204" s="616"/>
      <c r="M204" s="379"/>
      <c r="N204" s="390"/>
      <c r="O204" s="390"/>
    </row>
    <row r="205" spans="1:15" ht="14.25" x14ac:dyDescent="0.25">
      <c r="A205" s="703"/>
      <c r="B205" s="404"/>
      <c r="C205" s="404"/>
      <c r="D205" s="404"/>
      <c r="E205" s="704" t="s">
        <v>1059</v>
      </c>
      <c r="F205" s="705"/>
      <c r="G205" s="705"/>
      <c r="H205" s="423"/>
      <c r="I205" s="404"/>
      <c r="J205" s="704" t="s">
        <v>675</v>
      </c>
      <c r="K205" s="423"/>
      <c r="L205" s="706">
        <f>L46+L57+L67+L89+L108+L129+L141+L153+L170-L184-L190-L196</f>
        <v>65.952830105276718</v>
      </c>
      <c r="M205" s="379"/>
      <c r="N205" s="390"/>
      <c r="O205" s="390"/>
    </row>
    <row r="206" spans="1:15" ht="14.25" x14ac:dyDescent="0.25">
      <c r="A206" s="707"/>
      <c r="B206" s="708"/>
      <c r="C206" s="709"/>
      <c r="D206" s="404"/>
      <c r="E206" s="704" t="s">
        <v>1060</v>
      </c>
      <c r="F206" s="404"/>
      <c r="G206" s="404"/>
      <c r="H206" s="404"/>
      <c r="I206" s="404"/>
      <c r="J206" s="704" t="s">
        <v>675</v>
      </c>
      <c r="K206" s="404"/>
      <c r="L206" s="710">
        <f>L98+L108+L129+L141+L153+(L165*J6)+L168-L184-L190-L196</f>
        <v>44.484161549399374</v>
      </c>
      <c r="M206" s="379"/>
      <c r="N206" s="390"/>
      <c r="O206" s="390"/>
    </row>
    <row r="207" spans="1:15" x14ac:dyDescent="0.2">
      <c r="A207" s="703"/>
      <c r="B207" s="404"/>
      <c r="C207" s="404"/>
      <c r="D207" s="404"/>
      <c r="E207" s="404"/>
      <c r="F207" s="711"/>
      <c r="G207" s="711"/>
      <c r="H207" s="404"/>
      <c r="I207" s="404"/>
      <c r="J207" s="404"/>
      <c r="K207" s="404"/>
      <c r="L207" s="712"/>
      <c r="M207" s="379"/>
      <c r="N207" s="390"/>
      <c r="O207" s="390"/>
    </row>
    <row r="208" spans="1:15" x14ac:dyDescent="0.2">
      <c r="A208" s="519"/>
      <c r="B208" s="520"/>
      <c r="C208" s="520"/>
      <c r="D208" s="520"/>
      <c r="E208" s="713" t="s">
        <v>1061</v>
      </c>
      <c r="F208" s="632"/>
      <c r="G208" s="632"/>
      <c r="H208" s="632"/>
      <c r="I208" s="632"/>
      <c r="J208" s="632"/>
      <c r="K208" s="632"/>
      <c r="L208" s="633">
        <f>(83.8-L206)/83.8</f>
        <v>0.46916275000716734</v>
      </c>
      <c r="M208" s="379"/>
      <c r="N208" s="390"/>
      <c r="O208" s="390"/>
    </row>
    <row r="209" spans="5:14" x14ac:dyDescent="0.2">
      <c r="M209" s="361"/>
    </row>
    <row r="210" spans="5:14" x14ac:dyDescent="0.2">
      <c r="E210" s="634"/>
      <c r="F210" s="634"/>
      <c r="G210" s="634"/>
      <c r="H210" s="635"/>
      <c r="I210" s="634"/>
      <c r="J210" s="634"/>
      <c r="K210" s="634"/>
      <c r="L210" s="636"/>
      <c r="M210" s="361"/>
    </row>
    <row r="211" spans="5:14" x14ac:dyDescent="0.2">
      <c r="F211" s="634"/>
      <c r="G211" s="634"/>
      <c r="H211" s="634"/>
      <c r="I211" s="637"/>
      <c r="J211" s="634"/>
      <c r="K211" s="634"/>
      <c r="L211" s="638"/>
      <c r="M211" s="639"/>
      <c r="N211" s="361"/>
    </row>
    <row r="212" spans="5:14" x14ac:dyDescent="0.2">
      <c r="F212" s="634"/>
      <c r="G212" s="634"/>
      <c r="H212" s="634"/>
      <c r="I212" s="637"/>
      <c r="J212" s="634"/>
      <c r="K212" s="634"/>
      <c r="L212" s="638"/>
      <c r="M212" s="639"/>
      <c r="N212" s="361"/>
    </row>
    <row r="213" spans="5:14" ht="15.75" x14ac:dyDescent="0.25">
      <c r="F213" s="640"/>
      <c r="G213" s="640"/>
      <c r="H213" s="634"/>
      <c r="I213" s="634"/>
      <c r="J213" s="634"/>
      <c r="K213" s="634"/>
      <c r="L213" s="634"/>
      <c r="M213" s="634"/>
      <c r="N213" s="361"/>
    </row>
    <row r="214" spans="5:14" x14ac:dyDescent="0.2">
      <c r="F214" s="634"/>
      <c r="G214" s="634"/>
      <c r="H214" s="637"/>
      <c r="I214" s="634"/>
      <c r="J214" s="634"/>
      <c r="K214" s="634"/>
      <c r="L214" s="634"/>
      <c r="M214" s="634"/>
      <c r="N214" s="634"/>
    </row>
    <row r="215" spans="5:14" x14ac:dyDescent="0.2">
      <c r="F215" s="637"/>
      <c r="G215" s="637"/>
      <c r="H215" s="634"/>
      <c r="I215" s="641"/>
      <c r="J215" s="634"/>
      <c r="K215" s="634"/>
      <c r="L215" s="634"/>
      <c r="M215" s="634"/>
      <c r="N215" s="634"/>
    </row>
    <row r="216" spans="5:14" x14ac:dyDescent="0.2">
      <c r="F216" s="637"/>
      <c r="G216" s="637"/>
      <c r="H216" s="634"/>
      <c r="I216" s="641"/>
      <c r="J216" s="634"/>
      <c r="K216" s="634"/>
      <c r="L216" s="634"/>
      <c r="M216" s="634"/>
      <c r="N216" s="634"/>
    </row>
    <row r="217" spans="5:14" x14ac:dyDescent="0.2">
      <c r="F217" s="634"/>
      <c r="G217" s="634"/>
      <c r="H217" s="639"/>
      <c r="I217" s="634"/>
      <c r="J217" s="634"/>
      <c r="K217" s="634"/>
      <c r="L217" s="634"/>
      <c r="M217" s="634"/>
      <c r="N217" s="634"/>
    </row>
    <row r="218" spans="5:14" x14ac:dyDescent="0.2">
      <c r="F218" s="634"/>
      <c r="G218" s="634"/>
      <c r="H218" s="634"/>
      <c r="I218" s="634"/>
      <c r="J218" s="634"/>
      <c r="K218" s="634"/>
      <c r="L218" s="634"/>
      <c r="M218" s="634"/>
      <c r="N218" s="634"/>
    </row>
    <row r="219" spans="5:14" x14ac:dyDescent="0.2">
      <c r="F219" s="634"/>
      <c r="G219" s="634"/>
      <c r="H219" s="634"/>
      <c r="I219" s="634"/>
      <c r="J219" s="634"/>
      <c r="K219" s="634"/>
      <c r="L219" s="634"/>
      <c r="M219" s="634"/>
      <c r="N219" s="634"/>
    </row>
    <row r="220" spans="5:14" x14ac:dyDescent="0.2">
      <c r="F220" s="634"/>
      <c r="G220" s="634"/>
      <c r="H220" s="634"/>
      <c r="I220" s="634"/>
      <c r="J220" s="634"/>
      <c r="K220" s="634"/>
      <c r="L220" s="634"/>
      <c r="M220" s="634"/>
      <c r="N220" s="634"/>
    </row>
    <row r="221" spans="5:14" x14ac:dyDescent="0.2">
      <c r="F221" s="634"/>
      <c r="G221" s="634"/>
      <c r="H221" s="634"/>
      <c r="I221" s="634"/>
      <c r="J221" s="634"/>
      <c r="K221" s="634"/>
      <c r="L221" s="634"/>
      <c r="M221" s="634"/>
      <c r="N221" s="634"/>
    </row>
    <row r="222" spans="5:14" x14ac:dyDescent="0.2">
      <c r="F222" s="634"/>
      <c r="G222" s="634"/>
      <c r="H222" s="634"/>
      <c r="I222" s="634"/>
      <c r="J222" s="634"/>
      <c r="K222" s="634"/>
      <c r="L222" s="634"/>
      <c r="M222" s="634"/>
      <c r="N222" s="634"/>
    </row>
    <row r="223" spans="5:14" x14ac:dyDescent="0.2">
      <c r="F223" s="634"/>
      <c r="G223" s="634"/>
      <c r="H223" s="634"/>
      <c r="I223" s="634"/>
      <c r="J223" s="634"/>
      <c r="K223" s="634"/>
      <c r="L223" s="634"/>
      <c r="M223" s="634"/>
      <c r="N223" s="634"/>
    </row>
    <row r="224" spans="5:14" x14ac:dyDescent="0.2">
      <c r="F224" s="634"/>
      <c r="G224" s="634"/>
      <c r="H224" s="634"/>
      <c r="I224" s="634"/>
      <c r="J224" s="634"/>
      <c r="K224" s="634"/>
      <c r="L224" s="634"/>
      <c r="M224" s="634"/>
      <c r="N224" s="634"/>
    </row>
    <row r="225" spans="6:14" x14ac:dyDescent="0.2">
      <c r="F225" s="634"/>
      <c r="G225" s="634"/>
      <c r="H225" s="634"/>
      <c r="I225" s="634"/>
      <c r="J225" s="634"/>
      <c r="K225" s="634"/>
      <c r="L225" s="634"/>
      <c r="M225" s="634"/>
      <c r="N225" s="634"/>
    </row>
    <row r="226" spans="6:14" x14ac:dyDescent="0.2">
      <c r="F226" s="634"/>
      <c r="G226" s="634"/>
      <c r="H226" s="634"/>
      <c r="I226" s="634"/>
      <c r="J226" s="634"/>
      <c r="K226" s="634"/>
      <c r="L226" s="634"/>
      <c r="M226" s="634"/>
      <c r="N226" s="634"/>
    </row>
    <row r="227" spans="6:14" x14ac:dyDescent="0.2">
      <c r="F227" s="634"/>
      <c r="G227" s="634"/>
      <c r="H227" s="634"/>
      <c r="I227" s="634"/>
      <c r="J227" s="634"/>
      <c r="K227" s="634"/>
      <c r="L227" s="634"/>
      <c r="M227" s="634"/>
      <c r="N227" s="634"/>
    </row>
    <row r="228" spans="6:14" x14ac:dyDescent="0.2">
      <c r="F228" s="634"/>
      <c r="G228" s="634"/>
      <c r="H228" s="634"/>
      <c r="I228" s="634"/>
      <c r="J228" s="634"/>
      <c r="K228" s="634"/>
      <c r="L228" s="634"/>
      <c r="M228" s="634"/>
      <c r="N228" s="634"/>
    </row>
    <row r="229" spans="6:14" x14ac:dyDescent="0.2">
      <c r="F229" s="634"/>
      <c r="G229" s="634"/>
      <c r="H229" s="634"/>
      <c r="I229" s="634"/>
      <c r="J229" s="634"/>
      <c r="K229" s="634"/>
      <c r="L229" s="634"/>
      <c r="M229" s="634"/>
      <c r="N229" s="634"/>
    </row>
  </sheetData>
  <sheetProtection insertColumns="0" insertRows="0" deleteColumns="0" deleteRows="0"/>
  <customSheetViews>
    <customSheetView guid="{AD88818B-9F97-4B1E-9426-0DECE603685E}" scale="80" showGridLines="0" fitToPage="1" showRuler="0">
      <pane ySplit="20" topLeftCell="A21" activePane="bottomLeft" state="frozen"/>
      <selection pane="bottomLeft" activeCell="E3" sqref="E3"/>
      <pageMargins left="0.75" right="0.75" top="1" bottom="1" header="0.5" footer="0.5"/>
      <pageSetup paperSize="8" fitToHeight="0" orientation="landscape"/>
      <headerFooter alignWithMargins="0">
        <oddFooter>&amp;L&amp;8&amp;F&amp;C&amp;8&amp;A&amp;R&amp;8page&amp;P</oddFooter>
      </headerFooter>
    </customSheetView>
    <customSheetView guid="{7EB5D807-CE20-46E2-AEE6-2C193E010EA4}" scale="80" showGridLines="0" fitToPage="1" showRuler="0">
      <pane ySplit="20" topLeftCell="A21" activePane="bottomLeft" state="frozen"/>
      <selection pane="bottomLeft" activeCell="E3" sqref="E3"/>
      <pageMargins left="0.75" right="0.75" top="1" bottom="1" header="0.5" footer="0.5"/>
      <pageSetup paperSize="8" fitToHeight="0" orientation="landscape"/>
      <headerFooter alignWithMargins="0">
        <oddFooter>&amp;L&amp;8&amp;F&amp;C&amp;8&amp;A&amp;R&amp;8page&amp;P</oddFooter>
      </headerFooter>
    </customSheetView>
  </customSheetViews>
  <mergeCells count="4">
    <mergeCell ref="F158:L159"/>
    <mergeCell ref="F160:L161"/>
    <mergeCell ref="F175:L176"/>
    <mergeCell ref="F177:L178"/>
  </mergeCells>
  <phoneticPr fontId="0" type="noConversion"/>
  <conditionalFormatting sqref="O9:O21">
    <cfRule type="cellIs" dxfId="43" priority="3" stopIfTrue="1" operator="notBetween">
      <formula>-0.05</formula>
      <formula>0.05</formula>
    </cfRule>
  </conditionalFormatting>
  <conditionalFormatting sqref="E17">
    <cfRule type="expression" dxfId="42" priority="5" stopIfTrue="1">
      <formula>($E17="Combined result of previous calculation")</formula>
    </cfRule>
  </conditionalFormatting>
  <conditionalFormatting sqref="A17:D17 F17:G17">
    <cfRule type="expression" dxfId="41" priority="6" stopIfTrue="1">
      <formula>($E17="Combined result of previous calculation")</formula>
    </cfRule>
  </conditionalFormatting>
  <conditionalFormatting sqref="A10:G10 A7:G8 A13:G13">
    <cfRule type="expression" dxfId="40" priority="7" stopIfTrue="1">
      <formula>($E7&lt;&gt;"")</formula>
    </cfRule>
  </conditionalFormatting>
  <conditionalFormatting sqref="A18:D18 F18:G18">
    <cfRule type="expression" dxfId="39" priority="8" stopIfTrue="1">
      <formula>($E18="Esca included in combined result of previous calculation")</formula>
    </cfRule>
  </conditionalFormatting>
  <conditionalFormatting sqref="E18">
    <cfRule type="expression" dxfId="38" priority="9" stopIfTrue="1">
      <formula>($E18="Esca included in combined result of previous calculation")</formula>
    </cfRule>
  </conditionalFormatting>
  <conditionalFormatting sqref="A14:B14 D14:G14">
    <cfRule type="expression" dxfId="37" priority="1" stopIfTrue="1">
      <formula>($E14&lt;&gt;"")</formula>
    </cfRule>
  </conditionalFormatting>
  <dataValidations count="8">
    <dataValidation type="list" allowBlank="1" showInputMessage="1" showErrorMessage="1" sqref="F6 F9 F12" xr:uid="{00000000-0002-0000-1700-000000000000}">
      <formula1>"A,D"</formula1>
    </dataValidation>
    <dataValidation type="list" showDropDown="1" showInputMessage="1" showErrorMessage="1" errorTitle="Wrong input" error="Only values &quot;0&quot; and &quot;29&quot; are allowed_x000a_" sqref="C167" xr:uid="{00000000-0002-0000-1700-000001000000}">
      <formula1>"0,29"</formula1>
    </dataValidation>
    <dataValidation allowBlank="1" showInputMessage="1" showErrorMessage="1" promptTitle="Input value for manure" prompt="Use of manure will not lead to direct GHG emissions as the emission coeffient is 0 g CO2,eq/MJ._x000a_Use of manure will indirectly lead to GHG emissions. When using actual inputs, field N2O emissions must be calculated which increase due to use of manure." sqref="C34" xr:uid="{00000000-0002-0000-1700-000002000000}"/>
    <dataValidation type="list" allowBlank="1" showInputMessage="1" showErrorMessage="1" sqref="E17" xr:uid="{00000000-0002-0000-1700-000003000000}">
      <formula1>"- , Combined result of previous calculation"</formula1>
    </dataValidation>
    <dataValidation type="list" allowBlank="1" showInputMessage="1" showErrorMessage="1" sqref="E7:E8 E10 E13:E14" xr:uid="{00000000-0002-0000-1700-000004000000}">
      <formula1>"- ,Individual result of previous calculation, Combined result of previous calculation"</formula1>
    </dataValidation>
    <dataValidation type="list" allowBlank="1" showInputMessage="1" showErrorMessage="1" sqref="E18" xr:uid="{00000000-0002-0000-1700-000005000000}">
      <formula1>"- , Esca included in combined result of previous calculation"</formula1>
    </dataValidation>
    <dataValidation allowBlank="1" showInputMessage="1" showErrorMessage="1" promptTitle="Please note !" prompt="When changing the value in this cell, you must indicate in column E under &quot;overview results&quot; that you have used the result of a previous calculation. Please refer to paragraph 4.2 of the user manual for further instructions and examples." sqref="N44 N55 N64 N87" xr:uid="{00000000-0002-0000-1700-000006000000}"/>
    <dataValidation allowBlank="1" showInputMessage="1" showErrorMessage="1" promptTitle="Electricity mix" sqref="B140 B152 B123 B116 B83 B76 B54" xr:uid="{00000000-0002-0000-1700-000007000000}"/>
  </dataValidations>
  <hyperlinks>
    <hyperlink ref="O52" location="Menu!A6" display="Back to menu" xr:uid="{00000000-0004-0000-1700-000000000000}"/>
    <hyperlink ref="O63" location="Menu!A6" display="Back to menu" xr:uid="{00000000-0004-0000-1700-000001000000}"/>
    <hyperlink ref="O134" location="Menu!A6" display="Back to menu" xr:uid="{00000000-0004-0000-1700-000002000000}"/>
    <hyperlink ref="O51" location="Menu!A6" display="Back to menu" xr:uid="{00000000-0004-0000-1700-000003000000}"/>
    <hyperlink ref="O62" location="Menu!A6" display="Back to menu" xr:uid="{00000000-0004-0000-1700-000004000000}"/>
    <hyperlink ref="O133" location="Menu!A6" display="Back to menu" xr:uid="{00000000-0004-0000-1700-000005000000}"/>
    <hyperlink ref="C178" location="Esca!A1" display="Esca!A1" xr:uid="{00000000-0004-0000-1700-000006000000}"/>
    <hyperlink ref="C161" location="LUC!A1" display="LUC!A1" xr:uid="{00000000-0004-0000-1700-000007000000}"/>
    <hyperlink ref="C45" location="'N2O emissions IPCC '!A1" display="N2O emissions IPCC" xr:uid="{00000000-0004-0000-1700-000008000000}"/>
    <hyperlink ref="O104" location="Menu!A6" display="Back to menu" xr:uid="{00000000-0004-0000-1700-000009000000}"/>
    <hyperlink ref="O103" location="Menu!A6" display="Back to menu" xr:uid="{00000000-0004-0000-1700-00000A000000}"/>
  </hyperlinks>
  <pageMargins left="0.75" right="0.75" top="1" bottom="1" header="0.5" footer="0.5"/>
  <pageSetup paperSize="8" fitToHeight="0" orientation="landscape"/>
  <headerFooter alignWithMargins="0">
    <oddFooter>&amp;L&amp;8&amp;F&amp;C&amp;8&amp;A&amp;R&amp;8page&amp;P</oddFooter>
  </headerFooter>
  <drawing r:id="rId1"/>
  <legacyDrawing r:id="rId2"/>
  <controls>
    <mc:AlternateContent xmlns:mc="http://schemas.openxmlformats.org/markup-compatibility/2006">
      <mc:Choice Requires="x14">
        <control shapeId="13316" r:id="rId3" name="CheckBox2">
          <controlPr autoLine="0" linkedCell="About!N86" r:id="rId4">
            <anchor moveWithCells="1">
              <from>
                <xdr:col>9</xdr:col>
                <xdr:colOff>57150</xdr:colOff>
                <xdr:row>15</xdr:row>
                <xdr:rowOff>57150</xdr:rowOff>
              </from>
              <to>
                <xdr:col>13</xdr:col>
                <xdr:colOff>904875</xdr:colOff>
                <xdr:row>17</xdr:row>
                <xdr:rowOff>152400</xdr:rowOff>
              </to>
            </anchor>
          </controlPr>
        </control>
      </mc:Choice>
      <mc:Fallback>
        <control shapeId="13316" r:id="rId3" name="CheckBox2"/>
      </mc:Fallback>
    </mc:AlternateContent>
    <mc:AlternateContent xmlns:mc="http://schemas.openxmlformats.org/markup-compatibility/2006">
      <mc:Choice Requires="x14">
        <control shapeId="13317" r:id="rId5" name="CheckBox1">
          <controlPr autoLine="0" linkedCell="About!N88" r:id="rId6">
            <anchor moveWithCells="1">
              <from>
                <xdr:col>9</xdr:col>
                <xdr:colOff>57150</xdr:colOff>
                <xdr:row>13</xdr:row>
                <xdr:rowOff>0</xdr:rowOff>
              </from>
              <to>
                <xdr:col>13</xdr:col>
                <xdr:colOff>895350</xdr:colOff>
                <xdr:row>16</xdr:row>
                <xdr:rowOff>9525</xdr:rowOff>
              </to>
            </anchor>
          </controlPr>
        </control>
      </mc:Choice>
      <mc:Fallback>
        <control shapeId="13317" r:id="rId5" name="CheckBox1"/>
      </mc:Fallback>
    </mc:AlternateContent>
    <mc:AlternateContent xmlns:mc="http://schemas.openxmlformats.org/markup-compatibility/2006">
      <mc:Choice Requires="x14">
        <control shapeId="13339" r:id="rId7" name="ComboBox1">
          <controlPr locked="0" defaultSize="0" autoLine="0" linkedCell="D160" listFillRange="D158:D159" r:id="rId8">
            <anchor moveWithCells="1">
              <from>
                <xdr:col>2</xdr:col>
                <xdr:colOff>0</xdr:colOff>
                <xdr:row>158</xdr:row>
                <xdr:rowOff>0</xdr:rowOff>
              </from>
              <to>
                <xdr:col>3</xdr:col>
                <xdr:colOff>38100</xdr:colOff>
                <xdr:row>159</xdr:row>
                <xdr:rowOff>28575</xdr:rowOff>
              </to>
            </anchor>
          </controlPr>
        </control>
      </mc:Choice>
      <mc:Fallback>
        <control shapeId="13339" r:id="rId7" name="ComboBox1"/>
      </mc:Fallback>
    </mc:AlternateContent>
    <mc:AlternateContent xmlns:mc="http://schemas.openxmlformats.org/markup-compatibility/2006">
      <mc:Choice Requires="x14">
        <control shapeId="13566" r:id="rId9" name="ComboBox2">
          <controlPr locked="0" defaultSize="0" autoLine="0" linkedCell="D177" listFillRange="D175:D176" r:id="rId10">
            <anchor moveWithCells="1">
              <from>
                <xdr:col>1</xdr:col>
                <xdr:colOff>1704975</xdr:colOff>
                <xdr:row>175</xdr:row>
                <xdr:rowOff>28575</xdr:rowOff>
              </from>
              <to>
                <xdr:col>2</xdr:col>
                <xdr:colOff>638175</xdr:colOff>
                <xdr:row>176</xdr:row>
                <xdr:rowOff>38100</xdr:rowOff>
              </to>
            </anchor>
          </controlPr>
        </control>
      </mc:Choice>
      <mc:Fallback>
        <control shapeId="13566" r:id="rId9" name="ComboBox2"/>
      </mc:Fallback>
    </mc:AlternateContent>
    <mc:AlternateContent xmlns:mc="http://schemas.openxmlformats.org/markup-compatibility/2006">
      <mc:Choice Requires="x14">
        <control shapeId="13894" r:id="rId11" name="cmdTrackChanges">
          <controlPr defaultSize="0" autoLine="0" r:id="rId12">
            <anchor moveWithCells="1">
              <from>
                <xdr:col>1</xdr:col>
                <xdr:colOff>1228725</xdr:colOff>
                <xdr:row>20</xdr:row>
                <xdr:rowOff>85725</xdr:rowOff>
              </from>
              <to>
                <xdr:col>3</xdr:col>
                <xdr:colOff>400050</xdr:colOff>
                <xdr:row>21</xdr:row>
                <xdr:rowOff>209550</xdr:rowOff>
              </to>
            </anchor>
          </controlPr>
        </control>
      </mc:Choice>
      <mc:Fallback>
        <control shapeId="13894" r:id="rId11" name="cmdTrackChanges"/>
      </mc:Fallback>
    </mc:AlternateContent>
    <mc:AlternateContent xmlns:mc="http://schemas.openxmlformats.org/markup-compatibility/2006">
      <mc:Choice Requires="x14">
        <control shapeId="13963" r:id="rId13" name="Label 651">
          <controlPr defaultSize="0" autoFill="0" autoLine="0" autoPict="0" macro="[0]!GoToAbout">
            <anchor moveWithCells="1" sizeWithCells="1">
              <from>
                <xdr:col>10</xdr:col>
                <xdr:colOff>438150</xdr:colOff>
                <xdr:row>0</xdr:row>
                <xdr:rowOff>800100</xdr:rowOff>
              </from>
              <to>
                <xdr:col>12</xdr:col>
                <xdr:colOff>85725</xdr:colOff>
                <xdr:row>1</xdr:row>
                <xdr:rowOff>0</xdr:rowOff>
              </to>
            </anchor>
          </controlPr>
        </control>
      </mc:Choice>
    </mc:AlternateContent>
    <mc:AlternateContent xmlns:mc="http://schemas.openxmlformats.org/markup-compatibility/2006">
      <mc:Choice Requires="x14">
        <control shapeId="13964" r:id="rId14" name="Label 652">
          <controlPr defaultSize="0" autoFill="0" autoLine="0" autoPict="0" macro="[0]!GoToDirectory">
            <anchor moveWithCells="1" sizeWithCells="1">
              <from>
                <xdr:col>12</xdr:col>
                <xdr:colOff>152400</xdr:colOff>
                <xdr:row>0</xdr:row>
                <xdr:rowOff>800100</xdr:rowOff>
              </from>
              <to>
                <xdr:col>13</xdr:col>
                <xdr:colOff>981075</xdr:colOff>
                <xdr:row>1</xdr:row>
                <xdr:rowOff>0</xdr:rowOff>
              </to>
            </anchor>
          </controlPr>
        </control>
      </mc:Choice>
    </mc:AlternateContent>
  </control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H2">
    <pageSetUpPr fitToPage="1"/>
  </sheetPr>
  <dimension ref="A1:P229"/>
  <sheetViews>
    <sheetView showGridLines="0" zoomScale="80" workbookViewId="0">
      <selection activeCell="A2" sqref="A2"/>
    </sheetView>
  </sheetViews>
  <sheetFormatPr baseColWidth="10" defaultColWidth="8.85546875" defaultRowHeight="12.75" x14ac:dyDescent="0.2"/>
  <cols>
    <col min="1" max="1" width="22.5703125" style="360" customWidth="1"/>
    <col min="2" max="2" width="25.85546875" style="360" customWidth="1"/>
    <col min="3" max="3" width="9.7109375" style="360" customWidth="1"/>
    <col min="4" max="4" width="20.140625" style="360" customWidth="1"/>
    <col min="5" max="5" width="14.85546875" style="360" customWidth="1"/>
    <col min="6" max="6" width="8.5703125" style="360" customWidth="1"/>
    <col min="7" max="7" width="2.85546875" style="360" customWidth="1"/>
    <col min="8" max="8" width="19.5703125" style="360" customWidth="1"/>
    <col min="9" max="12" width="9.140625" style="360" customWidth="1"/>
    <col min="13" max="13" width="2.5703125" style="360" customWidth="1"/>
    <col min="14" max="14" width="16.7109375" style="360" customWidth="1"/>
    <col min="15" max="15" width="13.7109375" style="360" customWidth="1"/>
    <col min="16" max="16384" width="8.85546875" style="361"/>
  </cols>
  <sheetData>
    <row r="1" spans="1:15" ht="102" customHeight="1" x14ac:dyDescent="0.2"/>
    <row r="2" spans="1:15" ht="27.75" customHeight="1" x14ac:dyDescent="0.25">
      <c r="A2" s="362" t="s">
        <v>374</v>
      </c>
      <c r="B2" s="363"/>
      <c r="C2" s="364"/>
      <c r="D2" s="364"/>
      <c r="E2" s="364"/>
      <c r="F2" s="365"/>
      <c r="G2" s="365"/>
      <c r="H2" s="366"/>
      <c r="I2" s="367"/>
      <c r="J2" s="368"/>
      <c r="K2" s="369"/>
      <c r="L2" s="370"/>
      <c r="M2" s="367"/>
      <c r="N2" s="367"/>
      <c r="O2" s="371" t="str">
        <f>About!D2</f>
        <v>Version 4d for Testing</v>
      </c>
    </row>
    <row r="3" spans="1:15" ht="27.75" customHeight="1" x14ac:dyDescent="0.25">
      <c r="A3" s="372" t="s">
        <v>1050</v>
      </c>
      <c r="B3" s="373"/>
      <c r="C3" s="374"/>
      <c r="D3" s="374"/>
      <c r="E3" s="373"/>
      <c r="F3" s="373"/>
      <c r="G3" s="373"/>
      <c r="H3" s="375"/>
      <c r="I3" s="376"/>
      <c r="J3" s="377"/>
      <c r="K3" s="378"/>
      <c r="L3" s="377"/>
      <c r="M3" s="377"/>
      <c r="N3" s="379"/>
      <c r="O3" s="378"/>
    </row>
    <row r="4" spans="1:15" ht="16.5" customHeight="1" x14ac:dyDescent="0.25">
      <c r="A4" s="380" t="s">
        <v>861</v>
      </c>
      <c r="B4" s="381" t="s">
        <v>854</v>
      </c>
      <c r="C4" s="381" t="s">
        <v>1057</v>
      </c>
      <c r="D4" s="381" t="s">
        <v>852</v>
      </c>
      <c r="E4" s="382" t="s">
        <v>1047</v>
      </c>
      <c r="F4" s="383" t="s">
        <v>1125</v>
      </c>
      <c r="G4" s="384"/>
      <c r="H4" s="385" t="s">
        <v>869</v>
      </c>
      <c r="I4" s="386"/>
      <c r="J4" s="387" t="s">
        <v>1063</v>
      </c>
      <c r="K4" s="388"/>
      <c r="L4" s="389"/>
      <c r="M4" s="390"/>
      <c r="N4" s="387" t="s">
        <v>391</v>
      </c>
      <c r="O4" s="391"/>
    </row>
    <row r="5" spans="1:15" ht="16.5" customHeight="1" x14ac:dyDescent="0.25">
      <c r="A5" s="392" t="s">
        <v>864</v>
      </c>
      <c r="B5" s="393" t="s">
        <v>853</v>
      </c>
      <c r="C5" s="393" t="s">
        <v>1062</v>
      </c>
      <c r="D5" s="393" t="s">
        <v>853</v>
      </c>
      <c r="E5" s="394"/>
      <c r="F5" s="395" t="s">
        <v>1126</v>
      </c>
      <c r="G5" s="396"/>
      <c r="H5" s="397" t="s">
        <v>866</v>
      </c>
      <c r="I5" s="390"/>
      <c r="J5" s="398" t="str">
        <f>A70</f>
        <v>Extraction of oil</v>
      </c>
      <c r="K5" s="399"/>
      <c r="L5" s="400"/>
      <c r="M5" s="390"/>
      <c r="N5" s="398" t="s">
        <v>395</v>
      </c>
      <c r="O5" s="400"/>
    </row>
    <row r="6" spans="1:15" ht="16.5" customHeight="1" x14ac:dyDescent="0.35">
      <c r="A6" s="401" t="s">
        <v>170</v>
      </c>
      <c r="B6" s="402"/>
      <c r="C6" s="403"/>
      <c r="D6" s="404"/>
      <c r="E6" s="405">
        <f>IF(F6="A",D7+D8,H6)</f>
        <v>18.218006134409464</v>
      </c>
      <c r="F6" s="406" t="s">
        <v>1127</v>
      </c>
      <c r="G6" s="407"/>
      <c r="H6" s="408">
        <v>18</v>
      </c>
      <c r="I6" s="390"/>
      <c r="J6" s="409">
        <f>F95/F97</f>
        <v>0.6578726264493362</v>
      </c>
      <c r="K6" s="410" t="s">
        <v>721</v>
      </c>
      <c r="L6" s="411"/>
      <c r="M6" s="390"/>
      <c r="N6" s="412">
        <v>83.8</v>
      </c>
      <c r="O6" s="413" t="s">
        <v>394</v>
      </c>
    </row>
    <row r="7" spans="1:15" ht="12" customHeight="1" x14ac:dyDescent="0.2">
      <c r="A7" s="398" t="str">
        <f>A23</f>
        <v>Cultivation of sunflower</v>
      </c>
      <c r="B7" s="414">
        <f>L46</f>
        <v>27.032679572364557</v>
      </c>
      <c r="C7" s="415">
        <f>J6</f>
        <v>0.6578726264493362</v>
      </c>
      <c r="D7" s="416">
        <f>C7*B7</f>
        <v>17.784059910234788</v>
      </c>
      <c r="E7" s="1215"/>
      <c r="F7" s="418"/>
      <c r="G7" s="418"/>
      <c r="H7" s="419">
        <v>17.760000000000002</v>
      </c>
      <c r="I7" s="390"/>
      <c r="J7" s="420">
        <f>1-J6</f>
        <v>0.3421273735506638</v>
      </c>
      <c r="K7" s="421" t="s">
        <v>921</v>
      </c>
      <c r="L7" s="422"/>
      <c r="M7" s="390"/>
      <c r="N7" s="398" t="s">
        <v>393</v>
      </c>
      <c r="O7" s="400"/>
    </row>
    <row r="8" spans="1:15" ht="12" customHeight="1" x14ac:dyDescent="0.2">
      <c r="A8" s="398" t="str">
        <f>A49</f>
        <v>Sunflowerseed drying</v>
      </c>
      <c r="B8" s="414">
        <f>L57</f>
        <v>0.65962042913499119</v>
      </c>
      <c r="C8" s="415">
        <f>J6</f>
        <v>0.6578726264493362</v>
      </c>
      <c r="D8" s="416">
        <f>C8*B8</f>
        <v>0.43394622417467488</v>
      </c>
      <c r="E8" s="1215"/>
      <c r="F8" s="418"/>
      <c r="G8" s="418"/>
      <c r="H8" s="419">
        <v>0.43</v>
      </c>
      <c r="I8" s="390"/>
      <c r="J8" s="379"/>
      <c r="K8" s="379"/>
      <c r="L8" s="379"/>
      <c r="M8" s="390"/>
      <c r="N8" s="426">
        <f>(N6-E20)/N6</f>
        <v>0.60750496062186121</v>
      </c>
      <c r="O8" s="427"/>
    </row>
    <row r="9" spans="1:15" ht="16.5" customHeight="1" x14ac:dyDescent="0.35">
      <c r="A9" s="401" t="s">
        <v>544</v>
      </c>
      <c r="B9" s="423"/>
      <c r="C9" s="423"/>
      <c r="D9" s="424"/>
      <c r="E9" s="425">
        <f>IF(F9="A",D10+D11,H9)</f>
        <v>13.340820024105746</v>
      </c>
      <c r="F9" s="406" t="s">
        <v>1127</v>
      </c>
      <c r="G9" s="407"/>
      <c r="H9" s="408">
        <v>13</v>
      </c>
      <c r="I9" s="390"/>
      <c r="J9" s="643"/>
      <c r="K9" s="644"/>
      <c r="L9" s="643"/>
      <c r="M9" s="390"/>
      <c r="N9" s="390"/>
      <c r="O9" s="430"/>
    </row>
    <row r="10" spans="1:15" ht="12" customHeight="1" x14ac:dyDescent="0.2">
      <c r="A10" s="398" t="str">
        <f>A70</f>
        <v>Extraction of oil</v>
      </c>
      <c r="B10" s="414">
        <f>L89</f>
        <v>5.99627486888141</v>
      </c>
      <c r="C10" s="415">
        <f>J6</f>
        <v>0.6578726264493362</v>
      </c>
      <c r="D10" s="416">
        <f>C10*B10</f>
        <v>3.9447850969031624</v>
      </c>
      <c r="E10" s="1215"/>
      <c r="F10" s="418"/>
      <c r="G10" s="418"/>
      <c r="H10" s="419">
        <f>1.4*2.82</f>
        <v>3.9479999999999995</v>
      </c>
      <c r="I10" s="390"/>
      <c r="J10" s="645"/>
      <c r="K10" s="646"/>
      <c r="L10" s="643"/>
      <c r="M10" s="390"/>
      <c r="N10" s="390"/>
      <c r="O10" s="441"/>
    </row>
    <row r="11" spans="1:15" x14ac:dyDescent="0.2">
      <c r="A11" s="398" t="str">
        <f>A111</f>
        <v>Hydrogenation of veg. oil</v>
      </c>
      <c r="B11" s="414">
        <f>L129</f>
        <v>9.3960349272025834</v>
      </c>
      <c r="C11" s="415">
        <v>1</v>
      </c>
      <c r="D11" s="416">
        <f>C11*B11</f>
        <v>9.3960349272025834</v>
      </c>
      <c r="E11" s="417"/>
      <c r="F11" s="418"/>
      <c r="G11" s="418"/>
      <c r="H11" s="647">
        <f>1.4*6.69</f>
        <v>9.3659999999999997</v>
      </c>
      <c r="I11" s="390"/>
      <c r="J11" s="390"/>
      <c r="K11" s="390"/>
      <c r="L11" s="390"/>
      <c r="M11" s="390"/>
      <c r="N11" s="390"/>
      <c r="O11" s="435"/>
    </row>
    <row r="12" spans="1:15" ht="16.5" customHeight="1" x14ac:dyDescent="0.35">
      <c r="A12" s="401" t="s">
        <v>545</v>
      </c>
      <c r="B12" s="423"/>
      <c r="C12" s="423"/>
      <c r="D12" s="424"/>
      <c r="E12" s="425">
        <f>IF(F12="A",D13+D14+D15+D16, H12)</f>
        <v>1.3322581413728192</v>
      </c>
      <c r="F12" s="406" t="s">
        <v>1127</v>
      </c>
      <c r="G12" s="407"/>
      <c r="H12" s="648">
        <v>1</v>
      </c>
      <c r="I12" s="390"/>
      <c r="J12" s="390"/>
      <c r="K12" s="390"/>
      <c r="L12" s="390"/>
      <c r="M12" s="390"/>
      <c r="N12" s="390"/>
      <c r="O12" s="430"/>
    </row>
    <row r="13" spans="1:15" ht="12" customHeight="1" thickBot="1" x14ac:dyDescent="0.25">
      <c r="A13" s="398" t="str">
        <f>A60</f>
        <v>Transport sunflowerseed</v>
      </c>
      <c r="B13" s="414">
        <f>L67</f>
        <v>0.27175307815543692</v>
      </c>
      <c r="C13" s="415">
        <f>J6</f>
        <v>0.6578726264493362</v>
      </c>
      <c r="D13" s="416">
        <f t="shared" ref="D13:D19" si="0">C13*B13</f>
        <v>0.17877891127180903</v>
      </c>
      <c r="E13" s="1215"/>
      <c r="F13" s="418"/>
      <c r="G13" s="418"/>
      <c r="H13" s="419">
        <v>0.18</v>
      </c>
      <c r="I13" s="390"/>
      <c r="J13" s="390"/>
      <c r="K13" s="390"/>
      <c r="L13" s="390"/>
      <c r="M13" s="390"/>
      <c r="N13" s="390"/>
      <c r="O13" s="430"/>
    </row>
    <row r="14" spans="1:15" ht="12" customHeight="1" x14ac:dyDescent="0.2">
      <c r="A14" s="398" t="str">
        <f>A101</f>
        <v>Transport sunflower oil</v>
      </c>
      <c r="B14" s="414">
        <f>L108</f>
        <v>0</v>
      </c>
      <c r="C14" s="415">
        <v>1</v>
      </c>
      <c r="D14" s="416">
        <f t="shared" si="0"/>
        <v>0</v>
      </c>
      <c r="E14" s="1215"/>
      <c r="F14" s="418"/>
      <c r="G14" s="418"/>
      <c r="H14" s="419">
        <v>0</v>
      </c>
      <c r="I14" s="390"/>
      <c r="J14" s="432" t="s">
        <v>140</v>
      </c>
      <c r="K14" s="433"/>
      <c r="L14" s="433"/>
      <c r="M14" s="433"/>
      <c r="N14" s="434"/>
      <c r="O14" s="441"/>
    </row>
    <row r="15" spans="1:15" ht="12" customHeight="1" x14ac:dyDescent="0.2">
      <c r="A15" s="398" t="str">
        <f>A132</f>
        <v>Transport of HVO to depot</v>
      </c>
      <c r="B15" s="414">
        <f>L141</f>
        <v>0.41060866393939394</v>
      </c>
      <c r="C15" s="415">
        <v>1</v>
      </c>
      <c r="D15" s="416">
        <f t="shared" si="0"/>
        <v>0.41060866393939394</v>
      </c>
      <c r="E15" s="436"/>
      <c r="F15" s="437"/>
      <c r="G15" s="437"/>
      <c r="H15" s="419">
        <v>0.71</v>
      </c>
      <c r="I15" s="390"/>
      <c r="J15" s="438"/>
      <c r="K15" s="439"/>
      <c r="L15" s="439"/>
      <c r="M15" s="439"/>
      <c r="N15" s="440"/>
      <c r="O15" s="441"/>
    </row>
    <row r="16" spans="1:15" ht="12" customHeight="1" x14ac:dyDescent="0.2">
      <c r="A16" s="398" t="str">
        <f>A144</f>
        <v>Transport to filling station</v>
      </c>
      <c r="B16" s="414">
        <f>L153</f>
        <v>0.74287056616161617</v>
      </c>
      <c r="C16" s="415">
        <v>1</v>
      </c>
      <c r="D16" s="416">
        <f t="shared" si="0"/>
        <v>0.74287056616161617</v>
      </c>
      <c r="E16" s="436"/>
      <c r="F16" s="437"/>
      <c r="G16" s="437"/>
      <c r="H16" s="419">
        <f>0.44</f>
        <v>0.44</v>
      </c>
      <c r="I16" s="379"/>
      <c r="J16" s="438"/>
      <c r="K16" s="439"/>
      <c r="L16" s="439"/>
      <c r="M16" s="442"/>
      <c r="N16" s="443"/>
      <c r="O16" s="441"/>
    </row>
    <row r="17" spans="1:16" ht="17.25" customHeight="1" x14ac:dyDescent="0.35">
      <c r="A17" s="444" t="s">
        <v>551</v>
      </c>
      <c r="B17" s="445">
        <f>L165</f>
        <v>0</v>
      </c>
      <c r="C17" s="446">
        <f>J6</f>
        <v>0.6578726264493362</v>
      </c>
      <c r="D17" s="445">
        <f t="shared" si="0"/>
        <v>0</v>
      </c>
      <c r="E17" s="425">
        <f>D17</f>
        <v>0</v>
      </c>
      <c r="F17" s="451"/>
      <c r="G17" s="451"/>
      <c r="H17" s="447">
        <v>0</v>
      </c>
      <c r="I17" s="379"/>
      <c r="J17" s="438"/>
      <c r="K17" s="439"/>
      <c r="L17" s="439"/>
      <c r="M17" s="448"/>
      <c r="N17" s="449"/>
      <c r="O17" s="649"/>
    </row>
    <row r="18" spans="1:16" ht="16.5" customHeight="1" x14ac:dyDescent="0.35">
      <c r="A18" s="444" t="s">
        <v>724</v>
      </c>
      <c r="B18" s="445">
        <f>L184-L168</f>
        <v>0</v>
      </c>
      <c r="C18" s="446">
        <v>1</v>
      </c>
      <c r="D18" s="445">
        <f t="shared" si="0"/>
        <v>0</v>
      </c>
      <c r="E18" s="425">
        <f>D18</f>
        <v>0</v>
      </c>
      <c r="F18" s="451"/>
      <c r="G18" s="451"/>
      <c r="H18" s="447">
        <v>0</v>
      </c>
      <c r="I18" s="361"/>
      <c r="J18" s="438"/>
      <c r="K18" s="439"/>
      <c r="L18" s="439"/>
      <c r="M18" s="448"/>
      <c r="N18" s="449"/>
      <c r="O18" s="649"/>
    </row>
    <row r="19" spans="1:16" ht="16.5" customHeight="1" thickBot="1" x14ac:dyDescent="0.4">
      <c r="A19" s="444" t="s">
        <v>725</v>
      </c>
      <c r="B19" s="445">
        <f>L190+L196</f>
        <v>0</v>
      </c>
      <c r="C19" s="446">
        <v>1</v>
      </c>
      <c r="D19" s="445">
        <f t="shared" si="0"/>
        <v>0</v>
      </c>
      <c r="E19" s="425">
        <f>D19</f>
        <v>0</v>
      </c>
      <c r="F19" s="451"/>
      <c r="G19" s="451"/>
      <c r="H19" s="447">
        <v>0</v>
      </c>
      <c r="I19" s="361"/>
      <c r="J19" s="459" t="s">
        <v>1</v>
      </c>
      <c r="K19" s="460"/>
      <c r="L19" s="460"/>
      <c r="M19" s="461"/>
      <c r="N19" s="462"/>
      <c r="O19" s="649"/>
    </row>
    <row r="20" spans="1:16" ht="16.5" customHeight="1" thickBot="1" x14ac:dyDescent="0.3">
      <c r="A20" s="452" t="s">
        <v>1049</v>
      </c>
      <c r="B20" s="453">
        <f>SUM(B7:B17)-SUM(B18:B19)</f>
        <v>44.509842105839986</v>
      </c>
      <c r="C20" s="454"/>
      <c r="D20" s="454"/>
      <c r="E20" s="456">
        <f>SUM(E6:E17)-SUM(E18:E19)</f>
        <v>32.891084299888028</v>
      </c>
      <c r="F20" s="457"/>
      <c r="G20" s="457"/>
      <c r="H20" s="458">
        <v>32</v>
      </c>
      <c r="I20" s="379"/>
      <c r="J20" s="650"/>
      <c r="K20" s="651"/>
      <c r="L20" s="651"/>
      <c r="M20" s="652"/>
      <c r="N20" s="652"/>
      <c r="O20" s="463"/>
      <c r="P20" s="429"/>
    </row>
    <row r="21" spans="1:16" ht="16.5" customHeight="1" x14ac:dyDescent="0.25">
      <c r="A21" s="464"/>
      <c r="B21" s="465"/>
      <c r="E21" s="466" t="s">
        <v>859</v>
      </c>
      <c r="F21" s="467"/>
      <c r="G21" s="467"/>
      <c r="H21" s="468"/>
      <c r="I21" s="469"/>
      <c r="J21" s="470"/>
      <c r="K21" s="433"/>
      <c r="L21" s="471"/>
      <c r="M21" s="433"/>
      <c r="N21" s="433"/>
      <c r="O21" s="472"/>
    </row>
    <row r="22" spans="1:16" ht="22.5" customHeight="1" thickBot="1" x14ac:dyDescent="0.25">
      <c r="A22" s="473" t="s">
        <v>1051</v>
      </c>
      <c r="B22" s="379"/>
      <c r="E22" s="474" t="s">
        <v>860</v>
      </c>
      <c r="F22" s="442"/>
      <c r="G22" s="442"/>
      <c r="H22" s="442"/>
      <c r="I22" s="439"/>
      <c r="J22" s="475"/>
      <c r="K22" s="475"/>
      <c r="L22" s="476"/>
      <c r="M22" s="477"/>
      <c r="N22" s="477"/>
      <c r="O22" s="478"/>
    </row>
    <row r="23" spans="1:16" ht="15.75" x14ac:dyDescent="0.25">
      <c r="A23" s="479" t="s">
        <v>702</v>
      </c>
      <c r="B23" s="480"/>
      <c r="C23" s="480"/>
      <c r="D23" s="480"/>
      <c r="E23" s="479" t="s">
        <v>513</v>
      </c>
      <c r="F23" s="481"/>
      <c r="G23" s="481"/>
      <c r="H23" s="480"/>
      <c r="I23" s="482" t="s">
        <v>532</v>
      </c>
      <c r="J23" s="481"/>
      <c r="K23" s="481"/>
      <c r="L23" s="483"/>
      <c r="M23" s="715"/>
      <c r="N23" s="610" t="s">
        <v>162</v>
      </c>
      <c r="O23" s="653"/>
    </row>
    <row r="24" spans="1:16" ht="15.75" x14ac:dyDescent="0.25">
      <c r="A24" s="486"/>
      <c r="B24" s="487" t="s">
        <v>524</v>
      </c>
      <c r="C24" s="488"/>
      <c r="D24" s="488"/>
      <c r="E24" s="489" t="s">
        <v>524</v>
      </c>
      <c r="F24" s="490"/>
      <c r="G24" s="490"/>
      <c r="H24" s="491"/>
      <c r="I24" s="492" t="s">
        <v>674</v>
      </c>
      <c r="J24" s="490"/>
      <c r="K24" s="490"/>
      <c r="L24" s="493"/>
      <c r="M24" s="484"/>
      <c r="N24" s="538" t="s">
        <v>714</v>
      </c>
      <c r="O24" s="654" t="s">
        <v>139</v>
      </c>
    </row>
    <row r="25" spans="1:16" ht="16.5" x14ac:dyDescent="0.3">
      <c r="A25" s="494"/>
      <c r="B25" s="495" t="s">
        <v>1099</v>
      </c>
      <c r="C25" s="655">
        <v>2440</v>
      </c>
      <c r="D25" s="497" t="s">
        <v>527</v>
      </c>
      <c r="E25" s="656">
        <f>C25*(1-C26)*VLOOKUP($B25,'Standard values'!$C$9:$S$162,14, FALSE)</f>
        <v>57974.399999999994</v>
      </c>
      <c r="F25" s="499" t="s">
        <v>708</v>
      </c>
      <c r="G25" s="499"/>
      <c r="H25" s="499"/>
      <c r="I25" s="500" t="s">
        <v>1053</v>
      </c>
      <c r="J25" s="500" t="s">
        <v>1054</v>
      </c>
      <c r="K25" s="500" t="s">
        <v>1055</v>
      </c>
      <c r="L25" s="501" t="s">
        <v>1056</v>
      </c>
      <c r="M25" s="379"/>
      <c r="N25" s="540" t="s">
        <v>1056</v>
      </c>
      <c r="O25" s="657" t="s">
        <v>550</v>
      </c>
    </row>
    <row r="26" spans="1:16" ht="15.75" x14ac:dyDescent="0.3">
      <c r="A26" s="503"/>
      <c r="B26" s="495" t="s">
        <v>521</v>
      </c>
      <c r="C26" s="658">
        <v>0.1</v>
      </c>
      <c r="D26" s="497"/>
      <c r="E26" s="505">
        <v>1</v>
      </c>
      <c r="F26" s="506" t="s">
        <v>707</v>
      </c>
      <c r="G26" s="506"/>
      <c r="H26" s="495"/>
      <c r="I26" s="507"/>
      <c r="J26" s="508"/>
      <c r="K26" s="508"/>
      <c r="L26" s="509"/>
      <c r="M26" s="379"/>
      <c r="N26" s="541"/>
      <c r="O26" s="616"/>
    </row>
    <row r="27" spans="1:16" ht="15.75" x14ac:dyDescent="0.3">
      <c r="A27" s="503"/>
      <c r="B27" s="495" t="s">
        <v>124</v>
      </c>
      <c r="C27" s="659" t="s">
        <v>738</v>
      </c>
      <c r="D27" s="497" t="s">
        <v>527</v>
      </c>
      <c r="E27" s="510">
        <f>+C25/E201</f>
        <v>6.681774911739792E-2</v>
      </c>
      <c r="F27" s="506" t="s">
        <v>573</v>
      </c>
      <c r="G27" s="506"/>
      <c r="H27" s="495"/>
      <c r="I27" s="508"/>
      <c r="J27" s="508"/>
      <c r="K27" s="508"/>
      <c r="L27" s="509"/>
      <c r="M27" s="379"/>
      <c r="N27" s="541"/>
      <c r="O27" s="616"/>
    </row>
    <row r="28" spans="1:16" x14ac:dyDescent="0.2">
      <c r="A28" s="503"/>
      <c r="B28" s="495"/>
      <c r="C28" s="660"/>
      <c r="D28" s="497"/>
      <c r="E28" s="503"/>
      <c r="F28" s="495"/>
      <c r="G28" s="495"/>
      <c r="H28" s="495"/>
      <c r="I28" s="546"/>
      <c r="J28" s="546"/>
      <c r="K28" s="546"/>
      <c r="L28" s="661"/>
      <c r="M28" s="379"/>
      <c r="N28" s="541"/>
      <c r="O28" s="616"/>
    </row>
    <row r="29" spans="1:16" x14ac:dyDescent="0.2">
      <c r="A29" s="503"/>
      <c r="B29" s="511" t="s">
        <v>525</v>
      </c>
      <c r="C29" s="660"/>
      <c r="D29" s="497"/>
      <c r="E29" s="503"/>
      <c r="F29" s="495"/>
      <c r="G29" s="495"/>
      <c r="H29" s="495"/>
      <c r="I29" s="546"/>
      <c r="J29" s="546"/>
      <c r="K29" s="546"/>
      <c r="L29" s="661"/>
      <c r="M29" s="379"/>
      <c r="N29" s="541"/>
      <c r="O29" s="616"/>
    </row>
    <row r="30" spans="1:16" ht="14.25" x14ac:dyDescent="0.2">
      <c r="A30" s="503"/>
      <c r="B30" s="495" t="s">
        <v>509</v>
      </c>
      <c r="C30" s="662">
        <v>2963</v>
      </c>
      <c r="D30" s="497" t="s">
        <v>528</v>
      </c>
      <c r="E30" s="513"/>
      <c r="F30" s="495"/>
      <c r="G30" s="495"/>
      <c r="H30" s="495"/>
      <c r="I30" s="508">
        <f>$C30*VLOOKUP($B30,'Standard values'!$C$9:$S$162,7, FALSE)/$E$201</f>
        <v>7.1109975575244988</v>
      </c>
      <c r="J30" s="508">
        <f>$C30*VLOOKUP($B30,'Standard values'!$C$9:$S$162,8, FALSE)/$E$201</f>
        <v>0</v>
      </c>
      <c r="K30" s="508">
        <f>$C30*VLOOKUP($B30,'Standard values'!$C$9:$S$162,9, FALSE)/$E$201</f>
        <v>0</v>
      </c>
      <c r="L30" s="509">
        <f>I30*'Standard values'!$D$10+J30*'Standard values'!$D$11+K30*'Standard values'!$D$12</f>
        <v>7.1109975575244988</v>
      </c>
      <c r="M30" s="379"/>
      <c r="N30" s="562">
        <f>+L30/$E$27</f>
        <v>106.42378187613845</v>
      </c>
      <c r="O30" s="663">
        <f>L30*$E$201/1000</f>
        <v>259.67402777777784</v>
      </c>
    </row>
    <row r="31" spans="1:16" x14ac:dyDescent="0.2">
      <c r="A31" s="503"/>
      <c r="B31" s="495"/>
      <c r="C31" s="660"/>
      <c r="D31" s="497"/>
      <c r="E31" s="513"/>
      <c r="F31" s="495"/>
      <c r="G31" s="495"/>
      <c r="H31" s="495"/>
      <c r="I31" s="508"/>
      <c r="J31" s="508"/>
      <c r="K31" s="508"/>
      <c r="L31" s="509"/>
      <c r="M31" s="379"/>
      <c r="N31" s="562"/>
      <c r="O31" s="663"/>
    </row>
    <row r="32" spans="1:16" x14ac:dyDescent="0.2">
      <c r="A32" s="503"/>
      <c r="B32" s="511" t="s">
        <v>1045</v>
      </c>
      <c r="C32" s="660"/>
      <c r="D32" s="497"/>
      <c r="E32" s="513"/>
      <c r="F32" s="495"/>
      <c r="G32" s="495"/>
      <c r="H32" s="495"/>
      <c r="I32" s="508"/>
      <c r="J32" s="508"/>
      <c r="K32" s="508"/>
      <c r="L32" s="509"/>
      <c r="M32" s="379"/>
      <c r="N32" s="562"/>
      <c r="O32" s="663"/>
    </row>
    <row r="33" spans="1:15" ht="14.25" x14ac:dyDescent="0.2">
      <c r="A33" s="503"/>
      <c r="B33" s="495" t="s">
        <v>231</v>
      </c>
      <c r="C33" s="664">
        <v>39</v>
      </c>
      <c r="D33" s="497" t="s">
        <v>529</v>
      </c>
      <c r="E33" s="513"/>
      <c r="F33" s="495"/>
      <c r="G33" s="495"/>
      <c r="H33" s="495"/>
      <c r="I33" s="508">
        <f>$C33*VLOOKUP($B33,'Standard values'!$C$9:$S$162,3, FALSE)/$E$201</f>
        <v>3.0192090419312825</v>
      </c>
      <c r="J33" s="508">
        <f>$C33*VLOOKUP($B33,'Standard values'!$C$9:$S$162,4, FALSE)/$E$201</f>
        <v>9.2688595740011686E-3</v>
      </c>
      <c r="K33" s="508">
        <f>$C33*VLOOKUP($B33,'Standard values'!$C$9:$S$162,5, FALSE)/$E$201</f>
        <v>1.0297332608264331E-2</v>
      </c>
      <c r="L33" s="509">
        <f>I33*'Standard values'!$D$10+J33*'Standard values'!$D$11+K33*'Standard values'!$D$12</f>
        <v>6.3195356485440826</v>
      </c>
      <c r="M33" s="379"/>
      <c r="N33" s="562">
        <f t="shared" ref="N33:N38" si="1">+L33/$E$27</f>
        <v>94.578697008196727</v>
      </c>
      <c r="O33" s="663">
        <f t="shared" ref="O33:O38" si="2">L33*$E$201/1000</f>
        <v>230.77202069999998</v>
      </c>
    </row>
    <row r="34" spans="1:15" ht="14.25" x14ac:dyDescent="0.2">
      <c r="A34" s="503"/>
      <c r="B34" s="495" t="s">
        <v>504</v>
      </c>
      <c r="C34" s="556">
        <v>0</v>
      </c>
      <c r="D34" s="497" t="s">
        <v>529</v>
      </c>
      <c r="E34" s="513"/>
      <c r="F34" s="495"/>
      <c r="G34" s="495"/>
      <c r="H34" s="495"/>
      <c r="I34" s="508">
        <f>$C34*VLOOKUP($B34,'Standard values'!$C$9:$S$162,3, FALSE)/$E$201</f>
        <v>0</v>
      </c>
      <c r="J34" s="508">
        <f>$C34*VLOOKUP($B34,'Standard values'!$C$9:$S$162,4, FALSE)/$E$201</f>
        <v>0</v>
      </c>
      <c r="K34" s="508">
        <f>$C34*VLOOKUP($B34,'Standard values'!$C$9:$S$162,5, FALSE)/$E$201</f>
        <v>0</v>
      </c>
      <c r="L34" s="509">
        <f>I34*'Standard values'!$D$10+J34*'Standard values'!$D$11+K34*'Standard values'!$D$12</f>
        <v>0</v>
      </c>
      <c r="M34" s="379"/>
      <c r="N34" s="562">
        <f t="shared" si="1"/>
        <v>0</v>
      </c>
      <c r="O34" s="663">
        <f t="shared" si="2"/>
        <v>0</v>
      </c>
    </row>
    <row r="35" spans="1:15" ht="14.25" x14ac:dyDescent="0.2">
      <c r="A35" s="503"/>
      <c r="B35" s="495" t="s">
        <v>234</v>
      </c>
      <c r="C35" s="664">
        <v>0</v>
      </c>
      <c r="D35" s="497" t="s">
        <v>745</v>
      </c>
      <c r="E35" s="513"/>
      <c r="F35" s="495"/>
      <c r="G35" s="495"/>
      <c r="H35" s="495"/>
      <c r="I35" s="508">
        <f>$C35*VLOOKUP($B35,'Standard values'!$C$9:$S$162,3, FALSE)/$E$201</f>
        <v>0</v>
      </c>
      <c r="J35" s="508">
        <f>$C35*VLOOKUP($B35,'Standard values'!$C$9:$S$162,4, FALSE)/$E$201</f>
        <v>0</v>
      </c>
      <c r="K35" s="508">
        <f>$C35*VLOOKUP($B35,'Standard values'!$C$9:$S$162,5, FALSE)/$E$201</f>
        <v>0</v>
      </c>
      <c r="L35" s="509">
        <f>I35*'Standard values'!$D$10+J35*'Standard values'!$D$11+K35*'Standard values'!$D$12</f>
        <v>0</v>
      </c>
      <c r="M35" s="379"/>
      <c r="N35" s="562">
        <f t="shared" si="1"/>
        <v>0</v>
      </c>
      <c r="O35" s="663">
        <f t="shared" si="2"/>
        <v>0</v>
      </c>
    </row>
    <row r="36" spans="1:15" ht="15.75" x14ac:dyDescent="0.3">
      <c r="A36" s="503"/>
      <c r="B36" s="495" t="s">
        <v>233</v>
      </c>
      <c r="C36" s="664">
        <v>22</v>
      </c>
      <c r="D36" s="497" t="s">
        <v>530</v>
      </c>
      <c r="E36" s="513"/>
      <c r="F36" s="495"/>
      <c r="G36" s="495"/>
      <c r="H36" s="495"/>
      <c r="I36" s="508">
        <f>$C36*VLOOKUP($B36,'Standard values'!$C$9:$S$162,3, FALSE)/$E$201</f>
        <v>0.32310324493146286</v>
      </c>
      <c r="J36" s="508">
        <f>$C36*VLOOKUP($B36,'Standard values'!$C$9:$S$162,4, FALSE)/$E$201</f>
        <v>9.4639674014239698E-4</v>
      </c>
      <c r="K36" s="508">
        <f>$C36*VLOOKUP($B36,'Standard values'!$C$9:$S$162,5, FALSE)/$E$201</f>
        <v>7.4101979144130654E-6</v>
      </c>
      <c r="L36" s="509">
        <f>I36*'Standard values'!$D$10+J36*'Standard values'!$D$11+K36*'Standard values'!$D$12</f>
        <v>0.34897140241351787</v>
      </c>
      <c r="M36" s="379"/>
      <c r="N36" s="562">
        <f t="shared" si="1"/>
        <v>5.2227350819672127</v>
      </c>
      <c r="O36" s="663">
        <f t="shared" si="2"/>
        <v>12.743473599999998</v>
      </c>
    </row>
    <row r="37" spans="1:15" ht="15.75" x14ac:dyDescent="0.3">
      <c r="A37" s="503"/>
      <c r="B37" s="495" t="s">
        <v>232</v>
      </c>
      <c r="C37" s="664">
        <v>30</v>
      </c>
      <c r="D37" s="497" t="s">
        <v>531</v>
      </c>
      <c r="E37" s="513"/>
      <c r="F37" s="495"/>
      <c r="G37" s="495"/>
      <c r="H37" s="495"/>
      <c r="I37" s="508">
        <f>$C37*VLOOKUP($B37,'Standard values'!$C$9:$S$162,3, FALSE)/$E$201</f>
        <v>0.79268291906267419</v>
      </c>
      <c r="J37" s="508">
        <f>$C37*VLOOKUP($B37,'Standard values'!$C$9:$S$162,4, FALSE)/$E$201</f>
        <v>1.0934560337121718E-3</v>
      </c>
      <c r="K37" s="508">
        <f>$C37*VLOOKUP($B37,'Standard values'!$C$9:$S$162,5, FALSE)/$E$201</f>
        <v>4.2308779666549098E-5</v>
      </c>
      <c r="L37" s="509">
        <f>I37*'Standard values'!$D$10+J37*'Standard values'!$D$11+K37*'Standard values'!$D$12</f>
        <v>0.83262733624611007</v>
      </c>
      <c r="M37" s="379"/>
      <c r="N37" s="562">
        <f t="shared" si="1"/>
        <v>12.461170081967213</v>
      </c>
      <c r="O37" s="663">
        <f t="shared" si="2"/>
        <v>30.405254999999993</v>
      </c>
    </row>
    <row r="38" spans="1:15" ht="14.25" x14ac:dyDescent="0.2">
      <c r="A38" s="503"/>
      <c r="B38" s="495" t="s">
        <v>502</v>
      </c>
      <c r="C38" s="664">
        <v>2</v>
      </c>
      <c r="D38" s="497" t="s">
        <v>527</v>
      </c>
      <c r="E38" s="513"/>
      <c r="F38" s="665"/>
      <c r="G38" s="665"/>
      <c r="H38" s="665"/>
      <c r="I38" s="508">
        <f>$C38*VLOOKUP($B38,'Standard values'!$C$9:$S$162,3, FALSE)/$E$201</f>
        <v>0.54147033629889574</v>
      </c>
      <c r="J38" s="508">
        <f>$C38*VLOOKUP($B38,'Standard values'!$C$9:$S$162,4, FALSE)/$E$201</f>
        <v>1.3980847241760071E-3</v>
      </c>
      <c r="K38" s="508">
        <f>$C38*VLOOKUP($B38,'Standard values'!$C$9:$S$162,5, FALSE)/$E$201</f>
        <v>9.2088002759010553E-5</v>
      </c>
      <c r="L38" s="509">
        <f>I38*'Standard values'!$D$10+J38*'Standard values'!$D$11+K38*'Standard values'!$D$12</f>
        <v>0.60386467922548104</v>
      </c>
      <c r="M38" s="379"/>
      <c r="N38" s="562">
        <f t="shared" si="1"/>
        <v>9.0374890983606555</v>
      </c>
      <c r="O38" s="663">
        <f t="shared" si="2"/>
        <v>22.051473399999999</v>
      </c>
    </row>
    <row r="39" spans="1:15" x14ac:dyDescent="0.2">
      <c r="A39" s="503"/>
      <c r="B39" s="495"/>
      <c r="C39" s="666"/>
      <c r="D39" s="497"/>
      <c r="E39" s="513"/>
      <c r="F39" s="665"/>
      <c r="G39" s="665"/>
      <c r="H39" s="665"/>
      <c r="I39" s="508"/>
      <c r="J39" s="508"/>
      <c r="K39" s="508"/>
      <c r="L39" s="509"/>
      <c r="M39" s="379"/>
      <c r="N39" s="562"/>
      <c r="O39" s="663"/>
    </row>
    <row r="40" spans="1:15" x14ac:dyDescent="0.2">
      <c r="A40" s="503"/>
      <c r="B40" s="511" t="s">
        <v>511</v>
      </c>
      <c r="C40" s="666"/>
      <c r="D40" s="497"/>
      <c r="E40" s="513"/>
      <c r="F40" s="495"/>
      <c r="G40" s="495"/>
      <c r="H40" s="665"/>
      <c r="I40" s="508"/>
      <c r="J40" s="508"/>
      <c r="K40" s="508"/>
      <c r="L40" s="509"/>
      <c r="M40" s="379"/>
      <c r="N40" s="562"/>
      <c r="O40" s="663"/>
    </row>
    <row r="41" spans="1:15" ht="14.25" x14ac:dyDescent="0.2">
      <c r="A41" s="503"/>
      <c r="B41" s="499" t="s">
        <v>1079</v>
      </c>
      <c r="C41" s="667">
        <v>6</v>
      </c>
      <c r="D41" s="497" t="s">
        <v>527</v>
      </c>
      <c r="E41" s="513"/>
      <c r="F41" s="495"/>
      <c r="G41" s="495"/>
      <c r="H41" s="495"/>
      <c r="I41" s="508">
        <f>$C41*VLOOKUP($B41,'Standard values'!$C$9:$S$162,3, FALSE)/$E$201</f>
        <v>6.7707372678249264E-2</v>
      </c>
      <c r="J41" s="508">
        <f>$C41*VLOOKUP($B41,'Standard values'!$C$9:$S$162,4, FALSE)/$E$201</f>
        <v>1.4996203185110431E-4</v>
      </c>
      <c r="K41" s="508">
        <f>$C41*VLOOKUP($B41,'Standard values'!$C$9:$S$162,5, FALSE)/$E$201</f>
        <v>1.6476599708588517E-4</v>
      </c>
      <c r="L41" s="509">
        <f>I41*'Standard values'!$D$10+J41*'Standard values'!$D$11+K41*'Standard values'!$D$12</f>
        <v>0.12055669060612065</v>
      </c>
      <c r="M41" s="379"/>
      <c r="N41" s="562">
        <f>+L41/$E$27</f>
        <v>1.8042614754098361</v>
      </c>
      <c r="O41" s="663">
        <f>L41*$E$201/1000</f>
        <v>4.4023979999999998</v>
      </c>
    </row>
    <row r="42" spans="1:15" x14ac:dyDescent="0.2">
      <c r="A42" s="503"/>
      <c r="B42" s="511"/>
      <c r="C42" s="668"/>
      <c r="D42" s="497"/>
      <c r="E42" s="513"/>
      <c r="F42" s="495"/>
      <c r="G42" s="495"/>
      <c r="H42" s="495"/>
      <c r="I42" s="508"/>
      <c r="J42" s="508"/>
      <c r="K42" s="508"/>
      <c r="L42" s="509"/>
      <c r="M42" s="379"/>
      <c r="N42" s="562"/>
      <c r="O42" s="663"/>
    </row>
    <row r="43" spans="1:15" ht="15" x14ac:dyDescent="0.25">
      <c r="A43" s="503"/>
      <c r="B43" s="511" t="s">
        <v>1046</v>
      </c>
      <c r="C43" s="669">
        <v>1.4332559999999999</v>
      </c>
      <c r="D43" s="497" t="s">
        <v>527</v>
      </c>
      <c r="E43" s="513"/>
      <c r="F43" s="495"/>
      <c r="G43" s="495"/>
      <c r="H43" s="495"/>
      <c r="I43" s="508">
        <v>0</v>
      </c>
      <c r="J43" s="508">
        <v>0</v>
      </c>
      <c r="K43" s="508">
        <f>1000*$C43/$E$201</f>
        <v>3.9248745831559538E-2</v>
      </c>
      <c r="L43" s="509">
        <f>I43*'Standard values'!$D$10+J43*'Standard values'!$D$11+K43*'Standard values'!$D$12</f>
        <v>11.696126257804742</v>
      </c>
      <c r="M43" s="379"/>
      <c r="N43" s="562">
        <f>+L43/$E$27</f>
        <v>175.04519999999999</v>
      </c>
      <c r="O43" s="750">
        <f>L43*$E$201/1000</f>
        <v>427.11028799999997</v>
      </c>
    </row>
    <row r="44" spans="1:15" ht="15.75" x14ac:dyDescent="0.3">
      <c r="A44" s="503"/>
      <c r="B44" s="511"/>
      <c r="C44" s="670" t="s">
        <v>664</v>
      </c>
      <c r="D44" s="495"/>
      <c r="E44" s="513"/>
      <c r="F44" s="514"/>
      <c r="G44" s="514"/>
      <c r="H44" s="514" t="s">
        <v>1047</v>
      </c>
      <c r="I44" s="515">
        <f>SUM(I26:I43)</f>
        <v>11.855170472427066</v>
      </c>
      <c r="J44" s="515">
        <f>SUM(J26:J43)</f>
        <v>1.2856759103882849E-2</v>
      </c>
      <c r="K44" s="515">
        <f>SUM(K26:K43)</f>
        <v>4.9852651417249726E-2</v>
      </c>
      <c r="L44" s="516">
        <f>I44*'Standard values'!$D$10+J44*'Standard values'!$D$11+K44*'Standard values'!$D$12</f>
        <v>27.032679572364557</v>
      </c>
      <c r="M44" s="379"/>
      <c r="N44" s="1201">
        <f>+L44/E$27</f>
        <v>404.57333462204014</v>
      </c>
      <c r="O44" s="1202">
        <f>L44*$E$201/1000</f>
        <v>987.15893647777784</v>
      </c>
    </row>
    <row r="45" spans="1:15" x14ac:dyDescent="0.2">
      <c r="A45" s="503"/>
      <c r="B45" s="511"/>
      <c r="C45" s="671" t="s">
        <v>665</v>
      </c>
      <c r="D45" s="495"/>
      <c r="E45" s="513"/>
      <c r="F45" s="514"/>
      <c r="G45" s="514"/>
      <c r="H45" s="514"/>
      <c r="I45" s="416"/>
      <c r="J45" s="416"/>
      <c r="K45" s="416"/>
      <c r="L45" s="436"/>
      <c r="M45" s="379"/>
      <c r="N45" s="1203"/>
      <c r="O45" s="1204"/>
    </row>
    <row r="46" spans="1:15" ht="14.25" x14ac:dyDescent="0.25">
      <c r="A46" s="519"/>
      <c r="B46" s="520"/>
      <c r="C46" s="520"/>
      <c r="D46" s="520"/>
      <c r="E46" s="519"/>
      <c r="F46" s="521"/>
      <c r="G46" s="521"/>
      <c r="H46" s="521" t="s">
        <v>534</v>
      </c>
      <c r="I46" s="522"/>
      <c r="J46" s="523" t="s">
        <v>675</v>
      </c>
      <c r="K46" s="524"/>
      <c r="L46" s="525">
        <f>N44*E$27</f>
        <v>27.032679572364557</v>
      </c>
      <c r="M46" s="379"/>
      <c r="N46" s="390"/>
      <c r="O46" s="390"/>
    </row>
    <row r="47" spans="1:15" x14ac:dyDescent="0.2">
      <c r="A47" s="379"/>
      <c r="B47" s="379"/>
      <c r="C47" s="379"/>
      <c r="D47" s="379"/>
      <c r="E47" s="379"/>
      <c r="F47" s="526"/>
      <c r="G47" s="526"/>
      <c r="H47" s="526"/>
      <c r="I47" s="527"/>
      <c r="J47" s="528"/>
      <c r="K47" s="484"/>
      <c r="L47" s="430"/>
      <c r="M47" s="379"/>
      <c r="N47" s="390"/>
      <c r="O47" s="390"/>
    </row>
    <row r="48" spans="1:15" x14ac:dyDescent="0.2">
      <c r="A48" s="390"/>
      <c r="B48" s="390"/>
      <c r="C48" s="390"/>
      <c r="D48" s="390"/>
      <c r="E48" s="390"/>
      <c r="F48" s="390"/>
      <c r="G48" s="390"/>
      <c r="H48" s="390"/>
      <c r="I48" s="529"/>
      <c r="J48" s="529"/>
      <c r="K48" s="529"/>
      <c r="L48" s="529"/>
      <c r="M48" s="379"/>
      <c r="N48" s="390"/>
      <c r="O48" s="390"/>
    </row>
    <row r="49" spans="1:15" ht="15.75" x14ac:dyDescent="0.25">
      <c r="A49" s="530" t="s">
        <v>703</v>
      </c>
      <c r="B49" s="531"/>
      <c r="C49" s="531"/>
      <c r="D49" s="531"/>
      <c r="E49" s="530" t="s">
        <v>513</v>
      </c>
      <c r="F49" s="532"/>
      <c r="G49" s="532"/>
      <c r="H49" s="531"/>
      <c r="I49" s="532" t="s">
        <v>532</v>
      </c>
      <c r="J49" s="533"/>
      <c r="K49" s="533"/>
      <c r="L49" s="534"/>
      <c r="M49" s="379"/>
      <c r="N49" s="535" t="s">
        <v>162</v>
      </c>
      <c r="O49" s="390"/>
    </row>
    <row r="50" spans="1:15" ht="15.75" x14ac:dyDescent="0.3">
      <c r="A50" s="587"/>
      <c r="B50" s="511" t="s">
        <v>1099</v>
      </c>
      <c r="C50" s="593">
        <v>1</v>
      </c>
      <c r="D50" s="495" t="s">
        <v>713</v>
      </c>
      <c r="E50" s="588">
        <f>E25*C50</f>
        <v>57974.399999999994</v>
      </c>
      <c r="F50" s="499" t="s">
        <v>710</v>
      </c>
      <c r="G50" s="499"/>
      <c r="H50" s="495"/>
      <c r="I50" s="492" t="s">
        <v>674</v>
      </c>
      <c r="J50" s="514"/>
      <c r="K50" s="514"/>
      <c r="L50" s="537"/>
      <c r="M50" s="379"/>
      <c r="N50" s="554" t="s">
        <v>714</v>
      </c>
      <c r="O50" s="390"/>
    </row>
    <row r="51" spans="1:15" ht="15.75" x14ac:dyDescent="0.3">
      <c r="A51" s="587"/>
      <c r="B51" s="495"/>
      <c r="C51" s="512"/>
      <c r="D51" s="495"/>
      <c r="E51" s="505">
        <f>E26*C50</f>
        <v>1</v>
      </c>
      <c r="F51" s="506" t="s">
        <v>707</v>
      </c>
      <c r="G51" s="506"/>
      <c r="H51" s="495"/>
      <c r="I51" s="539" t="s">
        <v>1053</v>
      </c>
      <c r="J51" s="539" t="s">
        <v>1054</v>
      </c>
      <c r="K51" s="539" t="s">
        <v>1055</v>
      </c>
      <c r="L51" s="540" t="s">
        <v>1056</v>
      </c>
      <c r="M51" s="379"/>
      <c r="N51" s="540" t="s">
        <v>1056</v>
      </c>
      <c r="O51" s="390"/>
    </row>
    <row r="52" spans="1:15" x14ac:dyDescent="0.2">
      <c r="A52" s="503"/>
      <c r="B52" s="511" t="s">
        <v>525</v>
      </c>
      <c r="C52" s="495"/>
      <c r="D52" s="495"/>
      <c r="E52" s="503"/>
      <c r="F52" s="495"/>
      <c r="G52" s="495"/>
      <c r="H52" s="495"/>
      <c r="I52" s="495"/>
      <c r="J52" s="495"/>
      <c r="K52" s="495"/>
      <c r="L52" s="541"/>
      <c r="M52" s="379"/>
      <c r="N52" s="541"/>
      <c r="O52" s="390"/>
    </row>
    <row r="53" spans="1:15" ht="15.75" x14ac:dyDescent="0.3">
      <c r="A53" s="503"/>
      <c r="B53" s="499" t="s">
        <v>509</v>
      </c>
      <c r="C53" s="672">
        <v>1.8100000000000001E-4</v>
      </c>
      <c r="D53" s="495" t="s">
        <v>719</v>
      </c>
      <c r="E53" s="503"/>
      <c r="F53" s="495"/>
      <c r="G53" s="495"/>
      <c r="H53" s="495"/>
      <c r="I53" s="544">
        <f>$C53*$E$51*VLOOKUP($B53,'Standard values'!$C$9:$S$162,7, FALSE)/$E$202</f>
        <v>2.5183362416675539E-2</v>
      </c>
      <c r="J53" s="544">
        <f>$C53*$E$51*VLOOKUP($B53,'Standard values'!$C$9:$S$162,8, FALSE)/$E$202</f>
        <v>0</v>
      </c>
      <c r="K53" s="544">
        <f>$C53*$E$51*VLOOKUP($B53,'Standard values'!$C$9:$S$162,9, FALSE)/$E$202</f>
        <v>0</v>
      </c>
      <c r="L53" s="419">
        <f>I53*'Standard values'!$D$10+J53*'Standard values'!$D$11+K53*'Standard values'!$D$12</f>
        <v>2.5183362416675539E-2</v>
      </c>
      <c r="M53" s="379"/>
      <c r="N53" s="562">
        <f>+L53/$E$27</f>
        <v>0.37689629999999996</v>
      </c>
      <c r="O53" s="390"/>
    </row>
    <row r="54" spans="1:15" ht="15.75" x14ac:dyDescent="0.3">
      <c r="A54" s="503"/>
      <c r="B54" s="1301" t="s">
        <v>49</v>
      </c>
      <c r="C54" s="559">
        <v>3.0790000000000001E-3</v>
      </c>
      <c r="D54" s="495" t="s">
        <v>719</v>
      </c>
      <c r="E54" s="503"/>
      <c r="F54" s="495"/>
      <c r="G54" s="495"/>
      <c r="H54" s="495"/>
      <c r="I54" s="544">
        <f>$C54*$E$51*VLOOKUP($B54,'Standard values'!$C$9:$S$162,7, FALSE)/$E$202</f>
        <v>0.59046631534478955</v>
      </c>
      <c r="J54" s="544">
        <f>$C54*$E$51*VLOOKUP($B54,'Standard values'!$C$9:$S$162,8, FALSE)/$E$202</f>
        <v>1.4399789344326046E-3</v>
      </c>
      <c r="K54" s="544">
        <f>$C54*$E$51*VLOOKUP($B54,'Standard values'!$C$9:$S$162,9, FALSE)/$E$202</f>
        <v>2.6749255076211513E-5</v>
      </c>
      <c r="L54" s="419">
        <f>I54*'Standard values'!$D$10+J54*'Standard values'!$D$11+K54*'Standard values'!$D$12</f>
        <v>0.63443706671831568</v>
      </c>
      <c r="M54" s="379"/>
      <c r="N54" s="562">
        <f>+L54/$E$27</f>
        <v>9.4950379966199989</v>
      </c>
      <c r="O54" s="390"/>
    </row>
    <row r="55" spans="1:15" x14ac:dyDescent="0.2">
      <c r="A55" s="503"/>
      <c r="B55" s="495"/>
      <c r="C55" s="495"/>
      <c r="D55" s="495"/>
      <c r="E55" s="503"/>
      <c r="F55" s="495"/>
      <c r="G55" s="495"/>
      <c r="H55" s="514" t="s">
        <v>1047</v>
      </c>
      <c r="I55" s="515">
        <f>SUM(I52:I54)</f>
        <v>0.61564967776146506</v>
      </c>
      <c r="J55" s="515">
        <f>SUM(J52:J54)</f>
        <v>1.4399789344326046E-3</v>
      </c>
      <c r="K55" s="515">
        <f>SUM(K52:K54)</f>
        <v>2.6749255076211513E-5</v>
      </c>
      <c r="L55" s="516">
        <f>I55*'Standard values'!$D$10+J55*'Standard values'!$D$11+K55*'Standard values'!$D$12</f>
        <v>0.65962042913499119</v>
      </c>
      <c r="M55" s="379"/>
      <c r="N55" s="1201">
        <f>+L55/E$27</f>
        <v>9.8719342966199992</v>
      </c>
      <c r="O55" s="518"/>
    </row>
    <row r="56" spans="1:15" x14ac:dyDescent="0.2">
      <c r="A56" s="590"/>
      <c r="B56" s="495"/>
      <c r="C56" s="492"/>
      <c r="D56" s="495"/>
      <c r="E56" s="503"/>
      <c r="F56" s="495"/>
      <c r="G56" s="495"/>
      <c r="H56" s="495"/>
      <c r="I56" s="495"/>
      <c r="J56" s="495"/>
      <c r="K56" s="495"/>
      <c r="L56" s="541"/>
      <c r="M56" s="379"/>
      <c r="N56" s="1203"/>
      <c r="O56" s="390"/>
    </row>
    <row r="57" spans="1:15" ht="14.25" x14ac:dyDescent="0.25">
      <c r="A57" s="519"/>
      <c r="B57" s="520"/>
      <c r="C57" s="520"/>
      <c r="D57" s="520"/>
      <c r="E57" s="519"/>
      <c r="F57" s="521"/>
      <c r="G57" s="521"/>
      <c r="H57" s="521" t="s">
        <v>534</v>
      </c>
      <c r="I57" s="520"/>
      <c r="J57" s="523" t="s">
        <v>675</v>
      </c>
      <c r="K57" s="549"/>
      <c r="L57" s="525">
        <f>N55*E$27</f>
        <v>0.65962042913499119</v>
      </c>
      <c r="M57" s="379"/>
      <c r="N57" s="390"/>
      <c r="O57" s="390"/>
    </row>
    <row r="58" spans="1:15" x14ac:dyDescent="0.2">
      <c r="A58" s="390"/>
      <c r="B58" s="390"/>
      <c r="C58" s="390"/>
      <c r="D58" s="390"/>
      <c r="E58" s="390"/>
      <c r="F58" s="376"/>
      <c r="G58" s="376"/>
      <c r="H58" s="376"/>
      <c r="I58" s="390"/>
      <c r="J58" s="550"/>
      <c r="K58" s="551"/>
      <c r="L58" s="552"/>
      <c r="M58" s="379"/>
      <c r="N58" s="390"/>
      <c r="O58" s="390"/>
    </row>
    <row r="59" spans="1:15" x14ac:dyDescent="0.2">
      <c r="A59" s="390"/>
      <c r="B59" s="390"/>
      <c r="C59" s="390"/>
      <c r="D59" s="390"/>
      <c r="E59" s="390"/>
      <c r="F59" s="390"/>
      <c r="G59" s="390"/>
      <c r="H59" s="390"/>
      <c r="I59" s="529"/>
      <c r="J59" s="529"/>
      <c r="K59" s="529"/>
      <c r="L59" s="529"/>
      <c r="M59" s="379"/>
      <c r="N59" s="390"/>
      <c r="O59" s="390"/>
    </row>
    <row r="60" spans="1:15" ht="15.75" x14ac:dyDescent="0.25">
      <c r="A60" s="530" t="s">
        <v>340</v>
      </c>
      <c r="B60" s="531"/>
      <c r="C60" s="531"/>
      <c r="D60" s="531"/>
      <c r="E60" s="530" t="s">
        <v>513</v>
      </c>
      <c r="F60" s="532"/>
      <c r="G60" s="532"/>
      <c r="H60" s="531"/>
      <c r="I60" s="532" t="s">
        <v>532</v>
      </c>
      <c r="J60" s="533"/>
      <c r="K60" s="533"/>
      <c r="L60" s="534"/>
      <c r="M60" s="379"/>
      <c r="N60" s="535" t="s">
        <v>162</v>
      </c>
      <c r="O60" s="390"/>
    </row>
    <row r="61" spans="1:15" ht="15.75" x14ac:dyDescent="0.3">
      <c r="A61" s="503"/>
      <c r="B61" s="511" t="s">
        <v>1099</v>
      </c>
      <c r="C61" s="593">
        <v>0.99009900990099009</v>
      </c>
      <c r="D61" s="495" t="s">
        <v>713</v>
      </c>
      <c r="E61" s="553">
        <f>E50*C61</f>
        <v>57400.396039603955</v>
      </c>
      <c r="F61" s="499" t="s">
        <v>708</v>
      </c>
      <c r="G61" s="499"/>
      <c r="H61" s="495"/>
      <c r="I61" s="492" t="s">
        <v>674</v>
      </c>
      <c r="J61" s="514"/>
      <c r="K61" s="514"/>
      <c r="L61" s="537"/>
      <c r="M61" s="379"/>
      <c r="N61" s="554" t="s">
        <v>714</v>
      </c>
      <c r="O61" s="390"/>
    </row>
    <row r="62" spans="1:15" ht="15.75" x14ac:dyDescent="0.3">
      <c r="A62" s="503"/>
      <c r="B62" s="495"/>
      <c r="C62" s="495"/>
      <c r="D62" s="495"/>
      <c r="E62" s="505">
        <f>E51*C61</f>
        <v>0.99009900990099009</v>
      </c>
      <c r="F62" s="506" t="s">
        <v>707</v>
      </c>
      <c r="G62" s="506"/>
      <c r="H62" s="495"/>
      <c r="I62" s="539" t="s">
        <v>1053</v>
      </c>
      <c r="J62" s="539" t="s">
        <v>1054</v>
      </c>
      <c r="K62" s="539" t="s">
        <v>1055</v>
      </c>
      <c r="L62" s="540" t="s">
        <v>1056</v>
      </c>
      <c r="M62" s="379"/>
      <c r="N62" s="540" t="s">
        <v>1056</v>
      </c>
      <c r="O62" s="390"/>
    </row>
    <row r="63" spans="1:15" x14ac:dyDescent="0.2">
      <c r="A63" s="503"/>
      <c r="B63" s="511" t="s">
        <v>498</v>
      </c>
      <c r="C63" s="495"/>
      <c r="D63" s="495"/>
      <c r="E63" s="505"/>
      <c r="F63" s="506"/>
      <c r="G63" s="506"/>
      <c r="H63" s="495"/>
      <c r="I63" s="539"/>
      <c r="J63" s="539"/>
      <c r="K63" s="539"/>
      <c r="L63" s="540"/>
      <c r="M63" s="379"/>
      <c r="N63" s="541"/>
      <c r="O63" s="390"/>
    </row>
    <row r="64" spans="1:15" ht="15.75" x14ac:dyDescent="0.3">
      <c r="A64" s="503"/>
      <c r="B64" s="495" t="s">
        <v>1111</v>
      </c>
      <c r="C64" s="595">
        <v>50</v>
      </c>
      <c r="D64" s="495" t="s">
        <v>510</v>
      </c>
      <c r="E64" s="543">
        <f>(C64*E62)/(VLOOKUP($B61,'Standard values'!$C$9:$S$162,14, FALSE))/(1-$C$26)/1000</f>
        <v>2.0835416875020834E-3</v>
      </c>
      <c r="F64" s="495" t="s">
        <v>711</v>
      </c>
      <c r="G64" s="495"/>
      <c r="H64" s="495"/>
      <c r="I64" s="544">
        <f>$E64*VLOOKUP($B64,'Standard values'!$C$9:$S$162,15, FALSE)*VLOOKUP(C65,'Standard values'!$C$9:$S$162,7, FALSE)/$E$202</f>
        <v>0.271339601985156</v>
      </c>
      <c r="J64" s="544">
        <f>$E64*((VLOOKUP($B64,'Standard values'!$C$9:$S$162,15, FALSE)*VLOOKUP(C65,'Standard values'!$C$9:$S$162,8, FALSE))+VLOOKUP($B64,'Standard values'!$C$9:$S$162,16, FALSE))/$E$202</f>
        <v>1.6539046811237109E-5</v>
      </c>
      <c r="K64" s="544">
        <f>$E64*((VLOOKUP($B64,'Standard values'!$C$9:$S$162,15, FALSE)*VLOOKUP(C65,'Standard values'!$C$9:$S$162,9, FALSE))+VLOOKUP($B64,'Standard values'!$C$9:$S$162,17, FALSE))/$E$202</f>
        <v>0</v>
      </c>
      <c r="L64" s="516">
        <f>I64*'Standard values'!$D$10+J64*'Standard values'!$D$11+K64*'Standard values'!$D$12</f>
        <v>0.27175307815543692</v>
      </c>
      <c r="M64" s="379"/>
      <c r="N64" s="1201">
        <f>+L64/E$27</f>
        <v>4.0670792079207922</v>
      </c>
      <c r="O64" s="390"/>
    </row>
    <row r="65" spans="1:15" x14ac:dyDescent="0.2">
      <c r="A65" s="503"/>
      <c r="B65" s="546" t="s">
        <v>54</v>
      </c>
      <c r="C65" s="673" t="s">
        <v>509</v>
      </c>
      <c r="D65" s="495"/>
      <c r="E65" s="543"/>
      <c r="F65" s="495"/>
      <c r="G65" s="495"/>
      <c r="H65" s="495"/>
      <c r="I65" s="544"/>
      <c r="J65" s="544"/>
      <c r="K65" s="544"/>
      <c r="L65" s="516"/>
      <c r="M65" s="379"/>
      <c r="N65" s="1203"/>
      <c r="O65" s="390"/>
    </row>
    <row r="66" spans="1:15" x14ac:dyDescent="0.2">
      <c r="A66" s="503"/>
      <c r="B66" s="495"/>
      <c r="C66" s="495"/>
      <c r="D66" s="495"/>
      <c r="E66" s="503"/>
      <c r="F66" s="495"/>
      <c r="G66" s="495"/>
      <c r="H66" s="548"/>
      <c r="I66" s="544"/>
      <c r="J66" s="544"/>
      <c r="K66" s="544"/>
      <c r="L66" s="516"/>
      <c r="M66" s="379"/>
      <c r="N66" s="390"/>
      <c r="O66" s="390"/>
    </row>
    <row r="67" spans="1:15" ht="14.25" x14ac:dyDescent="0.25">
      <c r="A67" s="519"/>
      <c r="B67" s="520"/>
      <c r="C67" s="520"/>
      <c r="D67" s="520"/>
      <c r="E67" s="519"/>
      <c r="F67" s="521"/>
      <c r="G67" s="521"/>
      <c r="H67" s="521" t="s">
        <v>534</v>
      </c>
      <c r="I67" s="520"/>
      <c r="J67" s="523" t="s">
        <v>675</v>
      </c>
      <c r="K67" s="549"/>
      <c r="L67" s="525">
        <f>N64*E$27</f>
        <v>0.27175307815543692</v>
      </c>
      <c r="M67" s="379"/>
      <c r="N67" s="390"/>
      <c r="O67" s="390"/>
    </row>
    <row r="68" spans="1:15" x14ac:dyDescent="0.2">
      <c r="A68" s="390"/>
      <c r="B68" s="390"/>
      <c r="C68" s="390"/>
      <c r="D68" s="390"/>
      <c r="E68" s="390"/>
      <c r="F68" s="376"/>
      <c r="G68" s="376"/>
      <c r="H68" s="376"/>
      <c r="I68" s="390"/>
      <c r="J68" s="550"/>
      <c r="K68" s="551"/>
      <c r="L68" s="552"/>
      <c r="M68" s="379"/>
      <c r="N68" s="379"/>
      <c r="O68" s="379"/>
    </row>
    <row r="69" spans="1:15" x14ac:dyDescent="0.2">
      <c r="A69" s="390"/>
      <c r="B69" s="390"/>
      <c r="C69" s="390"/>
      <c r="D69" s="390"/>
      <c r="E69" s="390"/>
      <c r="F69" s="390"/>
      <c r="G69" s="390"/>
      <c r="H69" s="390"/>
      <c r="I69" s="390"/>
      <c r="J69" s="390"/>
      <c r="K69" s="390"/>
      <c r="L69" s="375"/>
      <c r="M69" s="379"/>
      <c r="N69" s="379"/>
      <c r="O69" s="379"/>
    </row>
    <row r="70" spans="1:15" ht="15.75" x14ac:dyDescent="0.25">
      <c r="A70" s="530" t="s">
        <v>639</v>
      </c>
      <c r="B70" s="531"/>
      <c r="C70" s="531"/>
      <c r="D70" s="531"/>
      <c r="E70" s="530" t="s">
        <v>513</v>
      </c>
      <c r="F70" s="532"/>
      <c r="G70" s="532"/>
      <c r="H70" s="531"/>
      <c r="I70" s="532" t="s">
        <v>532</v>
      </c>
      <c r="J70" s="533"/>
      <c r="K70" s="533"/>
      <c r="L70" s="534"/>
      <c r="M70" s="379"/>
      <c r="N70" s="535" t="s">
        <v>162</v>
      </c>
      <c r="O70" s="379"/>
    </row>
    <row r="71" spans="1:15" x14ac:dyDescent="0.2">
      <c r="A71" s="503"/>
      <c r="B71" s="511" t="s">
        <v>524</v>
      </c>
      <c r="C71" s="495"/>
      <c r="D71" s="495"/>
      <c r="E71" s="553"/>
      <c r="F71" s="674"/>
      <c r="G71" s="674"/>
      <c r="H71" s="495"/>
      <c r="I71" s="492" t="s">
        <v>674</v>
      </c>
      <c r="J71" s="514"/>
      <c r="K71" s="514"/>
      <c r="L71" s="537"/>
      <c r="M71" s="379"/>
      <c r="N71" s="554" t="s">
        <v>588</v>
      </c>
      <c r="O71" s="379"/>
    </row>
    <row r="72" spans="1:15" ht="15.75" x14ac:dyDescent="0.3">
      <c r="A72" s="503"/>
      <c r="B72" s="495" t="s">
        <v>1039</v>
      </c>
      <c r="C72" s="675">
        <v>0.6578726264493362</v>
      </c>
      <c r="D72" s="495" t="s">
        <v>705</v>
      </c>
      <c r="E72" s="553">
        <f>E61*C72</f>
        <v>37762.149301806327</v>
      </c>
      <c r="F72" s="499" t="s">
        <v>654</v>
      </c>
      <c r="G72" s="499"/>
      <c r="H72" s="495"/>
      <c r="I72" s="539" t="s">
        <v>1053</v>
      </c>
      <c r="J72" s="539" t="s">
        <v>1054</v>
      </c>
      <c r="K72" s="539" t="s">
        <v>1055</v>
      </c>
      <c r="L72" s="540" t="s">
        <v>1056</v>
      </c>
      <c r="M72" s="379"/>
      <c r="N72" s="540" t="s">
        <v>1056</v>
      </c>
      <c r="O72" s="379"/>
    </row>
    <row r="73" spans="1:15" ht="15.75" x14ac:dyDescent="0.3">
      <c r="A73" s="563"/>
      <c r="B73" s="506" t="s">
        <v>129</v>
      </c>
      <c r="C73" s="675">
        <v>0.3421273735506638</v>
      </c>
      <c r="D73" s="495" t="s">
        <v>706</v>
      </c>
      <c r="E73" s="505">
        <f>E62*C72</f>
        <v>0.65135903608845169</v>
      </c>
      <c r="F73" s="506" t="s">
        <v>707</v>
      </c>
      <c r="G73" s="506"/>
      <c r="H73" s="495"/>
      <c r="I73" s="495"/>
      <c r="J73" s="495"/>
      <c r="K73" s="495"/>
      <c r="L73" s="541"/>
      <c r="M73" s="379"/>
      <c r="N73" s="541"/>
      <c r="O73" s="379"/>
    </row>
    <row r="74" spans="1:15" ht="15.75" x14ac:dyDescent="0.3">
      <c r="A74" s="563"/>
      <c r="B74" s="506"/>
      <c r="C74" s="564"/>
      <c r="D74" s="506"/>
      <c r="E74" s="557">
        <f>E72/$E$201/VLOOKUP($B72,'Standard values'!$C$9:$S$162,14, FALSE)</f>
        <v>2.7948402948402951E-2</v>
      </c>
      <c r="F74" s="499" t="s">
        <v>537</v>
      </c>
      <c r="G74" s="499"/>
      <c r="H74" s="495"/>
      <c r="I74" s="495"/>
      <c r="J74" s="495"/>
      <c r="K74" s="495"/>
      <c r="L74" s="541"/>
      <c r="M74" s="379"/>
      <c r="N74" s="541"/>
      <c r="O74" s="379"/>
    </row>
    <row r="75" spans="1:15" x14ac:dyDescent="0.2">
      <c r="A75" s="503"/>
      <c r="B75" s="511" t="s">
        <v>525</v>
      </c>
      <c r="C75" s="495"/>
      <c r="D75" s="495"/>
      <c r="E75" s="513"/>
      <c r="F75" s="495"/>
      <c r="G75" s="495"/>
      <c r="H75" s="495"/>
      <c r="I75" s="495"/>
      <c r="J75" s="495"/>
      <c r="K75" s="495"/>
      <c r="L75" s="541"/>
      <c r="M75" s="379"/>
      <c r="N75" s="541"/>
      <c r="O75" s="379"/>
    </row>
    <row r="76" spans="1:15" ht="15.75" x14ac:dyDescent="0.3">
      <c r="A76" s="503"/>
      <c r="B76" s="1301" t="s">
        <v>50</v>
      </c>
      <c r="C76" s="676">
        <f>1.4*0.00781609195402299</f>
        <v>1.0942528735632185E-2</v>
      </c>
      <c r="D76" s="495" t="s">
        <v>644</v>
      </c>
      <c r="E76" s="503"/>
      <c r="F76" s="495"/>
      <c r="G76" s="495"/>
      <c r="H76" s="495"/>
      <c r="I76" s="544">
        <f>$C76*$E$73*VLOOKUP($B76,'Standard values'!$C$9:$S$162,7, FALSE)/$E$202</f>
        <v>1.3506508911529089</v>
      </c>
      <c r="J76" s="544">
        <f>$C76*$E$73*VLOOKUP($B76,'Standard values'!$C$9:$S$162,8, FALSE)/$E$202</f>
        <v>3.293773685127135E-3</v>
      </c>
      <c r="K76" s="544">
        <f>$C76*$E$73*VLOOKUP($B76,'Standard values'!$C$9:$S$162,9, FALSE)/$E$202</f>
        <v>6.0978346685243262E-5</v>
      </c>
      <c r="L76" s="419">
        <f>I76*'Standard values'!$D$10+J76*'Standard values'!$D$11+K76*'Standard values'!$D$12</f>
        <v>1.4511667805932897</v>
      </c>
      <c r="M76" s="379"/>
      <c r="N76" s="561">
        <f>L76/$E$74</f>
        <v>51.923066347381877</v>
      </c>
      <c r="O76" s="379"/>
    </row>
    <row r="77" spans="1:15" ht="15.75" x14ac:dyDescent="0.3">
      <c r="A77" s="503"/>
      <c r="B77" s="495" t="s">
        <v>827</v>
      </c>
      <c r="C77" s="675">
        <f>1.4*0.037037037037037</f>
        <v>5.1851851851851795E-2</v>
      </c>
      <c r="D77" s="495" t="s">
        <v>644</v>
      </c>
      <c r="E77" s="503"/>
      <c r="F77" s="495"/>
      <c r="G77" s="495"/>
      <c r="H77" s="495"/>
      <c r="I77" s="544"/>
      <c r="J77" s="544"/>
      <c r="K77" s="544"/>
      <c r="L77" s="419"/>
      <c r="M77" s="379"/>
      <c r="N77" s="562"/>
      <c r="O77" s="379"/>
    </row>
    <row r="78" spans="1:15" x14ac:dyDescent="0.2">
      <c r="A78" s="503"/>
      <c r="B78" s="571" t="s">
        <v>729</v>
      </c>
      <c r="C78" s="566"/>
      <c r="D78" s="566"/>
      <c r="E78" s="567"/>
      <c r="F78" s="568"/>
      <c r="G78" s="568"/>
      <c r="H78" s="568"/>
      <c r="I78" s="569" t="s">
        <v>830</v>
      </c>
      <c r="J78" s="568"/>
      <c r="K78" s="568"/>
      <c r="L78" s="688"/>
      <c r="M78" s="379"/>
      <c r="N78" s="562"/>
      <c r="O78" s="379"/>
    </row>
    <row r="79" spans="1:15" ht="15.75" x14ac:dyDescent="0.3">
      <c r="A79" s="503"/>
      <c r="B79" s="679" t="s">
        <v>826</v>
      </c>
      <c r="C79" s="573"/>
      <c r="D79" s="566"/>
      <c r="E79" s="567"/>
      <c r="F79" s="568"/>
      <c r="G79" s="568"/>
      <c r="H79" s="568"/>
      <c r="I79" s="574">
        <f>$C77*$E$73*VLOOKUP($B79,'Standard values'!$C$9:$S$159,7, FALSE)/$E$202</f>
        <v>0</v>
      </c>
      <c r="J79" s="574">
        <f>$C77*$E$73*VLOOKUP($B79,'Standard values'!$C$9:$S$159,8, FALSE)/$E$202</f>
        <v>1.4894313505424604E-4</v>
      </c>
      <c r="K79" s="574">
        <f>$C77*$E$73*VLOOKUP($B79,'Standard values'!$C$9:$S$159,9, FALSE)/$E$202</f>
        <v>5.957725402169842E-5</v>
      </c>
      <c r="L79" s="575">
        <f>I79*'Standard values'!$D$10+J79*'Standard values'!$D$11+K79*'Standard values'!$D$12</f>
        <v>2.147760007482228E-2</v>
      </c>
      <c r="M79" s="379"/>
      <c r="N79" s="561">
        <f>L79/$E$74</f>
        <v>0.76847325102880593</v>
      </c>
      <c r="O79" s="379"/>
    </row>
    <row r="80" spans="1:15" ht="14.25" x14ac:dyDescent="0.25">
      <c r="A80" s="503"/>
      <c r="B80" s="582" t="s">
        <v>828</v>
      </c>
      <c r="C80" s="536">
        <f>1/0.9</f>
        <v>1.1111111111111112</v>
      </c>
      <c r="D80" s="568" t="s">
        <v>419</v>
      </c>
      <c r="E80" s="567"/>
      <c r="F80" s="568"/>
      <c r="G80" s="568"/>
      <c r="H80" s="568"/>
      <c r="I80" s="574"/>
      <c r="J80" s="581"/>
      <c r="K80" s="581"/>
      <c r="L80" s="575"/>
      <c r="M80" s="379"/>
      <c r="N80" s="562"/>
      <c r="O80" s="379"/>
    </row>
    <row r="81" spans="1:15" ht="29.25" customHeight="1" x14ac:dyDescent="0.3">
      <c r="A81" s="503"/>
      <c r="B81" s="680" t="s">
        <v>158</v>
      </c>
      <c r="C81" s="573">
        <f>C80*C77</f>
        <v>5.7613168724279774E-2</v>
      </c>
      <c r="D81" s="568" t="s">
        <v>644</v>
      </c>
      <c r="E81" s="567"/>
      <c r="F81" s="568"/>
      <c r="G81" s="568"/>
      <c r="H81" s="568"/>
      <c r="I81" s="574">
        <f>$C81*$E$73*VLOOKUP($B81,'Standard values'!$C$9:$S$162,7, FALSE)/$E$202</f>
        <v>3.7512222222222182</v>
      </c>
      <c r="J81" s="574">
        <f>$C81*$E$73*VLOOKUP($B81,'Standard values'!$C$9:$S$162,8, FALSE)/$E$202</f>
        <v>1.180457091491041E-2</v>
      </c>
      <c r="K81" s="574">
        <f>$C81*$E$73*VLOOKUP($B81,'Standard values'!$C$9:$S$162,9, FALSE)/$E$202</f>
        <v>1.3239389782599648E-5</v>
      </c>
      <c r="L81" s="575">
        <f>I81*'Standard values'!$D$10+J81*'Standard values'!$D$11+K81*'Standard values'!$D$12</f>
        <v>4.0502818332501933</v>
      </c>
      <c r="M81" s="379"/>
      <c r="N81" s="561">
        <f>L81/$E$74</f>
        <v>144.9199741655234</v>
      </c>
      <c r="O81" s="379"/>
    </row>
    <row r="82" spans="1:15" ht="14.25" x14ac:dyDescent="0.25">
      <c r="A82" s="503"/>
      <c r="B82" s="582" t="s">
        <v>829</v>
      </c>
      <c r="C82" s="536">
        <v>0.02</v>
      </c>
      <c r="D82" s="568" t="s">
        <v>419</v>
      </c>
      <c r="E82" s="567"/>
      <c r="F82" s="568"/>
      <c r="G82" s="568"/>
      <c r="H82" s="568"/>
      <c r="I82" s="574"/>
      <c r="J82" s="581"/>
      <c r="K82" s="581"/>
      <c r="L82" s="575"/>
      <c r="M82" s="379"/>
      <c r="N82" s="561"/>
      <c r="O82" s="379"/>
    </row>
    <row r="83" spans="1:15" ht="15.75" x14ac:dyDescent="0.3">
      <c r="A83" s="503"/>
      <c r="B83" s="1301" t="s">
        <v>50</v>
      </c>
      <c r="C83" s="573">
        <f>C82*C77</f>
        <v>1.037037037037036E-3</v>
      </c>
      <c r="D83" s="568" t="s">
        <v>644</v>
      </c>
      <c r="E83" s="567"/>
      <c r="F83" s="568"/>
      <c r="G83" s="568"/>
      <c r="H83" s="568"/>
      <c r="I83" s="574">
        <f>$C83*$E$73*VLOOKUP($B83,'Standard values'!$C$9:$S$162,7, FALSE)/$E$202</f>
        <v>0.12800286223344545</v>
      </c>
      <c r="J83" s="574">
        <f>$C83*$E$73*VLOOKUP($B83,'Standard values'!$C$9:$S$162,8, FALSE)/$E$202</f>
        <v>3.1215502244668887E-4</v>
      </c>
      <c r="K83" s="574">
        <f>$C83*$E$73*VLOOKUP($B83,'Standard values'!$C$9:$S$162,9, FALSE)/$E$202</f>
        <v>5.7789936401047457E-6</v>
      </c>
      <c r="L83" s="575">
        <f>I83*'Standard values'!$D$10+J83*'Standard values'!$D$11+K83*'Standard values'!$D$12</f>
        <v>0.13752887789936388</v>
      </c>
      <c r="M83" s="379"/>
      <c r="N83" s="561">
        <f>L83/$E$74</f>
        <v>4.9208134773662504</v>
      </c>
      <c r="O83" s="379"/>
    </row>
    <row r="84" spans="1:15" x14ac:dyDescent="0.2">
      <c r="A84" s="503"/>
      <c r="B84" s="495"/>
      <c r="C84" s="499"/>
      <c r="D84" s="495"/>
      <c r="E84" s="503"/>
      <c r="F84" s="495"/>
      <c r="G84" s="495"/>
      <c r="H84" s="495"/>
      <c r="I84" s="544"/>
      <c r="J84" s="544"/>
      <c r="K84" s="544"/>
      <c r="L84" s="419"/>
      <c r="M84" s="379"/>
      <c r="N84" s="561"/>
      <c r="O84" s="379"/>
    </row>
    <row r="85" spans="1:15" x14ac:dyDescent="0.2">
      <c r="A85" s="503"/>
      <c r="B85" s="511" t="s">
        <v>641</v>
      </c>
      <c r="C85" s="499"/>
      <c r="D85" s="495"/>
      <c r="E85" s="503"/>
      <c r="F85" s="495"/>
      <c r="G85" s="495"/>
      <c r="H85" s="495"/>
      <c r="I85" s="544"/>
      <c r="J85" s="544"/>
      <c r="K85" s="544"/>
      <c r="L85" s="419"/>
      <c r="M85" s="379"/>
      <c r="N85" s="561"/>
      <c r="O85" s="379"/>
    </row>
    <row r="86" spans="1:15" ht="15.75" x14ac:dyDescent="0.3">
      <c r="A86" s="503"/>
      <c r="B86" s="674" t="s">
        <v>1106</v>
      </c>
      <c r="C86" s="675">
        <v>4.0326436781609196E-3</v>
      </c>
      <c r="D86" s="495" t="s">
        <v>644</v>
      </c>
      <c r="E86" s="503"/>
      <c r="F86" s="495"/>
      <c r="G86" s="495"/>
      <c r="H86" s="495"/>
      <c r="I86" s="544">
        <f>$C86*$E$73*VLOOKUP($B86,'Standard values'!$C$9:$S$162,7, FALSE)/$E$202</f>
        <v>0.33395712338906308</v>
      </c>
      <c r="J86" s="544">
        <f>$C86*$E$73*VLOOKUP($B86,'Standard values'!$C$9:$S$162,8, FALSE)/$E$202</f>
        <v>6.069841576686406E-5</v>
      </c>
      <c r="K86" s="544">
        <f>$C86*$E$73*VLOOKUP($B86,'Standard values'!$C$9:$S$162,9, FALSE)/$E$202</f>
        <v>1.1583667131080927E-6</v>
      </c>
      <c r="L86" s="419">
        <f>I86*'Standard values'!$D$10+J86*'Standard values'!$D$11+K86*'Standard values'!$D$12</f>
        <v>0.33581977706374089</v>
      </c>
      <c r="M86" s="379"/>
      <c r="N86" s="561">
        <f>L86/$E$74</f>
        <v>12.015705429885058</v>
      </c>
      <c r="O86" s="379"/>
    </row>
    <row r="87" spans="1:15" x14ac:dyDescent="0.2">
      <c r="A87" s="503"/>
      <c r="B87" s="495"/>
      <c r="C87" s="499"/>
      <c r="D87" s="499"/>
      <c r="E87" s="681"/>
      <c r="F87" s="495"/>
      <c r="G87" s="495"/>
      <c r="H87" s="514" t="s">
        <v>1047</v>
      </c>
      <c r="I87" s="583">
        <f>SUM(I73:I86)</f>
        <v>5.5638330989976357</v>
      </c>
      <c r="J87" s="583">
        <f>SUM(J73:J86)</f>
        <v>1.5620141173305343E-2</v>
      </c>
      <c r="K87" s="583">
        <f>SUM(K73:K86)</f>
        <v>1.4073235084275418E-4</v>
      </c>
      <c r="L87" s="516">
        <f>I87*'Standard values'!$D$10+J87*'Standard values'!$D$11+K87*'Standard values'!$D$12</f>
        <v>5.99627486888141</v>
      </c>
      <c r="M87" s="379"/>
      <c r="N87" s="1201">
        <f>L87/E$74</f>
        <v>214.54803267118538</v>
      </c>
      <c r="O87" s="379"/>
    </row>
    <row r="88" spans="1:15" x14ac:dyDescent="0.2">
      <c r="A88" s="503"/>
      <c r="B88" s="682"/>
      <c r="C88" s="499"/>
      <c r="D88" s="499"/>
      <c r="E88" s="503"/>
      <c r="F88" s="495"/>
      <c r="G88" s="495"/>
      <c r="H88" s="495"/>
      <c r="I88" s="495"/>
      <c r="J88" s="495"/>
      <c r="K88" s="495"/>
      <c r="L88" s="541"/>
      <c r="M88" s="379"/>
      <c r="N88" s="1203"/>
      <c r="O88" s="379"/>
    </row>
    <row r="89" spans="1:15" ht="14.25" x14ac:dyDescent="0.25">
      <c r="A89" s="519"/>
      <c r="B89" s="520"/>
      <c r="C89" s="520"/>
      <c r="D89" s="520"/>
      <c r="E89" s="519"/>
      <c r="F89" s="521"/>
      <c r="G89" s="521"/>
      <c r="H89" s="521" t="s">
        <v>534</v>
      </c>
      <c r="I89" s="520"/>
      <c r="J89" s="523" t="s">
        <v>675</v>
      </c>
      <c r="K89" s="549"/>
      <c r="L89" s="525">
        <f>N87*E$74</f>
        <v>5.99627486888141</v>
      </c>
      <c r="M89" s="379"/>
      <c r="N89" s="390"/>
      <c r="O89" s="379"/>
    </row>
    <row r="90" spans="1:15" x14ac:dyDescent="0.2">
      <c r="A90" s="390"/>
      <c r="B90" s="390"/>
      <c r="C90" s="390"/>
      <c r="D90" s="390"/>
      <c r="E90" s="390"/>
      <c r="F90" s="376"/>
      <c r="G90" s="376"/>
      <c r="H90" s="376"/>
      <c r="I90" s="390"/>
      <c r="J90" s="550"/>
      <c r="K90" s="551"/>
      <c r="L90" s="585"/>
      <c r="M90" s="379"/>
      <c r="N90" s="390"/>
      <c r="O90" s="390"/>
    </row>
    <row r="91" spans="1:15" x14ac:dyDescent="0.2">
      <c r="A91" s="390"/>
      <c r="B91" s="390"/>
      <c r="C91" s="390"/>
      <c r="D91" s="390"/>
      <c r="E91" s="390"/>
      <c r="F91" s="376"/>
      <c r="G91" s="376"/>
      <c r="H91" s="376"/>
      <c r="I91" s="390"/>
      <c r="J91" s="550"/>
      <c r="K91" s="551"/>
      <c r="L91" s="585"/>
      <c r="M91" s="379"/>
      <c r="N91" s="390"/>
      <c r="O91" s="390"/>
    </row>
    <row r="92" spans="1:15" ht="15.75" x14ac:dyDescent="0.25">
      <c r="A92" s="530" t="s">
        <v>1057</v>
      </c>
      <c r="B92" s="531"/>
      <c r="C92" s="531"/>
      <c r="D92" s="531"/>
      <c r="E92" s="608" t="s">
        <v>526</v>
      </c>
      <c r="F92" s="606"/>
      <c r="G92" s="606"/>
      <c r="H92" s="606"/>
      <c r="I92" s="607"/>
      <c r="J92" s="608" t="s">
        <v>675</v>
      </c>
      <c r="K92" s="607"/>
      <c r="L92" s="609">
        <f>L46+L57+L67+L89</f>
        <v>33.960327948536396</v>
      </c>
      <c r="M92" s="379"/>
      <c r="N92" s="390"/>
      <c r="O92" s="390"/>
    </row>
    <row r="93" spans="1:15" ht="15.75" x14ac:dyDescent="0.25">
      <c r="A93" s="610" t="s">
        <v>937</v>
      </c>
      <c r="B93" s="611"/>
      <c r="C93" s="611"/>
      <c r="D93" s="611"/>
      <c r="E93" s="613"/>
      <c r="F93" s="613"/>
      <c r="G93" s="613"/>
      <c r="H93" s="613"/>
      <c r="I93" s="613"/>
      <c r="J93" s="613"/>
      <c r="K93" s="613"/>
      <c r="L93" s="614"/>
      <c r="M93" s="379"/>
      <c r="N93" s="535" t="s">
        <v>162</v>
      </c>
      <c r="O93" s="390"/>
    </row>
    <row r="94" spans="1:15" ht="15.75" x14ac:dyDescent="0.3">
      <c r="A94" s="567"/>
      <c r="B94" s="568"/>
      <c r="C94" s="568"/>
      <c r="D94" s="683"/>
      <c r="E94" s="683"/>
      <c r="F94" s="683"/>
      <c r="G94" s="683"/>
      <c r="H94" s="683" t="s">
        <v>667</v>
      </c>
      <c r="I94" s="684">
        <f>L92</f>
        <v>33.960327948536396</v>
      </c>
      <c r="J94" s="568" t="s">
        <v>847</v>
      </c>
      <c r="K94" s="568"/>
      <c r="L94" s="685"/>
      <c r="M94" s="379"/>
      <c r="N94" s="554" t="s">
        <v>588</v>
      </c>
      <c r="O94" s="390"/>
    </row>
    <row r="95" spans="1:15" ht="15.75" x14ac:dyDescent="0.3">
      <c r="A95" s="567"/>
      <c r="B95" s="568" t="s">
        <v>51</v>
      </c>
      <c r="C95" s="568" t="s">
        <v>704</v>
      </c>
      <c r="D95" s="568"/>
      <c r="E95" s="683" t="s">
        <v>659</v>
      </c>
      <c r="F95" s="686">
        <v>1</v>
      </c>
      <c r="G95" s="686"/>
      <c r="H95" s="568" t="s">
        <v>501</v>
      </c>
      <c r="I95" s="574">
        <f>$I$94*F95/F$97</f>
        <v>22.341570142584434</v>
      </c>
      <c r="J95" s="568" t="s">
        <v>847</v>
      </c>
      <c r="K95" s="568"/>
      <c r="L95" s="685"/>
      <c r="M95" s="379"/>
      <c r="N95" s="540" t="s">
        <v>1056</v>
      </c>
      <c r="O95" s="390"/>
    </row>
    <row r="96" spans="1:15" ht="15.75" x14ac:dyDescent="0.3">
      <c r="A96" s="567"/>
      <c r="B96" s="568" t="s">
        <v>123</v>
      </c>
      <c r="C96" s="568" t="s">
        <v>720</v>
      </c>
      <c r="D96" s="568"/>
      <c r="E96" s="683" t="s">
        <v>134</v>
      </c>
      <c r="F96" s="686">
        <f>C73/C72</f>
        <v>0.52005108556832702</v>
      </c>
      <c r="G96" s="686"/>
      <c r="H96" s="568" t="s">
        <v>501</v>
      </c>
      <c r="I96" s="574">
        <f>$I$94*F96/F$97</f>
        <v>11.618757805951958</v>
      </c>
      <c r="J96" s="568" t="s">
        <v>847</v>
      </c>
      <c r="K96" s="568"/>
      <c r="L96" s="685"/>
      <c r="M96" s="379"/>
      <c r="N96" s="541"/>
      <c r="O96" s="390"/>
    </row>
    <row r="97" spans="1:15" x14ac:dyDescent="0.2">
      <c r="A97" s="567"/>
      <c r="B97" s="568"/>
      <c r="C97" s="568"/>
      <c r="D97" s="568"/>
      <c r="E97" s="568" t="s">
        <v>533</v>
      </c>
      <c r="F97" s="686">
        <f>SUM(F95:F96)</f>
        <v>1.5200510855683271</v>
      </c>
      <c r="G97" s="686"/>
      <c r="H97" s="568" t="s">
        <v>501</v>
      </c>
      <c r="I97" s="568"/>
      <c r="J97" s="568"/>
      <c r="K97" s="568"/>
      <c r="L97" s="685"/>
      <c r="M97" s="379"/>
      <c r="N97" s="541"/>
      <c r="O97" s="390"/>
    </row>
    <row r="98" spans="1:15" ht="14.25" x14ac:dyDescent="0.25">
      <c r="A98" s="519"/>
      <c r="B98" s="520"/>
      <c r="C98" s="520"/>
      <c r="D98" s="520"/>
      <c r="E98" s="523" t="s">
        <v>1058</v>
      </c>
      <c r="F98" s="521"/>
      <c r="G98" s="521"/>
      <c r="H98" s="687"/>
      <c r="I98" s="520"/>
      <c r="J98" s="523" t="s">
        <v>675</v>
      </c>
      <c r="K98" s="687"/>
      <c r="L98" s="525">
        <f>I95</f>
        <v>22.341570142584434</v>
      </c>
      <c r="M98" s="379"/>
      <c r="N98" s="545">
        <f>L98/$E$74</f>
        <v>799.38628993686712</v>
      </c>
      <c r="O98" s="379"/>
    </row>
    <row r="99" spans="1:15" x14ac:dyDescent="0.2">
      <c r="A99" s="390"/>
      <c r="B99" s="390"/>
      <c r="C99" s="390"/>
      <c r="D99" s="379"/>
      <c r="E99" s="379"/>
      <c r="F99" s="551"/>
      <c r="G99" s="551"/>
      <c r="H99" s="437"/>
      <c r="I99" s="378"/>
      <c r="J99" s="379"/>
      <c r="K99" s="379"/>
      <c r="L99" s="586"/>
      <c r="M99" s="379"/>
      <c r="O99" s="379"/>
    </row>
    <row r="100" spans="1:15" x14ac:dyDescent="0.2">
      <c r="A100" s="390"/>
      <c r="B100" s="390"/>
      <c r="C100" s="390"/>
      <c r="D100" s="390"/>
      <c r="E100" s="390"/>
      <c r="F100" s="390"/>
      <c r="G100" s="390"/>
      <c r="H100" s="390"/>
      <c r="I100" s="529"/>
      <c r="J100" s="529"/>
      <c r="K100" s="529"/>
      <c r="L100" s="529"/>
      <c r="M100" s="379"/>
      <c r="N100" s="390"/>
      <c r="O100" s="390"/>
    </row>
    <row r="101" spans="1:15" ht="15.75" x14ac:dyDescent="0.25">
      <c r="A101" s="530" t="s">
        <v>1215</v>
      </c>
      <c r="B101" s="531"/>
      <c r="C101" s="531"/>
      <c r="D101" s="531"/>
      <c r="E101" s="530" t="s">
        <v>513</v>
      </c>
      <c r="F101" s="532"/>
      <c r="G101" s="532"/>
      <c r="H101" s="531"/>
      <c r="I101" s="532" t="s">
        <v>532</v>
      </c>
      <c r="J101" s="533"/>
      <c r="K101" s="533"/>
      <c r="L101" s="534"/>
      <c r="M101" s="379"/>
      <c r="N101" s="535" t="s">
        <v>162</v>
      </c>
      <c r="O101" s="390"/>
    </row>
    <row r="102" spans="1:15" ht="15.75" x14ac:dyDescent="0.3">
      <c r="A102" s="503"/>
      <c r="B102" s="511" t="s">
        <v>1039</v>
      </c>
      <c r="C102" s="593">
        <v>1</v>
      </c>
      <c r="D102" s="495" t="s">
        <v>645</v>
      </c>
      <c r="E102" s="553">
        <f>E72*C102</f>
        <v>37762.149301806327</v>
      </c>
      <c r="F102" s="499" t="s">
        <v>654</v>
      </c>
      <c r="G102" s="499"/>
      <c r="H102" s="495"/>
      <c r="I102" s="492" t="s">
        <v>674</v>
      </c>
      <c r="J102" s="514"/>
      <c r="K102" s="514"/>
      <c r="L102" s="537"/>
      <c r="M102" s="379"/>
      <c r="N102" s="554" t="s">
        <v>714</v>
      </c>
      <c r="O102" s="390"/>
    </row>
    <row r="103" spans="1:15" ht="15.75" x14ac:dyDescent="0.3">
      <c r="A103" s="503"/>
      <c r="B103" s="495"/>
      <c r="C103" s="495"/>
      <c r="D103" s="495"/>
      <c r="E103" s="505">
        <f>E73*C102</f>
        <v>0.65135903608845169</v>
      </c>
      <c r="F103" s="506" t="s">
        <v>707</v>
      </c>
      <c r="G103" s="506"/>
      <c r="H103" s="495"/>
      <c r="I103" s="539" t="s">
        <v>1053</v>
      </c>
      <c r="J103" s="539" t="s">
        <v>1054</v>
      </c>
      <c r="K103" s="539" t="s">
        <v>1055</v>
      </c>
      <c r="L103" s="540" t="s">
        <v>1056</v>
      </c>
      <c r="M103" s="379"/>
      <c r="N103" s="540" t="s">
        <v>1056</v>
      </c>
      <c r="O103" s="390"/>
    </row>
    <row r="104" spans="1:15" x14ac:dyDescent="0.2">
      <c r="A104" s="503"/>
      <c r="B104" s="511" t="s">
        <v>498</v>
      </c>
      <c r="C104" s="495"/>
      <c r="D104" s="495"/>
      <c r="E104" s="505"/>
      <c r="F104" s="506"/>
      <c r="G104" s="506"/>
      <c r="H104" s="495"/>
      <c r="I104" s="539"/>
      <c r="J104" s="539"/>
      <c r="K104" s="539"/>
      <c r="L104" s="540"/>
      <c r="M104" s="379"/>
      <c r="N104" s="541"/>
      <c r="O104" s="390"/>
    </row>
    <row r="105" spans="1:15" ht="15.75" x14ac:dyDescent="0.3">
      <c r="A105" s="503"/>
      <c r="B105" s="495" t="s">
        <v>159</v>
      </c>
      <c r="C105" s="595">
        <v>0</v>
      </c>
      <c r="D105" s="495" t="s">
        <v>510</v>
      </c>
      <c r="E105" s="543">
        <f>(C105*E103)/(VLOOKUP($B102,'Standard values'!$C$9:$S$162,14, FALSE))/1000</f>
        <v>0</v>
      </c>
      <c r="F105" s="495" t="s">
        <v>711</v>
      </c>
      <c r="G105" s="495"/>
      <c r="H105" s="495"/>
      <c r="I105" s="544">
        <f>$E105*VLOOKUP($B105,'Standard values'!$C$9:$S$162,15, FALSE)*VLOOKUP(C106,'Standard values'!$C$9:$S$162,7, FALSE)/$E$202</f>
        <v>0</v>
      </c>
      <c r="J105" s="544">
        <f>$E105*((VLOOKUP($B105,'Standard values'!$C$9:$S$162,15, FALSE)*VLOOKUP(C106,'Standard values'!$C$9:$S$162,8, FALSE))+VLOOKUP($B105,'Standard values'!$C$9:$S$162,16, FALSE))/$E$202</f>
        <v>0</v>
      </c>
      <c r="K105" s="544">
        <f>$E105*((VLOOKUP($B105,'Standard values'!$C$9:$S$162,15, FALSE)*VLOOKUP(C106,'Standard values'!$C$9:$S$162,9, FALSE))+VLOOKUP($B105,'Standard values'!$C$9:$S$162,17, FALSE))/$E$202</f>
        <v>0</v>
      </c>
      <c r="L105" s="516">
        <f>I105*'Standard values'!$D$10+J105*'Standard values'!$D$11+K105*'Standard values'!$D$12</f>
        <v>0</v>
      </c>
      <c r="M105" s="379"/>
      <c r="N105" s="545">
        <f>L105/$E$74</f>
        <v>0</v>
      </c>
      <c r="O105" s="390"/>
    </row>
    <row r="106" spans="1:15" x14ac:dyDescent="0.2">
      <c r="A106" s="503"/>
      <c r="B106" s="546" t="s">
        <v>54</v>
      </c>
      <c r="C106" s="673" t="s">
        <v>509</v>
      </c>
      <c r="D106" s="495"/>
      <c r="E106" s="543"/>
      <c r="F106" s="495"/>
      <c r="G106" s="495"/>
      <c r="H106" s="495"/>
      <c r="I106" s="544"/>
      <c r="J106" s="544"/>
      <c r="K106" s="544"/>
      <c r="L106" s="516"/>
      <c r="M106" s="379"/>
      <c r="O106" s="390"/>
    </row>
    <row r="107" spans="1:15" x14ac:dyDescent="0.2">
      <c r="A107" s="503"/>
      <c r="B107" s="495"/>
      <c r="C107" s="495"/>
      <c r="D107" s="495"/>
      <c r="E107" s="503"/>
      <c r="F107" s="495"/>
      <c r="G107" s="495"/>
      <c r="H107" s="548"/>
      <c r="I107" s="544"/>
      <c r="J107" s="544"/>
      <c r="K107" s="544"/>
      <c r="L107" s="516"/>
      <c r="M107" s="379"/>
      <c r="N107" s="390"/>
      <c r="O107" s="390"/>
    </row>
    <row r="108" spans="1:15" ht="14.25" x14ac:dyDescent="0.25">
      <c r="A108" s="519"/>
      <c r="B108" s="520"/>
      <c r="C108" s="520"/>
      <c r="D108" s="520"/>
      <c r="E108" s="519"/>
      <c r="F108" s="521"/>
      <c r="G108" s="521"/>
      <c r="H108" s="521" t="s">
        <v>534</v>
      </c>
      <c r="I108" s="520"/>
      <c r="J108" s="523" t="s">
        <v>675</v>
      </c>
      <c r="K108" s="549"/>
      <c r="L108" s="525">
        <f>L105</f>
        <v>0</v>
      </c>
      <c r="M108" s="379"/>
      <c r="N108" s="390"/>
      <c r="O108" s="390"/>
    </row>
    <row r="109" spans="1:15" x14ac:dyDescent="0.2">
      <c r="A109" s="390"/>
      <c r="B109" s="390"/>
      <c r="C109" s="390"/>
      <c r="D109" s="390"/>
      <c r="E109" s="390"/>
      <c r="F109" s="376"/>
      <c r="G109" s="376"/>
      <c r="H109" s="376"/>
      <c r="I109" s="390"/>
      <c r="J109" s="550"/>
      <c r="K109" s="551"/>
      <c r="L109" s="552"/>
      <c r="M109" s="379"/>
      <c r="N109" s="379"/>
      <c r="O109" s="379"/>
    </row>
    <row r="110" spans="1:15" x14ac:dyDescent="0.2">
      <c r="A110" s="390"/>
      <c r="B110" s="390"/>
      <c r="C110" s="390"/>
      <c r="D110" s="379"/>
      <c r="E110" s="379"/>
      <c r="F110" s="551"/>
      <c r="G110" s="551"/>
      <c r="H110" s="437"/>
      <c r="I110" s="378"/>
      <c r="J110" s="379"/>
      <c r="K110" s="379"/>
      <c r="L110" s="586"/>
      <c r="M110" s="379"/>
      <c r="N110" s="379"/>
      <c r="O110" s="379"/>
    </row>
    <row r="111" spans="1:15" ht="15.75" x14ac:dyDescent="0.25">
      <c r="A111" s="530" t="s">
        <v>341</v>
      </c>
      <c r="B111" s="531"/>
      <c r="C111" s="531"/>
      <c r="D111" s="531"/>
      <c r="E111" s="530" t="s">
        <v>513</v>
      </c>
      <c r="F111" s="532"/>
      <c r="G111" s="532"/>
      <c r="H111" s="531"/>
      <c r="I111" s="532" t="s">
        <v>532</v>
      </c>
      <c r="J111" s="533"/>
      <c r="K111" s="533"/>
      <c r="L111" s="534"/>
      <c r="M111" s="379"/>
      <c r="N111" s="535" t="s">
        <v>162</v>
      </c>
      <c r="O111" s="379"/>
    </row>
    <row r="112" spans="1:15" x14ac:dyDescent="0.2">
      <c r="A112" s="503"/>
      <c r="B112" s="511" t="s">
        <v>524</v>
      </c>
      <c r="C112" s="495"/>
      <c r="D112" s="495"/>
      <c r="E112" s="553"/>
      <c r="F112" s="499"/>
      <c r="G112" s="499"/>
      <c r="H112" s="495"/>
      <c r="I112" s="492" t="s">
        <v>674</v>
      </c>
      <c r="J112" s="514"/>
      <c r="K112" s="514"/>
      <c r="L112" s="537"/>
      <c r="M112" s="379"/>
      <c r="N112" s="554" t="s">
        <v>541</v>
      </c>
      <c r="O112" s="379"/>
    </row>
    <row r="113" spans="1:15" ht="15.75" x14ac:dyDescent="0.3">
      <c r="A113" s="503"/>
      <c r="B113" s="506" t="s">
        <v>668</v>
      </c>
      <c r="C113" s="720">
        <v>0.96703296703296693</v>
      </c>
      <c r="D113" s="495" t="s">
        <v>346</v>
      </c>
      <c r="E113" s="553">
        <f>E102*C113</f>
        <v>36517.243280867653</v>
      </c>
      <c r="F113" s="499" t="s">
        <v>671</v>
      </c>
      <c r="G113" s="499"/>
      <c r="H113" s="495"/>
      <c r="I113" s="539" t="s">
        <v>1053</v>
      </c>
      <c r="J113" s="539" t="s">
        <v>1054</v>
      </c>
      <c r="K113" s="539" t="s">
        <v>1055</v>
      </c>
      <c r="L113" s="540" t="s">
        <v>1056</v>
      </c>
      <c r="M113" s="379"/>
      <c r="N113" s="540" t="s">
        <v>1056</v>
      </c>
      <c r="O113" s="379"/>
    </row>
    <row r="114" spans="1:15" ht="15.75" x14ac:dyDescent="0.3">
      <c r="A114" s="563"/>
      <c r="B114" s="506"/>
      <c r="C114" s="564"/>
      <c r="D114" s="506"/>
      <c r="E114" s="505">
        <f>E103*C113</f>
        <v>0.6298856612723488</v>
      </c>
      <c r="F114" s="506" t="s">
        <v>707</v>
      </c>
      <c r="G114" s="506"/>
      <c r="H114" s="495"/>
      <c r="I114" s="495"/>
      <c r="J114" s="495"/>
      <c r="K114" s="495"/>
      <c r="L114" s="541"/>
      <c r="M114" s="379"/>
      <c r="N114" s="541"/>
      <c r="O114" s="379"/>
    </row>
    <row r="115" spans="1:15" ht="15.75" x14ac:dyDescent="0.3">
      <c r="A115" s="563"/>
      <c r="B115" s="511" t="s">
        <v>525</v>
      </c>
      <c r="C115" s="495"/>
      <c r="D115" s="506"/>
      <c r="E115" s="557">
        <f>E113/$E$201/VLOOKUP($B72,'Standard values'!$C$9:$S$162,14, FALSE)</f>
        <v>2.7027027027027029E-2</v>
      </c>
      <c r="F115" s="499" t="s">
        <v>537</v>
      </c>
      <c r="G115" s="499"/>
      <c r="H115" s="495"/>
      <c r="I115" s="495"/>
      <c r="J115" s="495"/>
      <c r="K115" s="495"/>
      <c r="L115" s="541"/>
      <c r="M115" s="379"/>
      <c r="N115" s="541"/>
      <c r="O115" s="379"/>
    </row>
    <row r="116" spans="1:15" ht="15.75" x14ac:dyDescent="0.3">
      <c r="A116" s="503"/>
      <c r="B116" s="1301" t="s">
        <v>50</v>
      </c>
      <c r="C116" s="676">
        <f>1.4*-0.00150545454545455</f>
        <v>-2.1076363636363701E-3</v>
      </c>
      <c r="D116" s="495" t="s">
        <v>670</v>
      </c>
      <c r="E116" s="513"/>
      <c r="F116" s="495"/>
      <c r="G116" s="495"/>
      <c r="H116" s="495"/>
      <c r="I116" s="544">
        <f>$C116*$E$114*VLOOKUP($B116,'Standard values'!$C$9:$S$162,7, FALSE)/$E$202</f>
        <v>-0.25157204290909169</v>
      </c>
      <c r="J116" s="544">
        <f>$C116*$E$114*VLOOKUP($B116,'Standard values'!$C$9:$S$162,8, FALSE)/$E$202</f>
        <v>-6.134978181818201E-4</v>
      </c>
      <c r="K116" s="544">
        <f>$C116*$E$114*VLOOKUP($B116,'Standard values'!$C$9:$S$162,9, FALSE)/$E$202</f>
        <v>-1.1357818181818217E-5</v>
      </c>
      <c r="L116" s="419">
        <f>I116*'Standard values'!$D$10+J116*'Standard values'!$D$11+K116*'Standard values'!$D$12</f>
        <v>-0.27029411818181903</v>
      </c>
      <c r="M116" s="379"/>
      <c r="N116" s="562">
        <f>L116/$E$115</f>
        <v>-10.000882372727304</v>
      </c>
      <c r="O116" s="379"/>
    </row>
    <row r="117" spans="1:15" ht="15.75" x14ac:dyDescent="0.3">
      <c r="A117" s="503"/>
      <c r="B117" s="495" t="s">
        <v>827</v>
      </c>
      <c r="C117" s="676">
        <f>1.4*-0.00795454545454546</f>
        <v>-1.1136363636363644E-2</v>
      </c>
      <c r="D117" s="495" t="s">
        <v>670</v>
      </c>
      <c r="E117" s="503"/>
      <c r="F117" s="495"/>
      <c r="G117" s="495"/>
      <c r="H117" s="495"/>
      <c r="I117" s="544"/>
      <c r="J117" s="544"/>
      <c r="K117" s="544"/>
      <c r="L117" s="419"/>
      <c r="M117" s="379"/>
      <c r="N117" s="562"/>
      <c r="O117" s="379"/>
    </row>
    <row r="118" spans="1:15" x14ac:dyDescent="0.2">
      <c r="A118" s="503"/>
      <c r="B118" s="571" t="s">
        <v>729</v>
      </c>
      <c r="C118" s="566"/>
      <c r="D118" s="566"/>
      <c r="E118" s="567"/>
      <c r="F118" s="568"/>
      <c r="G118" s="568"/>
      <c r="H118" s="568"/>
      <c r="I118" s="569" t="s">
        <v>830</v>
      </c>
      <c r="J118" s="568"/>
      <c r="K118" s="568"/>
      <c r="L118" s="570"/>
      <c r="M118" s="379"/>
      <c r="N118" s="562"/>
      <c r="O118" s="379"/>
    </row>
    <row r="119" spans="1:15" ht="15.75" x14ac:dyDescent="0.3">
      <c r="A119" s="503"/>
      <c r="B119" s="679" t="s">
        <v>826</v>
      </c>
      <c r="C119" s="573"/>
      <c r="D119" s="566"/>
      <c r="E119" s="567"/>
      <c r="F119" s="568"/>
      <c r="G119" s="568"/>
      <c r="H119" s="568"/>
      <c r="I119" s="574">
        <f>$C117*$E$114*VLOOKUP($B119,'Standard values'!$C$9:$S$159,7, FALSE)/$E$202</f>
        <v>0</v>
      </c>
      <c r="J119" s="574">
        <f>$C117*$E$114*VLOOKUP($B119,'Standard values'!$C$9:$S$159,8, FALSE)/$E$202</f>
        <v>-3.0934343434343456E-5</v>
      </c>
      <c r="K119" s="574">
        <f>$C117*$E$114*VLOOKUP($B119,'Standard values'!$C$9:$S$159,9, FALSE)/$E$202</f>
        <v>-1.2373737373737383E-5</v>
      </c>
      <c r="L119" s="575">
        <f>I119*'Standard values'!$D$10+J119*'Standard values'!$D$11+K119*'Standard values'!$D$12</f>
        <v>-4.4607323232323266E-3</v>
      </c>
      <c r="M119" s="379"/>
      <c r="N119" s="562">
        <f>L119/$E$115</f>
        <v>-0.16504709595959607</v>
      </c>
      <c r="O119" s="379"/>
    </row>
    <row r="120" spans="1:15" ht="14.25" x14ac:dyDescent="0.25">
      <c r="A120" s="503"/>
      <c r="B120" s="582" t="s">
        <v>828</v>
      </c>
      <c r="C120" s="536">
        <f>1/0.9</f>
        <v>1.1111111111111112</v>
      </c>
      <c r="D120" s="568" t="s">
        <v>419</v>
      </c>
      <c r="E120" s="567"/>
      <c r="F120" s="568"/>
      <c r="G120" s="568"/>
      <c r="H120" s="568"/>
      <c r="I120" s="574"/>
      <c r="J120" s="581"/>
      <c r="K120" s="581"/>
      <c r="L120" s="575"/>
      <c r="M120" s="379"/>
      <c r="N120" s="562"/>
      <c r="O120" s="379"/>
    </row>
    <row r="121" spans="1:15" ht="29.25" customHeight="1" x14ac:dyDescent="0.3">
      <c r="A121" s="503"/>
      <c r="B121" s="680" t="s">
        <v>158</v>
      </c>
      <c r="C121" s="573">
        <f>C120*C117</f>
        <v>-1.2373737373737382E-2</v>
      </c>
      <c r="D121" s="568" t="s">
        <v>848</v>
      </c>
      <c r="E121" s="567"/>
      <c r="F121" s="568"/>
      <c r="G121" s="568"/>
      <c r="H121" s="568"/>
      <c r="I121" s="574">
        <f>$C121*$E$114*VLOOKUP($B121,'Standard values'!$C$9:$S$162,7, FALSE)/$E$202</f>
        <v>-0.77910000000000057</v>
      </c>
      <c r="J121" s="574">
        <f>$C121*$E$114*VLOOKUP($B121,'Standard values'!$C$9:$S$162,8, FALSE)/$E$202</f>
        <v>-2.4517185746352429E-3</v>
      </c>
      <c r="K121" s="574">
        <f>$C121*$E$114*VLOOKUP($B121,'Standard values'!$C$9:$S$162,9, FALSE)/$E$202</f>
        <v>-2.7497194163860851E-6</v>
      </c>
      <c r="L121" s="575">
        <f>I121*'Standard values'!$D$10+J121*'Standard values'!$D$11+K121*'Standard values'!$D$12</f>
        <v>-0.84121238075196469</v>
      </c>
      <c r="M121" s="379"/>
      <c r="N121" s="562">
        <f>L121/$E$115</f>
        <v>-31.124858087822691</v>
      </c>
      <c r="O121" s="379"/>
    </row>
    <row r="122" spans="1:15" ht="14.25" x14ac:dyDescent="0.25">
      <c r="A122" s="503"/>
      <c r="B122" s="582" t="s">
        <v>829</v>
      </c>
      <c r="C122" s="536">
        <v>0.02</v>
      </c>
      <c r="D122" s="568" t="s">
        <v>419</v>
      </c>
      <c r="E122" s="567"/>
      <c r="F122" s="568"/>
      <c r="G122" s="568"/>
      <c r="H122" s="568"/>
      <c r="I122" s="574"/>
      <c r="J122" s="581"/>
      <c r="K122" s="581"/>
      <c r="L122" s="575"/>
      <c r="M122" s="379"/>
      <c r="N122" s="562"/>
      <c r="O122" s="379"/>
    </row>
    <row r="123" spans="1:15" ht="15.75" x14ac:dyDescent="0.3">
      <c r="A123" s="503"/>
      <c r="B123" s="1301" t="s">
        <v>50</v>
      </c>
      <c r="C123" s="573">
        <f>C122*C117</f>
        <v>-2.2272727272727288E-4</v>
      </c>
      <c r="D123" s="568" t="s">
        <v>848</v>
      </c>
      <c r="E123" s="567"/>
      <c r="F123" s="568"/>
      <c r="G123" s="568"/>
      <c r="H123" s="568"/>
      <c r="I123" s="574">
        <f>$C123*$E$114*VLOOKUP($B123,'Standard values'!$C$9:$S$162,7, FALSE)/$E$202</f>
        <v>-2.6585209848484864E-2</v>
      </c>
      <c r="J123" s="574">
        <f>$C123*$E$114*VLOOKUP($B123,'Standard values'!$C$9:$S$162,8, FALSE)/$E$202</f>
        <v>-6.4832196969697014E-5</v>
      </c>
      <c r="K123" s="574">
        <f>$C123*$E$114*VLOOKUP($B123,'Standard values'!$C$9:$S$162,9, FALSE)/$E$202</f>
        <v>-1.200252525252526E-6</v>
      </c>
      <c r="L123" s="575">
        <f>I123*'Standard values'!$D$10+J123*'Standard values'!$D$11+K123*'Standard values'!$D$12</f>
        <v>-2.8563690025252542E-2</v>
      </c>
      <c r="M123" s="379"/>
      <c r="N123" s="562">
        <f>L123/$E$115</f>
        <v>-1.0568565309343441</v>
      </c>
      <c r="O123" s="379"/>
    </row>
    <row r="124" spans="1:15" x14ac:dyDescent="0.2">
      <c r="A124" s="503"/>
      <c r="B124" s="495"/>
      <c r="C124" s="499"/>
      <c r="D124" s="495"/>
      <c r="E124" s="503"/>
      <c r="F124" s="495"/>
      <c r="G124" s="495"/>
      <c r="H124" s="495"/>
      <c r="I124" s="544"/>
      <c r="J124" s="544"/>
      <c r="K124" s="544"/>
      <c r="L124" s="419"/>
      <c r="M124" s="379"/>
      <c r="N124" s="562"/>
      <c r="O124" s="379"/>
    </row>
    <row r="125" spans="1:15" x14ac:dyDescent="0.2">
      <c r="A125" s="503"/>
      <c r="B125" s="511" t="s">
        <v>641</v>
      </c>
      <c r="C125" s="499"/>
      <c r="D125" s="495"/>
      <c r="E125" s="503"/>
      <c r="F125" s="495"/>
      <c r="G125" s="495"/>
      <c r="H125" s="495"/>
      <c r="I125" s="544"/>
      <c r="J125" s="544"/>
      <c r="K125" s="544"/>
      <c r="L125" s="419"/>
      <c r="M125" s="379"/>
      <c r="N125" s="562"/>
      <c r="O125" s="379"/>
    </row>
    <row r="126" spans="1:15" ht="15.75" x14ac:dyDescent="0.3">
      <c r="A126" s="503"/>
      <c r="B126" s="674" t="s">
        <v>1109</v>
      </c>
      <c r="C126" s="676">
        <f>1.4*0.0856818181818182</f>
        <v>0.11995454545454548</v>
      </c>
      <c r="D126" s="495" t="s">
        <v>670</v>
      </c>
      <c r="E126" s="503"/>
      <c r="F126" s="495"/>
      <c r="G126" s="495"/>
      <c r="H126" s="495"/>
      <c r="I126" s="544">
        <f>$C126*$E$114*VLOOKUP($B126,'Standard values'!$C$9:$S$162,7, FALSE)/$E$202</f>
        <v>9.7005408270202054</v>
      </c>
      <c r="J126" s="544">
        <f>$C126*$E$114*VLOOKUP($B126,'Standard values'!$C$9:$S$162,8, FALSE)/$E$202</f>
        <v>3.3164099747474751E-2</v>
      </c>
      <c r="K126" s="544">
        <f>$C126*$E$114*VLOOKUP($B126,'Standard values'!$C$9:$S$162,9, FALSE)/$E$202</f>
        <v>3.6652777777777785E-5</v>
      </c>
      <c r="L126" s="419">
        <f>I126*'Standard values'!$D$10+J126*'Standard values'!$D$11+K126*'Standard values'!$D$12</f>
        <v>10.540565848484851</v>
      </c>
      <c r="M126" s="379"/>
      <c r="N126" s="562">
        <f>L126/$E$115</f>
        <v>390.00093639393947</v>
      </c>
      <c r="O126" s="379"/>
    </row>
    <row r="127" spans="1:15" x14ac:dyDescent="0.2">
      <c r="A127" s="503"/>
      <c r="B127" s="682"/>
      <c r="C127" s="499"/>
      <c r="D127" s="499"/>
      <c r="E127" s="681"/>
      <c r="F127" s="495"/>
      <c r="G127" s="495"/>
      <c r="H127" s="514" t="s">
        <v>1047</v>
      </c>
      <c r="I127" s="583">
        <f>SUM(I114:I126)</f>
        <v>8.6432835742626288</v>
      </c>
      <c r="J127" s="583">
        <f>SUM(J114:J126)</f>
        <v>3.0003116814253647E-2</v>
      </c>
      <c r="K127" s="583">
        <f>SUM(K114:K126)</f>
        <v>8.9712502805835736E-6</v>
      </c>
      <c r="L127" s="516">
        <f>I127*'Standard values'!$D$10+J127*'Standard values'!$D$11+K127*'Standard values'!$D$12</f>
        <v>9.3960349272025834</v>
      </c>
      <c r="M127" s="379"/>
      <c r="N127" s="545">
        <f>L127/$E$115</f>
        <v>347.65329230649559</v>
      </c>
      <c r="O127" s="379"/>
    </row>
    <row r="128" spans="1:15" x14ac:dyDescent="0.2">
      <c r="A128" s="503"/>
      <c r="B128" s="682"/>
      <c r="C128" s="499"/>
      <c r="D128" s="499"/>
      <c r="E128" s="503"/>
      <c r="F128" s="495"/>
      <c r="G128" s="495"/>
      <c r="H128" s="495"/>
      <c r="I128" s="495"/>
      <c r="J128" s="495"/>
      <c r="K128" s="495"/>
      <c r="L128" s="541"/>
      <c r="M128" s="379"/>
      <c r="N128" s="390"/>
      <c r="O128" s="379"/>
    </row>
    <row r="129" spans="1:15" ht="14.25" x14ac:dyDescent="0.25">
      <c r="A129" s="519"/>
      <c r="B129" s="520"/>
      <c r="C129" s="520"/>
      <c r="D129" s="520"/>
      <c r="E129" s="519"/>
      <c r="F129" s="521"/>
      <c r="G129" s="521"/>
      <c r="H129" s="521" t="s">
        <v>534</v>
      </c>
      <c r="I129" s="520"/>
      <c r="J129" s="523" t="s">
        <v>675</v>
      </c>
      <c r="K129" s="549"/>
      <c r="L129" s="525">
        <f>L127</f>
        <v>9.3960349272025834</v>
      </c>
      <c r="M129" s="379"/>
      <c r="N129" s="390"/>
      <c r="O129" s="379"/>
    </row>
    <row r="130" spans="1:15" x14ac:dyDescent="0.2">
      <c r="A130" s="390"/>
      <c r="B130" s="390"/>
      <c r="C130" s="390"/>
      <c r="D130" s="379"/>
      <c r="E130" s="379"/>
      <c r="F130" s="551"/>
      <c r="G130" s="551"/>
      <c r="H130" s="437"/>
      <c r="I130" s="378"/>
      <c r="J130" s="379"/>
      <c r="K130" s="379"/>
      <c r="L130" s="586"/>
      <c r="M130" s="379"/>
      <c r="N130" s="379"/>
      <c r="O130" s="379"/>
    </row>
    <row r="131" spans="1:15" x14ac:dyDescent="0.2">
      <c r="A131" s="375"/>
      <c r="B131" s="585"/>
      <c r="C131" s="386"/>
      <c r="D131" s="390"/>
      <c r="E131" s="379"/>
      <c r="F131" s="379"/>
      <c r="G131" s="379"/>
      <c r="H131" s="379"/>
      <c r="I131" s="379"/>
      <c r="J131" s="591"/>
      <c r="K131" s="379"/>
      <c r="L131" s="379"/>
      <c r="M131" s="379"/>
      <c r="N131" s="379"/>
      <c r="O131" s="379"/>
    </row>
    <row r="132" spans="1:15" ht="15.75" x14ac:dyDescent="0.25">
      <c r="A132" s="530" t="s">
        <v>813</v>
      </c>
      <c r="B132" s="532"/>
      <c r="C132" s="531"/>
      <c r="D132" s="531"/>
      <c r="E132" s="530" t="s">
        <v>513</v>
      </c>
      <c r="F132" s="532"/>
      <c r="G132" s="532"/>
      <c r="H132" s="531"/>
      <c r="I132" s="532" t="s">
        <v>532</v>
      </c>
      <c r="J132" s="533"/>
      <c r="K132" s="533"/>
      <c r="L132" s="534"/>
      <c r="M132" s="379"/>
      <c r="N132" s="535" t="s">
        <v>162</v>
      </c>
      <c r="O132" s="379"/>
    </row>
    <row r="133" spans="1:15" ht="15.75" x14ac:dyDescent="0.3">
      <c r="A133" s="503"/>
      <c r="B133" s="511" t="s">
        <v>668</v>
      </c>
      <c r="C133" s="593">
        <v>1</v>
      </c>
      <c r="D133" s="495" t="s">
        <v>669</v>
      </c>
      <c r="E133" s="513">
        <f>E113*C133</f>
        <v>36517.243280867653</v>
      </c>
      <c r="F133" s="499" t="s">
        <v>671</v>
      </c>
      <c r="G133" s="499"/>
      <c r="H133" s="594"/>
      <c r="I133" s="492" t="s">
        <v>674</v>
      </c>
      <c r="J133" s="514"/>
      <c r="K133" s="514"/>
      <c r="L133" s="537"/>
      <c r="M133" s="379"/>
      <c r="N133" s="554" t="s">
        <v>539</v>
      </c>
      <c r="O133" s="379"/>
    </row>
    <row r="134" spans="1:15" ht="15.75" x14ac:dyDescent="0.3">
      <c r="A134" s="503"/>
      <c r="B134" s="495"/>
      <c r="C134" s="689"/>
      <c r="D134" s="495"/>
      <c r="E134" s="505">
        <f>E114*C133</f>
        <v>0.6298856612723488</v>
      </c>
      <c r="F134" s="506" t="s">
        <v>707</v>
      </c>
      <c r="G134" s="506"/>
      <c r="H134" s="594"/>
      <c r="I134" s="539" t="s">
        <v>1053</v>
      </c>
      <c r="J134" s="539" t="s">
        <v>1054</v>
      </c>
      <c r="K134" s="539" t="s">
        <v>1055</v>
      </c>
      <c r="L134" s="540" t="s">
        <v>1056</v>
      </c>
      <c r="M134" s="379"/>
      <c r="N134" s="540" t="s">
        <v>1056</v>
      </c>
      <c r="O134" s="379"/>
    </row>
    <row r="135" spans="1:15" x14ac:dyDescent="0.2">
      <c r="A135" s="503"/>
      <c r="B135" s="511" t="s">
        <v>498</v>
      </c>
      <c r="C135" s="689"/>
      <c r="D135" s="495"/>
      <c r="E135" s="513"/>
      <c r="F135" s="495"/>
      <c r="G135" s="495"/>
      <c r="H135" s="495"/>
      <c r="I135" s="495"/>
      <c r="J135" s="495"/>
      <c r="K135" s="495"/>
      <c r="L135" s="541"/>
      <c r="M135" s="379"/>
      <c r="N135" s="541"/>
      <c r="O135" s="379"/>
    </row>
    <row r="136" spans="1:15" ht="15.75" x14ac:dyDescent="0.3">
      <c r="A136" s="503"/>
      <c r="B136" s="495" t="s">
        <v>159</v>
      </c>
      <c r="C136" s="595">
        <v>150</v>
      </c>
      <c r="D136" s="495" t="s">
        <v>510</v>
      </c>
      <c r="E136" s="543">
        <f>(C136*E134/VLOOKUP($B133,'Standard values'!$C$9:$S$162,14, FALSE))/1000</f>
        <v>2.1473374816102799E-3</v>
      </c>
      <c r="F136" s="495" t="s">
        <v>711</v>
      </c>
      <c r="G136" s="495"/>
      <c r="H136" s="495"/>
      <c r="I136" s="544">
        <f>$E136*VLOOKUP($B136,'Standard values'!$C$9:$S$162,15, FALSE)*VLOOKUP(C137,'Standard values'!$C$9:$S$162,7, FALSE)/$E$202</f>
        <v>0.30115909090909088</v>
      </c>
      <c r="J136" s="544">
        <f>$E136*((VLOOKUP($B136,'Standard values'!$C$9:$S$162,15, FALSE)*VLOOKUP(C137,'Standard values'!$C$9:$S$162,8, FALSE))+VLOOKUP($B136,'Standard values'!$C$9:$S$162,16, FALSE))/$E$202</f>
        <v>1.7045454545454546E-5</v>
      </c>
      <c r="K136" s="544">
        <f>$E136*((VLOOKUP($B136,'Standard values'!$C$9:$S$162,15, FALSE)*VLOOKUP(C137,'Standard values'!$C$9:$S$162,9, FALSE))+VLOOKUP($B136,'Standard values'!$C$9:$S$162,17, FALSE))/$E$202</f>
        <v>0</v>
      </c>
      <c r="L136" s="516">
        <f>I136*'Standard values'!$D$10+J136*'Standard values'!$D$11+K136*'Standard values'!$D$12</f>
        <v>0.30158522727272724</v>
      </c>
      <c r="M136" s="379"/>
      <c r="N136" s="562">
        <f>L136/$E$115</f>
        <v>11.158653409090908</v>
      </c>
      <c r="O136" s="379"/>
    </row>
    <row r="137" spans="1:15" x14ac:dyDescent="0.2">
      <c r="A137" s="503"/>
      <c r="B137" s="546" t="s">
        <v>54</v>
      </c>
      <c r="C137" s="673" t="s">
        <v>509</v>
      </c>
      <c r="D137" s="495"/>
      <c r="E137" s="503"/>
      <c r="F137" s="495"/>
      <c r="G137" s="495"/>
      <c r="H137" s="495"/>
      <c r="I137" s="544"/>
      <c r="J137" s="544"/>
      <c r="K137" s="544"/>
      <c r="L137" s="516"/>
      <c r="M137" s="379"/>
      <c r="N137" s="562"/>
      <c r="O137" s="379"/>
    </row>
    <row r="138" spans="1:15" x14ac:dyDescent="0.2">
      <c r="A138" s="503"/>
      <c r="B138" s="495"/>
      <c r="C138" s="689"/>
      <c r="D138" s="495"/>
      <c r="E138" s="543"/>
      <c r="F138" s="495"/>
      <c r="G138" s="495"/>
      <c r="H138" s="495"/>
      <c r="I138" s="544"/>
      <c r="J138" s="544"/>
      <c r="K138" s="544"/>
      <c r="L138" s="516"/>
      <c r="M138" s="379"/>
      <c r="N138" s="562"/>
      <c r="O138" s="379"/>
    </row>
    <row r="139" spans="1:15" x14ac:dyDescent="0.2">
      <c r="A139" s="503"/>
      <c r="B139" s="511" t="s">
        <v>444</v>
      </c>
      <c r="C139" s="689"/>
      <c r="D139" s="495"/>
      <c r="E139" s="503"/>
      <c r="F139" s="495"/>
      <c r="G139" s="495"/>
      <c r="H139" s="495"/>
      <c r="I139" s="544"/>
      <c r="J139" s="544"/>
      <c r="K139" s="544"/>
      <c r="L139" s="584"/>
      <c r="M139" s="379"/>
      <c r="N139" s="562"/>
      <c r="O139" s="379"/>
    </row>
    <row r="140" spans="1:15" ht="15.75" x14ac:dyDescent="0.3">
      <c r="A140" s="590"/>
      <c r="B140" s="1301" t="s">
        <v>49</v>
      </c>
      <c r="C140" s="542">
        <v>8.4000000000000003E-4</v>
      </c>
      <c r="D140" s="495" t="s">
        <v>848</v>
      </c>
      <c r="E140" s="503"/>
      <c r="F140" s="495"/>
      <c r="G140" s="495"/>
      <c r="H140" s="495"/>
      <c r="I140" s="544">
        <f>$C140*$E$134*VLOOKUP($B140,'Standard values'!$C$9:$S$162,7, FALSE)/$E$202</f>
        <v>0.10146738000000001</v>
      </c>
      <c r="J140" s="544">
        <f>$C140*$E$134*VLOOKUP($B140,'Standard values'!$C$9:$S$162,8, FALSE)/$E$202</f>
        <v>2.4745000000000002E-4</v>
      </c>
      <c r="K140" s="544">
        <f>$C140*$E$134*VLOOKUP($B140,'Standard values'!$C$9:$S$162,9, FALSE)/$E$202</f>
        <v>4.5966666666666678E-6</v>
      </c>
      <c r="L140" s="516">
        <f>I140*'Standard values'!$D$10+J140*'Standard values'!$D$11+K140*'Standard values'!$D$12</f>
        <v>0.10902343666666668</v>
      </c>
      <c r="M140" s="379"/>
      <c r="N140" s="562">
        <f>L140/$E$115</f>
        <v>4.0338671566666671</v>
      </c>
      <c r="O140" s="379"/>
    </row>
    <row r="141" spans="1:15" ht="14.25" x14ac:dyDescent="0.25">
      <c r="A141" s="519"/>
      <c r="B141" s="520"/>
      <c r="C141" s="520"/>
      <c r="D141" s="520"/>
      <c r="E141" s="519"/>
      <c r="F141" s="521"/>
      <c r="G141" s="521"/>
      <c r="H141" s="521" t="s">
        <v>534</v>
      </c>
      <c r="I141" s="520"/>
      <c r="J141" s="523" t="s">
        <v>675</v>
      </c>
      <c r="K141" s="549"/>
      <c r="L141" s="525">
        <f>L140+L136</f>
        <v>0.41060866393939394</v>
      </c>
      <c r="M141" s="379"/>
      <c r="N141" s="545">
        <f>L141/$E$115</f>
        <v>15.192520565757574</v>
      </c>
      <c r="O141" s="379"/>
    </row>
    <row r="142" spans="1:15" x14ac:dyDescent="0.2">
      <c r="A142" s="390"/>
      <c r="B142" s="390"/>
      <c r="C142" s="390"/>
      <c r="D142" s="390"/>
      <c r="E142" s="390"/>
      <c r="F142" s="376"/>
      <c r="G142" s="376"/>
      <c r="H142" s="376"/>
      <c r="I142" s="390"/>
      <c r="J142" s="550"/>
      <c r="K142" s="551"/>
      <c r="L142" s="552"/>
      <c r="M142" s="379"/>
      <c r="N142" s="390"/>
      <c r="O142" s="379"/>
    </row>
    <row r="143" spans="1:15" x14ac:dyDescent="0.2">
      <c r="A143" s="390"/>
      <c r="B143" s="390"/>
      <c r="C143" s="390"/>
      <c r="D143" s="390"/>
      <c r="E143" s="390"/>
      <c r="F143" s="376"/>
      <c r="G143" s="376"/>
      <c r="H143" s="376"/>
      <c r="I143" s="390"/>
      <c r="J143" s="550"/>
      <c r="K143" s="551"/>
      <c r="L143" s="552"/>
      <c r="M143" s="379"/>
      <c r="N143" s="379"/>
      <c r="O143" s="379"/>
    </row>
    <row r="144" spans="1:15" ht="15.75" x14ac:dyDescent="0.25">
      <c r="A144" s="530" t="s">
        <v>810</v>
      </c>
      <c r="B144" s="531"/>
      <c r="C144" s="531"/>
      <c r="D144" s="531"/>
      <c r="E144" s="530" t="s">
        <v>513</v>
      </c>
      <c r="F144" s="531"/>
      <c r="G144" s="531"/>
      <c r="H144" s="531"/>
      <c r="I144" s="531"/>
      <c r="J144" s="531"/>
      <c r="K144" s="531"/>
      <c r="L144" s="596"/>
      <c r="M144" s="379"/>
      <c r="N144" s="535" t="s">
        <v>162</v>
      </c>
      <c r="O144" s="379"/>
    </row>
    <row r="145" spans="1:15" ht="15.75" x14ac:dyDescent="0.3">
      <c r="A145" s="503"/>
      <c r="B145" s="511" t="s">
        <v>668</v>
      </c>
      <c r="C145" s="593">
        <v>1</v>
      </c>
      <c r="D145" s="495" t="s">
        <v>669</v>
      </c>
      <c r="E145" s="513">
        <f>E133*C145</f>
        <v>36517.243280867653</v>
      </c>
      <c r="F145" s="499" t="s">
        <v>671</v>
      </c>
      <c r="G145" s="499"/>
      <c r="H145" s="495"/>
      <c r="I145" s="492" t="s">
        <v>674</v>
      </c>
      <c r="J145" s="514"/>
      <c r="K145" s="514"/>
      <c r="L145" s="537"/>
      <c r="M145" s="379"/>
      <c r="N145" s="554" t="s">
        <v>539</v>
      </c>
      <c r="O145" s="379"/>
    </row>
    <row r="146" spans="1:15" ht="15.75" x14ac:dyDescent="0.3">
      <c r="A146" s="503"/>
      <c r="B146" s="495"/>
      <c r="C146" s="689"/>
      <c r="D146" s="495"/>
      <c r="E146" s="505">
        <f>E134*C145</f>
        <v>0.6298856612723488</v>
      </c>
      <c r="F146" s="506" t="s">
        <v>707</v>
      </c>
      <c r="G146" s="506"/>
      <c r="H146" s="495"/>
      <c r="I146" s="539" t="s">
        <v>1053</v>
      </c>
      <c r="J146" s="539" t="s">
        <v>1054</v>
      </c>
      <c r="K146" s="539" t="s">
        <v>1055</v>
      </c>
      <c r="L146" s="540" t="s">
        <v>1056</v>
      </c>
      <c r="M146" s="379"/>
      <c r="N146" s="540" t="s">
        <v>1056</v>
      </c>
      <c r="O146" s="379"/>
    </row>
    <row r="147" spans="1:15" x14ac:dyDescent="0.2">
      <c r="A147" s="503"/>
      <c r="B147" s="511" t="s">
        <v>498</v>
      </c>
      <c r="C147" s="689"/>
      <c r="D147" s="495"/>
      <c r="E147" s="513"/>
      <c r="F147" s="495"/>
      <c r="G147" s="495"/>
      <c r="H147" s="495"/>
      <c r="I147" s="495"/>
      <c r="J147" s="495"/>
      <c r="K147" s="495"/>
      <c r="L147" s="541"/>
      <c r="M147" s="379"/>
      <c r="N147" s="541"/>
      <c r="O147" s="379"/>
    </row>
    <row r="148" spans="1:15" ht="15.75" x14ac:dyDescent="0.3">
      <c r="A148" s="503"/>
      <c r="B148" s="495" t="s">
        <v>159</v>
      </c>
      <c r="C148" s="595">
        <v>150</v>
      </c>
      <c r="D148" s="495" t="s">
        <v>510</v>
      </c>
      <c r="E148" s="543">
        <f>(C148*E146/VLOOKUP($B145,'Standard values'!$C$9:$S$162,14, FALSE))/1000</f>
        <v>2.1473374816102799E-3</v>
      </c>
      <c r="F148" s="495" t="s">
        <v>711</v>
      </c>
      <c r="G148" s="495"/>
      <c r="H148" s="495"/>
      <c r="I148" s="544">
        <f>$E148*VLOOKUP($B148,'Standard values'!$C$9:$S$162,15, FALSE)*VLOOKUP(C149,'Standard values'!$C$9:$S$162,7, FALSE)/$E$202</f>
        <v>0.30115909090909088</v>
      </c>
      <c r="J148" s="544">
        <f>$E148*((VLOOKUP($B148,'Standard values'!$C$9:$S$162,15, FALSE)*VLOOKUP(C149,'Standard values'!$C$9:$S$162,8, FALSE))+VLOOKUP($B148,'Standard values'!$C$9:$S$162,16, FALSE))/$E$202</f>
        <v>1.7045454545454546E-5</v>
      </c>
      <c r="K148" s="544">
        <f>$E148*((VLOOKUP($B148,'Standard values'!$C$9:$S$162,15, FALSE)*VLOOKUP(C149,'Standard values'!$C$9:$S$162,9, FALSE))+VLOOKUP($B148,'Standard values'!$C$9:$S$162,17, FALSE))/$E$202</f>
        <v>0</v>
      </c>
      <c r="L148" s="516">
        <f>I148*'Standard values'!$D$10+J148*'Standard values'!$D$11+K148*'Standard values'!$D$12</f>
        <v>0.30158522727272724</v>
      </c>
      <c r="M148" s="379"/>
      <c r="N148" s="562">
        <f>L148/$E$115</f>
        <v>11.158653409090908</v>
      </c>
      <c r="O148" s="379"/>
    </row>
    <row r="149" spans="1:15" x14ac:dyDescent="0.2">
      <c r="A149" s="503"/>
      <c r="B149" s="546" t="s">
        <v>54</v>
      </c>
      <c r="C149" s="673" t="s">
        <v>509</v>
      </c>
      <c r="D149" s="495"/>
      <c r="E149" s="503"/>
      <c r="F149" s="495"/>
      <c r="G149" s="495"/>
      <c r="H149" s="495"/>
      <c r="I149" s="544"/>
      <c r="J149" s="544"/>
      <c r="K149" s="544"/>
      <c r="L149" s="516"/>
      <c r="M149" s="379"/>
      <c r="N149" s="562"/>
      <c r="O149" s="379"/>
    </row>
    <row r="150" spans="1:15" x14ac:dyDescent="0.2">
      <c r="A150" s="503"/>
      <c r="B150" s="495"/>
      <c r="C150" s="689"/>
      <c r="D150" s="495"/>
      <c r="E150" s="505"/>
      <c r="F150" s="506"/>
      <c r="G150" s="506"/>
      <c r="H150" s="495"/>
      <c r="I150" s="539"/>
      <c r="J150" s="539"/>
      <c r="K150" s="539"/>
      <c r="L150" s="690"/>
      <c r="M150" s="379"/>
      <c r="N150" s="540"/>
      <c r="O150" s="379"/>
    </row>
    <row r="151" spans="1:15" x14ac:dyDescent="0.2">
      <c r="A151" s="503"/>
      <c r="B151" s="511" t="s">
        <v>441</v>
      </c>
      <c r="C151" s="689"/>
      <c r="D151" s="495"/>
      <c r="E151" s="503"/>
      <c r="F151" s="495"/>
      <c r="G151" s="495"/>
      <c r="H151" s="495"/>
      <c r="I151" s="544"/>
      <c r="J151" s="544"/>
      <c r="K151" s="544"/>
      <c r="L151" s="584"/>
      <c r="M151" s="379"/>
      <c r="N151" s="541"/>
      <c r="O151" s="379"/>
    </row>
    <row r="152" spans="1:15" ht="15.75" x14ac:dyDescent="0.3">
      <c r="A152" s="503"/>
      <c r="B152" s="1301" t="s">
        <v>49</v>
      </c>
      <c r="C152" s="542">
        <v>3.3999999999999998E-3</v>
      </c>
      <c r="D152" s="495" t="s">
        <v>848</v>
      </c>
      <c r="E152" s="503"/>
      <c r="F152" s="495"/>
      <c r="G152" s="495"/>
      <c r="H152" s="495"/>
      <c r="I152" s="544">
        <f>$C152*$E$146*VLOOKUP($B152,'Standard values'!$C$9:$S$162,7, FALSE)/$E$202</f>
        <v>0.41070129999999999</v>
      </c>
      <c r="J152" s="544">
        <f>$C152*$E$146*VLOOKUP($B152,'Standard values'!$C$9:$S$162,8, FALSE)/$E$202</f>
        <v>1.0015833333333333E-3</v>
      </c>
      <c r="K152" s="544">
        <f>$C152*$E$146*VLOOKUP($B152,'Standard values'!$C$9:$S$162,9, FALSE)/$E$202</f>
        <v>1.8605555555555555E-5</v>
      </c>
      <c r="L152" s="516">
        <f>I152*'Standard values'!$D$10+J152*'Standard values'!$D$11+K152*'Standard values'!$D$12</f>
        <v>0.44128533888888888</v>
      </c>
      <c r="M152" s="379"/>
      <c r="N152" s="562">
        <f>L152/$E$115</f>
        <v>16.327557538888886</v>
      </c>
      <c r="O152" s="379"/>
    </row>
    <row r="153" spans="1:15" ht="14.25" x14ac:dyDescent="0.25">
      <c r="A153" s="519"/>
      <c r="B153" s="520"/>
      <c r="C153" s="520"/>
      <c r="D153" s="520"/>
      <c r="E153" s="519"/>
      <c r="F153" s="521"/>
      <c r="G153" s="521"/>
      <c r="H153" s="521" t="s">
        <v>534</v>
      </c>
      <c r="I153" s="520"/>
      <c r="J153" s="523" t="s">
        <v>675</v>
      </c>
      <c r="K153" s="549"/>
      <c r="L153" s="525">
        <f>L148+L152</f>
        <v>0.74287056616161617</v>
      </c>
      <c r="M153" s="379"/>
      <c r="N153" s="545">
        <f>L153/$E$115</f>
        <v>27.486210947979796</v>
      </c>
      <c r="O153" s="379"/>
    </row>
    <row r="154" spans="1:15" x14ac:dyDescent="0.2">
      <c r="A154" s="390"/>
      <c r="B154" s="390"/>
      <c r="C154" s="390"/>
      <c r="D154" s="390"/>
      <c r="E154" s="390"/>
      <c r="F154" s="376"/>
      <c r="G154" s="376"/>
      <c r="H154" s="376"/>
      <c r="I154" s="390"/>
      <c r="J154" s="550"/>
      <c r="K154" s="551"/>
      <c r="L154" s="597"/>
      <c r="M154" s="379"/>
      <c r="N154" s="390"/>
      <c r="O154" s="379"/>
    </row>
    <row r="155" spans="1:15" x14ac:dyDescent="0.2">
      <c r="A155" s="390"/>
      <c r="B155" s="390"/>
      <c r="C155" s="390"/>
      <c r="D155" s="390"/>
      <c r="E155" s="390"/>
      <c r="F155" s="376"/>
      <c r="G155" s="376"/>
      <c r="H155" s="376"/>
      <c r="I155" s="390"/>
      <c r="J155" s="550"/>
      <c r="K155" s="551"/>
      <c r="L155" s="597"/>
      <c r="M155" s="379"/>
      <c r="N155" s="379"/>
      <c r="O155" s="379"/>
    </row>
    <row r="156" spans="1:15" ht="15.75" x14ac:dyDescent="0.25">
      <c r="A156" s="530" t="s">
        <v>546</v>
      </c>
      <c r="B156" s="598"/>
      <c r="C156" s="599"/>
      <c r="D156" s="531"/>
      <c r="E156" s="600"/>
      <c r="F156" s="531"/>
      <c r="G156" s="531"/>
      <c r="H156" s="531"/>
      <c r="I156" s="531"/>
      <c r="J156" s="531"/>
      <c r="K156" s="531"/>
      <c r="L156" s="601"/>
      <c r="M156" s="379"/>
      <c r="N156" s="379"/>
      <c r="O156" s="379"/>
    </row>
    <row r="157" spans="1:15" ht="15.75" x14ac:dyDescent="0.25">
      <c r="A157" s="602"/>
      <c r="B157" s="603" t="s">
        <v>549</v>
      </c>
      <c r="C157" s="511" t="s">
        <v>908</v>
      </c>
      <c r="D157" s="495"/>
      <c r="E157" s="503"/>
      <c r="F157" s="495"/>
      <c r="G157" s="495"/>
      <c r="H157" s="495"/>
      <c r="I157" s="495"/>
      <c r="J157" s="495"/>
      <c r="K157" s="495"/>
      <c r="L157" s="537"/>
      <c r="M157" s="379"/>
      <c r="N157" s="390"/>
      <c r="O157" s="390"/>
    </row>
    <row r="158" spans="1:15" ht="15.75" customHeight="1" x14ac:dyDescent="0.25">
      <c r="A158" s="602"/>
      <c r="B158" s="511"/>
      <c r="C158" s="668"/>
      <c r="D158" s="691" t="s">
        <v>431</v>
      </c>
      <c r="E158" s="692" t="str">
        <f>IF(D160="Yes","From :  ", " ")</f>
        <v xml:space="preserve"> </v>
      </c>
      <c r="F158" s="1422" t="str">
        <f>IF(D160="Yes",LUC!H$35 &amp; " ; " &amp; LUC!H$36 &amp; " ; " &amp; LUC!H$39 &amp; " ; " &amp; LUC!H$40 &amp; " ; " &amp; LUC!H$45 &amp; " ; " &amp; LUC!H$46 &amp; " ; " &amp; LUC!H$47, " ")</f>
        <v xml:space="preserve"> </v>
      </c>
      <c r="G158" s="1422"/>
      <c r="H158" s="1422"/>
      <c r="I158" s="1422"/>
      <c r="J158" s="1422"/>
      <c r="K158" s="1422"/>
      <c r="L158" s="1423"/>
      <c r="M158" s="379"/>
      <c r="N158" s="390"/>
      <c r="O158" s="390"/>
    </row>
    <row r="159" spans="1:15" ht="15.75" x14ac:dyDescent="0.25">
      <c r="A159" s="602"/>
      <c r="B159" s="539" t="s">
        <v>450</v>
      </c>
      <c r="C159" s="693" t="s">
        <v>431</v>
      </c>
      <c r="D159" s="691" t="s">
        <v>432</v>
      </c>
      <c r="E159" s="513"/>
      <c r="F159" s="1422"/>
      <c r="G159" s="1422"/>
      <c r="H159" s="1422"/>
      <c r="I159" s="1422"/>
      <c r="J159" s="1422"/>
      <c r="K159" s="1422"/>
      <c r="L159" s="1423"/>
      <c r="M159" s="379"/>
      <c r="N159" s="390"/>
      <c r="O159" s="390"/>
    </row>
    <row r="160" spans="1:15" ht="15.75" customHeight="1" x14ac:dyDescent="0.25">
      <c r="A160" s="602"/>
      <c r="B160" s="511"/>
      <c r="C160" s="670" t="str">
        <f>IF(D160="Yes","Go to", " ")</f>
        <v xml:space="preserve"> </v>
      </c>
      <c r="D160" s="691" t="s">
        <v>432</v>
      </c>
      <c r="E160" s="692" t="str">
        <f>IF(D160="Yes","To    :   ", " ")</f>
        <v xml:space="preserve"> </v>
      </c>
      <c r="F160" s="1424" t="str">
        <f>IF(D160="Yes", LUC!D$35 &amp; " ; " &amp; LUC!D$36 &amp; " ; " &amp; LUC!D$39 &amp; " ; " &amp; LUC!D$40 &amp; " ; " &amp; LUC!D$45 &amp; " ; " &amp; LUC!D$46 &amp; " ; " &amp; LUC!D$47, " ")</f>
        <v xml:space="preserve"> </v>
      </c>
      <c r="G160" s="1424"/>
      <c r="H160" s="1424"/>
      <c r="I160" s="1424"/>
      <c r="J160" s="1424"/>
      <c r="K160" s="1424"/>
      <c r="L160" s="1425"/>
      <c r="M160" s="379"/>
      <c r="N160" s="390"/>
      <c r="O160" s="390"/>
    </row>
    <row r="161" spans="1:15" ht="15.75" x14ac:dyDescent="0.25">
      <c r="A161" s="602"/>
      <c r="B161" s="416"/>
      <c r="C161" s="671" t="str">
        <f>IF(D160="Yes","sheet 'LUC' ", " ")</f>
        <v xml:space="preserve"> </v>
      </c>
      <c r="D161" s="495"/>
      <c r="E161" s="696"/>
      <c r="F161" s="1424"/>
      <c r="G161" s="1424"/>
      <c r="H161" s="1424"/>
      <c r="I161" s="1424"/>
      <c r="J161" s="1424"/>
      <c r="K161" s="1424"/>
      <c r="L161" s="1425"/>
      <c r="M161" s="379"/>
      <c r="N161" s="390"/>
      <c r="O161" s="390"/>
    </row>
    <row r="162" spans="1:15" ht="15.75" x14ac:dyDescent="0.25">
      <c r="A162" s="602"/>
      <c r="B162" s="416"/>
      <c r="C162" s="670" t="str">
        <f>IF(D160="Yes","to calculate the land use change", " ")</f>
        <v xml:space="preserve"> </v>
      </c>
      <c r="D162" s="495"/>
      <c r="E162" s="696"/>
      <c r="F162" s="694"/>
      <c r="G162" s="694"/>
      <c r="H162" s="694"/>
      <c r="I162" s="492" t="s">
        <v>674</v>
      </c>
      <c r="J162" s="514"/>
      <c r="K162" s="694"/>
      <c r="L162" s="695"/>
      <c r="M162" s="379"/>
      <c r="N162" s="390"/>
      <c r="O162" s="390"/>
    </row>
    <row r="163" spans="1:15" ht="16.5" x14ac:dyDescent="0.3">
      <c r="A163" s="602"/>
      <c r="B163" s="416"/>
      <c r="C163" s="670"/>
      <c r="D163" s="495"/>
      <c r="E163" s="696"/>
      <c r="F163" s="694"/>
      <c r="G163" s="694"/>
      <c r="H163" s="694"/>
      <c r="I163" s="539" t="s">
        <v>1053</v>
      </c>
      <c r="J163" s="539" t="s">
        <v>1054</v>
      </c>
      <c r="K163" s="539" t="s">
        <v>1055</v>
      </c>
      <c r="L163" s="540" t="s">
        <v>1056</v>
      </c>
      <c r="M163" s="379"/>
      <c r="N163" s="390"/>
      <c r="O163" s="390"/>
    </row>
    <row r="164" spans="1:15" ht="16.5" x14ac:dyDescent="0.3">
      <c r="A164" s="602"/>
      <c r="B164" s="507" t="s">
        <v>451</v>
      </c>
      <c r="C164" s="697">
        <f>IF(D160="Yes",LUC!$J$86,0)</f>
        <v>0</v>
      </c>
      <c r="D164" s="497" t="s">
        <v>449</v>
      </c>
      <c r="E164" s="503"/>
      <c r="F164" s="495"/>
      <c r="G164" s="495"/>
      <c r="H164" s="495"/>
      <c r="I164" s="544">
        <f>$C164*1000000/$E$201</f>
        <v>0</v>
      </c>
      <c r="J164" s="544">
        <v>0</v>
      </c>
      <c r="K164" s="544">
        <v>0</v>
      </c>
      <c r="L164" s="419">
        <f>I164*'Standard values'!$D$10+J164*'Standard values'!$D$11+K164*'Standard values'!$D$12</f>
        <v>0</v>
      </c>
      <c r="M164" s="379"/>
      <c r="N164" s="390"/>
      <c r="O164" s="390"/>
    </row>
    <row r="165" spans="1:15" ht="15.75" x14ac:dyDescent="0.25">
      <c r="A165" s="602"/>
      <c r="B165" s="507"/>
      <c r="C165" s="698"/>
      <c r="D165" s="497"/>
      <c r="E165" s="503"/>
      <c r="F165" s="495"/>
      <c r="G165" s="495"/>
      <c r="H165" s="495"/>
      <c r="I165" s="544"/>
      <c r="J165" s="544"/>
      <c r="K165" s="544"/>
      <c r="L165" s="516">
        <f>SUM(L164:L164)</f>
        <v>0</v>
      </c>
      <c r="M165" s="379"/>
      <c r="N165" s="390"/>
      <c r="O165" s="390"/>
    </row>
    <row r="166" spans="1:15" ht="15.75" x14ac:dyDescent="0.25">
      <c r="A166" s="602"/>
      <c r="B166" s="416"/>
      <c r="C166" s="492"/>
      <c r="D166" s="495"/>
      <c r="E166" s="503"/>
      <c r="F166" s="495"/>
      <c r="G166" s="495"/>
      <c r="H166" s="495"/>
      <c r="I166" s="544"/>
      <c r="J166" s="544"/>
      <c r="K166" s="544"/>
      <c r="L166" s="516"/>
      <c r="M166" s="379"/>
      <c r="N166" s="390"/>
      <c r="O166" s="390"/>
    </row>
    <row r="167" spans="1:15" ht="15.75" x14ac:dyDescent="0.3">
      <c r="A167" s="503"/>
      <c r="B167" s="539" t="s">
        <v>452</v>
      </c>
      <c r="C167" s="595">
        <v>0</v>
      </c>
      <c r="D167" s="605" t="s">
        <v>673</v>
      </c>
      <c r="E167" s="699"/>
      <c r="F167" s="495"/>
      <c r="G167" s="495"/>
      <c r="H167" s="495"/>
      <c r="I167" s="544">
        <f>-C167</f>
        <v>0</v>
      </c>
      <c r="J167" s="544">
        <v>0</v>
      </c>
      <c r="K167" s="544">
        <v>0</v>
      </c>
      <c r="L167" s="419">
        <f>I167*'Standard values'!$D$10+J167*'Standard values'!$D$11+K167*'Standard values'!$D$12</f>
        <v>0</v>
      </c>
      <c r="M167" s="379"/>
      <c r="N167" s="390"/>
      <c r="O167" s="390"/>
    </row>
    <row r="168" spans="1:15" x14ac:dyDescent="0.2">
      <c r="A168" s="503"/>
      <c r="B168" s="539" t="str">
        <f>IF(C167=-29,"Year of conversion:","")</f>
        <v/>
      </c>
      <c r="C168" s="539" t="str">
        <f>IF(D167=-29,"Year of conversion:","")</f>
        <v/>
      </c>
      <c r="D168" s="605" t="str">
        <f>IF(C167=-29,"Fill in the year of conversion","")</f>
        <v/>
      </c>
      <c r="E168" s="503"/>
      <c r="F168" s="495"/>
      <c r="G168" s="495"/>
      <c r="H168" s="495"/>
      <c r="I168" s="495"/>
      <c r="J168" s="495"/>
      <c r="K168" s="544"/>
      <c r="L168" s="516">
        <f>SUM(L167:L167)</f>
        <v>0</v>
      </c>
      <c r="M168" s="379"/>
      <c r="N168" s="390"/>
      <c r="O168" s="390"/>
    </row>
    <row r="169" spans="1:15" x14ac:dyDescent="0.2">
      <c r="A169" s="503"/>
      <c r="B169" s="539"/>
      <c r="C169" s="539"/>
      <c r="D169" s="605"/>
      <c r="E169" s="503"/>
      <c r="F169" s="495"/>
      <c r="G169" s="495"/>
      <c r="H169" s="495"/>
      <c r="I169" s="495"/>
      <c r="J169" s="495"/>
      <c r="K169" s="544"/>
      <c r="L169" s="700"/>
      <c r="M169" s="379"/>
      <c r="N169" s="390"/>
      <c r="O169" s="390"/>
    </row>
    <row r="170" spans="1:15" ht="14.25" x14ac:dyDescent="0.25">
      <c r="A170" s="519"/>
      <c r="B170" s="520"/>
      <c r="C170" s="520"/>
      <c r="D170" s="520"/>
      <c r="E170" s="519"/>
      <c r="F170" s="521"/>
      <c r="G170" s="521"/>
      <c r="H170" s="521" t="s">
        <v>534</v>
      </c>
      <c r="I170" s="520"/>
      <c r="J170" s="523" t="s">
        <v>675</v>
      </c>
      <c r="K170" s="549"/>
      <c r="L170" s="525">
        <f>L165+L168</f>
        <v>0</v>
      </c>
      <c r="M170" s="379"/>
      <c r="N170" s="390"/>
      <c r="O170" s="390"/>
    </row>
    <row r="171" spans="1:15" x14ac:dyDescent="0.2">
      <c r="A171" s="390"/>
      <c r="B171" s="390"/>
      <c r="C171" s="390"/>
      <c r="D171" s="390"/>
      <c r="E171" s="390"/>
      <c r="F171" s="376"/>
      <c r="G171" s="376"/>
      <c r="H171" s="376"/>
      <c r="I171" s="390"/>
      <c r="J171" s="550"/>
      <c r="K171" s="551"/>
      <c r="L171" s="604"/>
      <c r="M171" s="379"/>
      <c r="N171" s="390"/>
      <c r="O171" s="390"/>
    </row>
    <row r="172" spans="1:15" x14ac:dyDescent="0.2">
      <c r="A172" s="390"/>
      <c r="B172" s="390"/>
      <c r="C172" s="390"/>
      <c r="D172" s="390"/>
      <c r="E172" s="390"/>
      <c r="F172" s="376"/>
      <c r="G172" s="376"/>
      <c r="H172" s="376"/>
      <c r="I172" s="390"/>
      <c r="J172" s="550"/>
      <c r="K172" s="551"/>
      <c r="L172" s="604"/>
      <c r="M172" s="379"/>
      <c r="N172" s="390"/>
      <c r="O172" s="390"/>
    </row>
    <row r="173" spans="1:15" ht="15.75" x14ac:dyDescent="0.25">
      <c r="A173" s="530" t="s">
        <v>547</v>
      </c>
      <c r="B173" s="598"/>
      <c r="C173" s="599"/>
      <c r="D173" s="531"/>
      <c r="E173" s="600"/>
      <c r="F173" s="531"/>
      <c r="G173" s="531"/>
      <c r="H173" s="531"/>
      <c r="I173" s="531"/>
      <c r="J173" s="531"/>
      <c r="K173" s="531"/>
      <c r="L173" s="601"/>
      <c r="M173" s="379"/>
      <c r="N173" s="390"/>
      <c r="O173" s="390"/>
    </row>
    <row r="174" spans="1:15" ht="15.75" x14ac:dyDescent="0.25">
      <c r="A174" s="602"/>
      <c r="B174" s="416" t="s">
        <v>548</v>
      </c>
      <c r="C174" s="492" t="s">
        <v>429</v>
      </c>
      <c r="D174" s="616"/>
      <c r="E174" s="503"/>
      <c r="F174" s="495"/>
      <c r="G174" s="495"/>
      <c r="H174" s="495"/>
      <c r="I174" s="492" t="s">
        <v>674</v>
      </c>
      <c r="J174" s="514"/>
      <c r="K174" s="514"/>
      <c r="L174" s="537"/>
      <c r="M174" s="379"/>
      <c r="N174" s="390"/>
      <c r="O174" s="390"/>
    </row>
    <row r="175" spans="1:15" ht="15.75" customHeight="1" x14ac:dyDescent="0.25">
      <c r="A175" s="602"/>
      <c r="B175" s="511"/>
      <c r="C175" s="668"/>
      <c r="D175" s="691" t="s">
        <v>431</v>
      </c>
      <c r="E175" s="692" t="str">
        <f>IF(D177="Yes","From :  ", " ")</f>
        <v xml:space="preserve"> </v>
      </c>
      <c r="F175" s="1422" t="str">
        <f>IF(D177="Yes",Esca!H$42 &amp; ", " &amp; Esca!H$43 &amp; " input ","")</f>
        <v/>
      </c>
      <c r="G175" s="1422"/>
      <c r="H175" s="1422"/>
      <c r="I175" s="1422"/>
      <c r="J175" s="1422"/>
      <c r="K175" s="1422"/>
      <c r="L175" s="1423"/>
      <c r="M175" s="379"/>
      <c r="N175" s="390"/>
      <c r="O175" s="390"/>
    </row>
    <row r="176" spans="1:15" ht="15.75" x14ac:dyDescent="0.25">
      <c r="A176" s="602"/>
      <c r="B176" s="539" t="s">
        <v>430</v>
      </c>
      <c r="C176" s="668"/>
      <c r="D176" s="691" t="s">
        <v>432</v>
      </c>
      <c r="E176" s="513"/>
      <c r="F176" s="1422"/>
      <c r="G176" s="1422"/>
      <c r="H176" s="1422"/>
      <c r="I176" s="1422"/>
      <c r="J176" s="1422"/>
      <c r="K176" s="1422"/>
      <c r="L176" s="1423"/>
      <c r="M176" s="379"/>
      <c r="N176" s="390"/>
      <c r="O176" s="390"/>
    </row>
    <row r="177" spans="1:15" ht="15.75" customHeight="1" x14ac:dyDescent="0.25">
      <c r="A177" s="602"/>
      <c r="B177" s="511"/>
      <c r="C177" s="670" t="str">
        <f>IF(D177="Yes","Go to", " ")</f>
        <v xml:space="preserve"> </v>
      </c>
      <c r="D177" s="691" t="s">
        <v>432</v>
      </c>
      <c r="E177" s="692" t="str">
        <f>IF(D177="Yes","To    :   ", " ")</f>
        <v xml:space="preserve"> </v>
      </c>
      <c r="F177" s="1422" t="str">
        <f>IF(D177="Yes",Esca!D$42 &amp; ", " &amp; Esca!D$43 &amp; " input ","")</f>
        <v/>
      </c>
      <c r="G177" s="1422"/>
      <c r="H177" s="1422"/>
      <c r="I177" s="1422"/>
      <c r="J177" s="1422"/>
      <c r="K177" s="1422"/>
      <c r="L177" s="1423"/>
      <c r="M177" s="379"/>
      <c r="N177" s="390"/>
      <c r="O177" s="390"/>
    </row>
    <row r="178" spans="1:15" ht="15.75" x14ac:dyDescent="0.25">
      <c r="A178" s="602"/>
      <c r="B178" s="416"/>
      <c r="C178" s="671" t="str">
        <f>IF(D177="Yes","sheet 'Esca' ", " ")</f>
        <v xml:space="preserve"> </v>
      </c>
      <c r="D178" s="495"/>
      <c r="E178" s="696"/>
      <c r="F178" s="1422"/>
      <c r="G178" s="1422"/>
      <c r="H178" s="1422"/>
      <c r="I178" s="1422"/>
      <c r="J178" s="1422"/>
      <c r="K178" s="1422"/>
      <c r="L178" s="1423"/>
      <c r="M178" s="379"/>
      <c r="N178" s="390"/>
      <c r="O178" s="390"/>
    </row>
    <row r="179" spans="1:15" ht="15.75" x14ac:dyDescent="0.25">
      <c r="A179" s="602"/>
      <c r="B179" s="416"/>
      <c r="C179" s="670" t="str">
        <f>IF(D177="Yes","to calculate the soil carbon accumulation", " ")</f>
        <v xml:space="preserve"> </v>
      </c>
      <c r="D179" s="495"/>
      <c r="E179" s="696"/>
      <c r="F179" s="694"/>
      <c r="G179" s="694"/>
      <c r="H179" s="694"/>
      <c r="I179" s="492" t="s">
        <v>674</v>
      </c>
      <c r="J179" s="514"/>
      <c r="K179" s="694"/>
      <c r="L179" s="695"/>
      <c r="M179" s="379"/>
      <c r="N179" s="390"/>
      <c r="O179" s="390"/>
    </row>
    <row r="180" spans="1:15" ht="16.5" x14ac:dyDescent="0.3">
      <c r="A180" s="602"/>
      <c r="B180" s="416"/>
      <c r="C180" s="670"/>
      <c r="D180" s="495"/>
      <c r="E180" s="696"/>
      <c r="F180" s="694"/>
      <c r="G180" s="694"/>
      <c r="H180" s="694"/>
      <c r="I180" s="539" t="s">
        <v>1053</v>
      </c>
      <c r="J180" s="539" t="s">
        <v>1054</v>
      </c>
      <c r="K180" s="539" t="s">
        <v>1055</v>
      </c>
      <c r="L180" s="540" t="s">
        <v>1056</v>
      </c>
      <c r="M180" s="379"/>
      <c r="N180" s="390"/>
      <c r="O180" s="390"/>
    </row>
    <row r="181" spans="1:15" ht="16.5" x14ac:dyDescent="0.3">
      <c r="A181" s="602"/>
      <c r="B181" s="507" t="s">
        <v>807</v>
      </c>
      <c r="C181" s="697">
        <f>IF(D177="yes",Esca!$J$81,0)</f>
        <v>0</v>
      </c>
      <c r="D181" s="497" t="s">
        <v>449</v>
      </c>
      <c r="E181" s="503"/>
      <c r="F181" s="495"/>
      <c r="G181" s="495"/>
      <c r="H181" s="495"/>
      <c r="I181" s="544">
        <f>$C181*1000000/$E$201</f>
        <v>0</v>
      </c>
      <c r="J181" s="544">
        <v>0</v>
      </c>
      <c r="K181" s="544">
        <v>0</v>
      </c>
      <c r="L181" s="419">
        <f>I181*'Standard values'!$D$10+J181*'Standard values'!$D$11+K181*'Standard values'!$D$12</f>
        <v>0</v>
      </c>
      <c r="M181" s="379"/>
      <c r="N181" s="390"/>
      <c r="O181" s="390"/>
    </row>
    <row r="182" spans="1:15" x14ac:dyDescent="0.2">
      <c r="A182" s="503"/>
      <c r="B182" s="539"/>
      <c r="C182" s="539"/>
      <c r="D182" s="605"/>
      <c r="E182" s="503"/>
      <c r="F182" s="495"/>
      <c r="G182" s="495"/>
      <c r="H182" s="495"/>
      <c r="I182" s="495"/>
      <c r="J182" s="495"/>
      <c r="K182" s="544"/>
      <c r="L182" s="516">
        <f>SUM(L181:L181)</f>
        <v>0</v>
      </c>
      <c r="M182" s="379"/>
      <c r="N182" s="390"/>
      <c r="O182" s="390"/>
    </row>
    <row r="183" spans="1:15" x14ac:dyDescent="0.2">
      <c r="A183" s="503"/>
      <c r="B183" s="539"/>
      <c r="C183" s="539"/>
      <c r="D183" s="605"/>
      <c r="E183" s="503"/>
      <c r="F183" s="495"/>
      <c r="G183" s="495"/>
      <c r="H183" s="495"/>
      <c r="I183" s="495"/>
      <c r="J183" s="495"/>
      <c r="K183" s="544"/>
      <c r="L183" s="700"/>
      <c r="M183" s="379"/>
      <c r="N183" s="390"/>
      <c r="O183" s="390"/>
    </row>
    <row r="184" spans="1:15" ht="14.25" x14ac:dyDescent="0.25">
      <c r="A184" s="519"/>
      <c r="B184" s="520"/>
      <c r="C184" s="520"/>
      <c r="D184" s="520"/>
      <c r="E184" s="519"/>
      <c r="F184" s="521"/>
      <c r="G184" s="521"/>
      <c r="H184" s="521" t="s">
        <v>534</v>
      </c>
      <c r="I184" s="520"/>
      <c r="J184" s="523" t="s">
        <v>675</v>
      </c>
      <c r="K184" s="549"/>
      <c r="L184" s="525">
        <f>L182</f>
        <v>0</v>
      </c>
      <c r="M184" s="379"/>
      <c r="N184" s="390"/>
      <c r="O184" s="390"/>
    </row>
    <row r="185" spans="1:15" x14ac:dyDescent="0.2">
      <c r="A185" s="390"/>
      <c r="B185" s="390"/>
      <c r="C185" s="390"/>
      <c r="D185" s="390"/>
      <c r="E185" s="390"/>
      <c r="F185" s="376"/>
      <c r="G185" s="376"/>
      <c r="H185" s="376"/>
      <c r="I185" s="390"/>
      <c r="J185" s="550"/>
      <c r="K185" s="551"/>
      <c r="L185" s="604"/>
      <c r="M185" s="379"/>
      <c r="N185" s="390"/>
      <c r="O185" s="390"/>
    </row>
    <row r="186" spans="1:15" x14ac:dyDescent="0.2">
      <c r="A186" s="390"/>
      <c r="B186" s="390"/>
      <c r="C186" s="390"/>
      <c r="D186" s="390"/>
      <c r="E186" s="390"/>
      <c r="F186" s="376"/>
      <c r="G186" s="376"/>
      <c r="H186" s="376"/>
      <c r="I186" s="390"/>
      <c r="J186" s="550"/>
      <c r="K186" s="551"/>
      <c r="L186" s="604"/>
      <c r="M186" s="379"/>
      <c r="N186" s="390"/>
      <c r="O186" s="390"/>
    </row>
    <row r="187" spans="1:15" ht="18.75" x14ac:dyDescent="0.35">
      <c r="A187" s="530" t="s">
        <v>168</v>
      </c>
      <c r="B187" s="598"/>
      <c r="C187" s="599"/>
      <c r="D187" s="531"/>
      <c r="E187" s="600"/>
      <c r="F187" s="531"/>
      <c r="G187" s="531"/>
      <c r="H187" s="531"/>
      <c r="I187" s="531"/>
      <c r="J187" s="531"/>
      <c r="K187" s="531"/>
      <c r="L187" s="601"/>
      <c r="M187" s="379"/>
      <c r="N187" s="390"/>
      <c r="O187" s="390"/>
    </row>
    <row r="188" spans="1:15" ht="15.75" x14ac:dyDescent="0.25">
      <c r="A188" s="602"/>
      <c r="B188" s="416" t="s">
        <v>166</v>
      </c>
      <c r="C188" s="492"/>
      <c r="D188" s="495"/>
      <c r="E188" s="503"/>
      <c r="F188" s="495"/>
      <c r="G188" s="495"/>
      <c r="H188" s="495"/>
      <c r="I188" s="492" t="s">
        <v>674</v>
      </c>
      <c r="J188" s="514"/>
      <c r="K188" s="514"/>
      <c r="L188" s="537"/>
      <c r="M188" s="379"/>
      <c r="N188" s="390"/>
      <c r="O188" s="390"/>
    </row>
    <row r="189" spans="1:15" ht="15.75" x14ac:dyDescent="0.3">
      <c r="A189" s="503"/>
      <c r="B189" s="539"/>
      <c r="C189" s="595">
        <v>0</v>
      </c>
      <c r="D189" s="605" t="s">
        <v>673</v>
      </c>
      <c r="E189" s="503"/>
      <c r="F189" s="495"/>
      <c r="G189" s="495"/>
      <c r="H189" s="495"/>
      <c r="I189" s="495"/>
      <c r="J189" s="495"/>
      <c r="K189" s="544"/>
      <c r="L189" s="516">
        <f>C189</f>
        <v>0</v>
      </c>
      <c r="M189" s="379"/>
      <c r="N189" s="390"/>
      <c r="O189" s="390"/>
    </row>
    <row r="190" spans="1:15" ht="14.25" x14ac:dyDescent="0.25">
      <c r="A190" s="519"/>
      <c r="B190" s="520"/>
      <c r="C190" s="701"/>
      <c r="D190" s="520"/>
      <c r="E190" s="519"/>
      <c r="F190" s="521"/>
      <c r="G190" s="521"/>
      <c r="H190" s="521" t="s">
        <v>534</v>
      </c>
      <c r="I190" s="520"/>
      <c r="J190" s="523" t="s">
        <v>675</v>
      </c>
      <c r="K190" s="549"/>
      <c r="L190" s="525">
        <f>C189</f>
        <v>0</v>
      </c>
      <c r="M190" s="379"/>
      <c r="N190" s="390"/>
      <c r="O190" s="390"/>
    </row>
    <row r="191" spans="1:15" x14ac:dyDescent="0.2">
      <c r="A191" s="390"/>
      <c r="B191" s="390"/>
      <c r="C191" s="390"/>
      <c r="D191" s="390"/>
      <c r="E191" s="390"/>
      <c r="F191" s="376"/>
      <c r="G191" s="376"/>
      <c r="H191" s="376"/>
      <c r="I191" s="390"/>
      <c r="J191" s="550"/>
      <c r="K191" s="551"/>
      <c r="L191" s="604"/>
      <c r="M191" s="379"/>
      <c r="N191" s="390"/>
      <c r="O191" s="390"/>
    </row>
    <row r="192" spans="1:15" x14ac:dyDescent="0.2">
      <c r="A192" s="390"/>
      <c r="B192" s="390"/>
      <c r="C192" s="390"/>
      <c r="D192" s="390"/>
      <c r="E192" s="390"/>
      <c r="F192" s="376"/>
      <c r="G192" s="376"/>
      <c r="H192" s="376"/>
      <c r="I192" s="390"/>
      <c r="J192" s="550"/>
      <c r="K192" s="551"/>
      <c r="L192" s="604"/>
      <c r="M192" s="379"/>
      <c r="N192" s="390"/>
      <c r="O192" s="390"/>
    </row>
    <row r="193" spans="1:15" ht="18.75" x14ac:dyDescent="0.35">
      <c r="A193" s="530" t="s">
        <v>169</v>
      </c>
      <c r="B193" s="598"/>
      <c r="C193" s="599"/>
      <c r="D193" s="531"/>
      <c r="E193" s="600"/>
      <c r="F193" s="531"/>
      <c r="G193" s="531"/>
      <c r="H193" s="531"/>
      <c r="I193" s="531"/>
      <c r="J193" s="531"/>
      <c r="K193" s="531"/>
      <c r="L193" s="601"/>
      <c r="M193" s="379"/>
      <c r="N193" s="390"/>
      <c r="O193" s="390"/>
    </row>
    <row r="194" spans="1:15" ht="15.75" x14ac:dyDescent="0.25">
      <c r="A194" s="602"/>
      <c r="B194" s="416" t="s">
        <v>167</v>
      </c>
      <c r="C194" s="492"/>
      <c r="D194" s="495"/>
      <c r="E194" s="503"/>
      <c r="F194" s="495"/>
      <c r="G194" s="495"/>
      <c r="H194" s="495"/>
      <c r="I194" s="492" t="s">
        <v>674</v>
      </c>
      <c r="J194" s="514"/>
      <c r="K194" s="514"/>
      <c r="L194" s="537"/>
      <c r="M194" s="379"/>
      <c r="N194" s="390"/>
      <c r="O194" s="390"/>
    </row>
    <row r="195" spans="1:15" ht="15.75" x14ac:dyDescent="0.3">
      <c r="A195" s="503"/>
      <c r="B195" s="539"/>
      <c r="C195" s="595">
        <v>0</v>
      </c>
      <c r="D195" s="605" t="s">
        <v>673</v>
      </c>
      <c r="E195" s="503"/>
      <c r="F195" s="495"/>
      <c r="G195" s="495"/>
      <c r="H195" s="495"/>
      <c r="I195" s="495"/>
      <c r="J195" s="495"/>
      <c r="K195" s="544"/>
      <c r="L195" s="516">
        <f>C195</f>
        <v>0</v>
      </c>
      <c r="M195" s="379"/>
      <c r="N195" s="390"/>
      <c r="O195" s="390"/>
    </row>
    <row r="196" spans="1:15" ht="14.25" x14ac:dyDescent="0.25">
      <c r="A196" s="519"/>
      <c r="B196" s="520"/>
      <c r="C196" s="520"/>
      <c r="D196" s="520"/>
      <c r="E196" s="519"/>
      <c r="F196" s="521"/>
      <c r="G196" s="521"/>
      <c r="H196" s="521" t="s">
        <v>534</v>
      </c>
      <c r="I196" s="520"/>
      <c r="J196" s="523" t="s">
        <v>675</v>
      </c>
      <c r="K196" s="549"/>
      <c r="L196" s="525">
        <f>C195</f>
        <v>0</v>
      </c>
      <c r="M196" s="379"/>
      <c r="N196" s="390"/>
      <c r="O196" s="390"/>
    </row>
    <row r="197" spans="1:15" x14ac:dyDescent="0.2">
      <c r="A197" s="390"/>
      <c r="B197" s="390"/>
      <c r="C197" s="390"/>
      <c r="D197" s="390"/>
      <c r="E197" s="390"/>
      <c r="F197" s="376"/>
      <c r="G197" s="376"/>
      <c r="H197" s="376"/>
      <c r="I197" s="390"/>
      <c r="J197" s="550"/>
      <c r="K197" s="551"/>
      <c r="L197" s="604"/>
      <c r="M197" s="379"/>
      <c r="N197" s="390"/>
      <c r="O197" s="390"/>
    </row>
    <row r="198" spans="1:15" x14ac:dyDescent="0.2">
      <c r="A198" s="390"/>
      <c r="B198" s="390"/>
      <c r="C198" s="390"/>
      <c r="D198" s="390"/>
      <c r="E198" s="390"/>
      <c r="F198" s="376"/>
      <c r="G198" s="376"/>
      <c r="H198" s="376"/>
      <c r="I198" s="390"/>
      <c r="J198" s="550"/>
      <c r="K198" s="551"/>
      <c r="L198" s="604"/>
      <c r="M198" s="379"/>
      <c r="N198" s="390"/>
      <c r="O198" s="390"/>
    </row>
    <row r="199" spans="1:15" ht="15.75" x14ac:dyDescent="0.25">
      <c r="A199" s="530" t="s">
        <v>457</v>
      </c>
      <c r="B199" s="531"/>
      <c r="C199" s="531"/>
      <c r="D199" s="531"/>
      <c r="E199" s="532"/>
      <c r="F199" s="606"/>
      <c r="G199" s="606"/>
      <c r="H199" s="606"/>
      <c r="I199" s="607"/>
      <c r="J199" s="608"/>
      <c r="K199" s="607"/>
      <c r="L199" s="609"/>
      <c r="M199" s="379"/>
      <c r="N199" s="390"/>
      <c r="O199" s="390"/>
    </row>
    <row r="200" spans="1:15" ht="15.75" x14ac:dyDescent="0.25">
      <c r="A200" s="610"/>
      <c r="B200" s="611"/>
      <c r="C200" s="611"/>
      <c r="D200" s="611"/>
      <c r="E200" s="612"/>
      <c r="F200" s="613"/>
      <c r="G200" s="613"/>
      <c r="H200" s="613"/>
      <c r="I200" s="613"/>
      <c r="J200" s="613"/>
      <c r="K200" s="613"/>
      <c r="L200" s="614"/>
      <c r="M200" s="379"/>
      <c r="N200" s="390"/>
      <c r="O200" s="390"/>
    </row>
    <row r="201" spans="1:15" ht="15.75" x14ac:dyDescent="0.3">
      <c r="A201" s="503"/>
      <c r="B201" s="495"/>
      <c r="C201" s="495"/>
      <c r="D201" s="546" t="s">
        <v>300</v>
      </c>
      <c r="E201" s="702">
        <f>E25*C50*C61*C72*C102*C113*C133*C145</f>
        <v>36517.243280867653</v>
      </c>
      <c r="F201" s="499" t="s">
        <v>671</v>
      </c>
      <c r="G201" s="499"/>
      <c r="H201" s="495"/>
      <c r="I201" s="495"/>
      <c r="J201" s="495"/>
      <c r="K201" s="495"/>
      <c r="L201" s="616"/>
      <c r="M201" s="379"/>
      <c r="N201" s="390"/>
      <c r="O201" s="390"/>
    </row>
    <row r="202" spans="1:15" ht="15.75" x14ac:dyDescent="0.3">
      <c r="A202" s="503"/>
      <c r="B202" s="495"/>
      <c r="C202" s="495"/>
      <c r="D202" s="546" t="s">
        <v>299</v>
      </c>
      <c r="E202" s="615">
        <f>E201/E25</f>
        <v>0.6298856612723488</v>
      </c>
      <c r="F202" s="495" t="s">
        <v>572</v>
      </c>
      <c r="G202" s="495"/>
      <c r="H202" s="495"/>
      <c r="I202" s="544"/>
      <c r="J202" s="495"/>
      <c r="K202" s="495"/>
      <c r="L202" s="616"/>
      <c r="M202" s="379"/>
      <c r="N202" s="390"/>
      <c r="O202" s="390"/>
    </row>
    <row r="203" spans="1:15" x14ac:dyDescent="0.2">
      <c r="A203" s="503"/>
      <c r="B203" s="495"/>
      <c r="C203" s="495"/>
      <c r="D203" s="495"/>
      <c r="E203" s="495"/>
      <c r="F203" s="617"/>
      <c r="G203" s="617"/>
      <c r="H203" s="495"/>
      <c r="I203" s="544"/>
      <c r="J203" s="495"/>
      <c r="K203" s="495"/>
      <c r="L203" s="616"/>
      <c r="M203" s="379"/>
      <c r="N203" s="390"/>
      <c r="O203" s="390"/>
    </row>
    <row r="204" spans="1:15" x14ac:dyDescent="0.2">
      <c r="A204" s="503"/>
      <c r="B204" s="495"/>
      <c r="C204" s="495"/>
      <c r="D204" s="495"/>
      <c r="E204" s="495"/>
      <c r="F204" s="617"/>
      <c r="G204" s="617"/>
      <c r="H204" s="495"/>
      <c r="I204" s="495"/>
      <c r="J204" s="495"/>
      <c r="K204" s="495"/>
      <c r="L204" s="616"/>
      <c r="M204" s="379"/>
      <c r="N204" s="390"/>
      <c r="O204" s="390"/>
    </row>
    <row r="205" spans="1:15" ht="14.25" x14ac:dyDescent="0.25">
      <c r="A205" s="703"/>
      <c r="B205" s="404"/>
      <c r="C205" s="404"/>
      <c r="D205" s="404"/>
      <c r="E205" s="704" t="s">
        <v>1059</v>
      </c>
      <c r="F205" s="705"/>
      <c r="G205" s="705"/>
      <c r="H205" s="423"/>
      <c r="I205" s="404"/>
      <c r="J205" s="704" t="s">
        <v>675</v>
      </c>
      <c r="K205" s="423"/>
      <c r="L205" s="706">
        <f>L46+L57+L67+L89+L108+L129+L141+L153+L170-L184-L190-L196</f>
        <v>44.509842105839986</v>
      </c>
      <c r="M205" s="379"/>
      <c r="N205" s="390"/>
      <c r="O205" s="390"/>
    </row>
    <row r="206" spans="1:15" ht="14.25" x14ac:dyDescent="0.25">
      <c r="A206" s="707"/>
      <c r="B206" s="708"/>
      <c r="C206" s="709"/>
      <c r="D206" s="404"/>
      <c r="E206" s="704" t="s">
        <v>1060</v>
      </c>
      <c r="F206" s="404"/>
      <c r="G206" s="404"/>
      <c r="H206" s="404"/>
      <c r="I206" s="404"/>
      <c r="J206" s="704" t="s">
        <v>675</v>
      </c>
      <c r="K206" s="404"/>
      <c r="L206" s="710">
        <f>L98+L108+L129+L141+L153+(L165*J6)+L168-L184-L190-L196</f>
        <v>32.891084299888021</v>
      </c>
      <c r="M206" s="379"/>
      <c r="N206" s="390"/>
      <c r="O206" s="390"/>
    </row>
    <row r="207" spans="1:15" x14ac:dyDescent="0.2">
      <c r="A207" s="703"/>
      <c r="B207" s="404"/>
      <c r="C207" s="404"/>
      <c r="D207" s="404"/>
      <c r="E207" s="404"/>
      <c r="F207" s="711"/>
      <c r="G207" s="711"/>
      <c r="H207" s="404"/>
      <c r="I207" s="404"/>
      <c r="J207" s="404"/>
      <c r="K207" s="404"/>
      <c r="L207" s="712"/>
      <c r="M207" s="379"/>
      <c r="N207" s="390"/>
      <c r="O207" s="390"/>
    </row>
    <row r="208" spans="1:15" x14ac:dyDescent="0.2">
      <c r="A208" s="519"/>
      <c r="B208" s="520"/>
      <c r="C208" s="520"/>
      <c r="D208" s="520"/>
      <c r="E208" s="713" t="s">
        <v>1061</v>
      </c>
      <c r="F208" s="632"/>
      <c r="G208" s="632"/>
      <c r="H208" s="632"/>
      <c r="I208" s="632"/>
      <c r="J208" s="632"/>
      <c r="K208" s="632"/>
      <c r="L208" s="633">
        <f>(83.8-L206)/83.8</f>
        <v>0.60750496062186132</v>
      </c>
      <c r="M208" s="379"/>
      <c r="N208" s="390"/>
      <c r="O208" s="390"/>
    </row>
    <row r="209" spans="5:14" x14ac:dyDescent="0.2">
      <c r="M209" s="361"/>
    </row>
    <row r="210" spans="5:14" x14ac:dyDescent="0.2">
      <c r="E210" s="634"/>
      <c r="F210" s="634"/>
      <c r="G210" s="634"/>
      <c r="H210" s="635"/>
      <c r="I210" s="634"/>
      <c r="J210" s="634"/>
      <c r="K210" s="634"/>
      <c r="L210" s="636"/>
      <c r="M210" s="361"/>
    </row>
    <row r="211" spans="5:14" x14ac:dyDescent="0.2">
      <c r="F211" s="634"/>
      <c r="G211" s="634"/>
      <c r="H211" s="634"/>
      <c r="I211" s="637"/>
      <c r="J211" s="634"/>
      <c r="K211" s="634"/>
      <c r="L211" s="638"/>
      <c r="M211" s="639"/>
      <c r="N211" s="361"/>
    </row>
    <row r="212" spans="5:14" x14ac:dyDescent="0.2">
      <c r="F212" s="634"/>
      <c r="G212" s="634"/>
      <c r="H212" s="634"/>
      <c r="I212" s="637"/>
      <c r="J212" s="634"/>
      <c r="K212" s="634"/>
      <c r="L212" s="638"/>
      <c r="M212" s="639"/>
      <c r="N212" s="361"/>
    </row>
    <row r="213" spans="5:14" ht="15.75" x14ac:dyDescent="0.25">
      <c r="F213" s="640"/>
      <c r="G213" s="640"/>
      <c r="H213" s="634"/>
      <c r="I213" s="634"/>
      <c r="J213" s="634"/>
      <c r="K213" s="634"/>
      <c r="L213" s="634"/>
      <c r="M213" s="634"/>
      <c r="N213" s="361"/>
    </row>
    <row r="214" spans="5:14" x14ac:dyDescent="0.2">
      <c r="F214" s="634"/>
      <c r="G214" s="634"/>
      <c r="H214" s="637"/>
      <c r="I214" s="634"/>
      <c r="J214" s="634"/>
      <c r="K214" s="634"/>
      <c r="L214" s="634"/>
      <c r="M214" s="634"/>
      <c r="N214" s="634"/>
    </row>
    <row r="215" spans="5:14" x14ac:dyDescent="0.2">
      <c r="F215" s="637"/>
      <c r="G215" s="637"/>
      <c r="H215" s="634"/>
      <c r="I215" s="641"/>
      <c r="J215" s="634"/>
      <c r="K215" s="634"/>
      <c r="L215" s="634"/>
      <c r="M215" s="634"/>
      <c r="N215" s="634"/>
    </row>
    <row r="216" spans="5:14" x14ac:dyDescent="0.2">
      <c r="F216" s="637"/>
      <c r="G216" s="637"/>
      <c r="H216" s="634"/>
      <c r="I216" s="641"/>
      <c r="J216" s="634"/>
      <c r="K216" s="634"/>
      <c r="L216" s="634"/>
      <c r="M216" s="634"/>
      <c r="N216" s="634"/>
    </row>
    <row r="217" spans="5:14" x14ac:dyDescent="0.2">
      <c r="F217" s="634"/>
      <c r="G217" s="634"/>
      <c r="H217" s="639"/>
      <c r="I217" s="634"/>
      <c r="J217" s="634"/>
      <c r="K217" s="634"/>
      <c r="L217" s="634"/>
      <c r="M217" s="634"/>
      <c r="N217" s="634"/>
    </row>
    <row r="218" spans="5:14" x14ac:dyDescent="0.2">
      <c r="F218" s="634"/>
      <c r="G218" s="634"/>
      <c r="H218" s="634"/>
      <c r="I218" s="634"/>
      <c r="J218" s="634"/>
      <c r="K218" s="634"/>
      <c r="L218" s="634"/>
      <c r="M218" s="634"/>
      <c r="N218" s="634"/>
    </row>
    <row r="219" spans="5:14" x14ac:dyDescent="0.2">
      <c r="F219" s="634"/>
      <c r="G219" s="634"/>
      <c r="H219" s="634"/>
      <c r="I219" s="634"/>
      <c r="J219" s="634"/>
      <c r="K219" s="634"/>
      <c r="L219" s="634"/>
      <c r="M219" s="634"/>
      <c r="N219" s="634"/>
    </row>
    <row r="220" spans="5:14" x14ac:dyDescent="0.2">
      <c r="F220" s="634"/>
      <c r="G220" s="634"/>
      <c r="H220" s="634"/>
      <c r="I220" s="634"/>
      <c r="J220" s="634"/>
      <c r="K220" s="634"/>
      <c r="L220" s="634"/>
      <c r="M220" s="634"/>
      <c r="N220" s="634"/>
    </row>
    <row r="221" spans="5:14" x14ac:dyDescent="0.2">
      <c r="F221" s="634"/>
      <c r="G221" s="634"/>
      <c r="H221" s="634"/>
      <c r="I221" s="634"/>
      <c r="J221" s="634"/>
      <c r="K221" s="634"/>
      <c r="L221" s="634"/>
      <c r="M221" s="634"/>
      <c r="N221" s="634"/>
    </row>
    <row r="222" spans="5:14" x14ac:dyDescent="0.2">
      <c r="F222" s="634"/>
      <c r="G222" s="634"/>
      <c r="H222" s="634"/>
      <c r="I222" s="634"/>
      <c r="J222" s="634"/>
      <c r="K222" s="634"/>
      <c r="L222" s="634"/>
      <c r="M222" s="634"/>
      <c r="N222" s="634"/>
    </row>
    <row r="223" spans="5:14" x14ac:dyDescent="0.2">
      <c r="F223" s="634"/>
      <c r="G223" s="634"/>
      <c r="H223" s="634"/>
      <c r="I223" s="634"/>
      <c r="J223" s="634"/>
      <c r="K223" s="634"/>
      <c r="L223" s="634"/>
      <c r="M223" s="634"/>
      <c r="N223" s="634"/>
    </row>
    <row r="224" spans="5:14" x14ac:dyDescent="0.2">
      <c r="F224" s="634"/>
      <c r="G224" s="634"/>
      <c r="H224" s="634"/>
      <c r="I224" s="634"/>
      <c r="J224" s="634"/>
      <c r="K224" s="634"/>
      <c r="L224" s="634"/>
      <c r="M224" s="634"/>
      <c r="N224" s="634"/>
    </row>
    <row r="225" spans="6:14" x14ac:dyDescent="0.2">
      <c r="F225" s="634"/>
      <c r="G225" s="634"/>
      <c r="H225" s="634"/>
      <c r="I225" s="634"/>
      <c r="J225" s="634"/>
      <c r="K225" s="634"/>
      <c r="L225" s="634"/>
      <c r="M225" s="634"/>
      <c r="N225" s="634"/>
    </row>
    <row r="226" spans="6:14" x14ac:dyDescent="0.2">
      <c r="F226" s="634"/>
      <c r="G226" s="634"/>
      <c r="H226" s="634"/>
      <c r="I226" s="634"/>
      <c r="J226" s="634"/>
      <c r="K226" s="634"/>
      <c r="L226" s="634"/>
      <c r="M226" s="634"/>
      <c r="N226" s="634"/>
    </row>
    <row r="227" spans="6:14" x14ac:dyDescent="0.2">
      <c r="F227" s="634"/>
      <c r="G227" s="634"/>
      <c r="H227" s="634"/>
      <c r="I227" s="634"/>
      <c r="J227" s="634"/>
      <c r="K227" s="634"/>
      <c r="L227" s="634"/>
      <c r="M227" s="634"/>
      <c r="N227" s="634"/>
    </row>
    <row r="228" spans="6:14" x14ac:dyDescent="0.2">
      <c r="F228" s="634"/>
      <c r="G228" s="634"/>
      <c r="H228" s="634"/>
      <c r="I228" s="634"/>
      <c r="J228" s="634"/>
      <c r="K228" s="634"/>
      <c r="L228" s="634"/>
      <c r="M228" s="634"/>
      <c r="N228" s="634"/>
    </row>
    <row r="229" spans="6:14" x14ac:dyDescent="0.2">
      <c r="F229" s="634"/>
      <c r="G229" s="634"/>
      <c r="H229" s="634"/>
      <c r="I229" s="634"/>
      <c r="J229" s="634"/>
      <c r="K229" s="634"/>
      <c r="L229" s="634"/>
      <c r="M229" s="634"/>
      <c r="N229" s="634"/>
    </row>
  </sheetData>
  <sheetProtection insertColumns="0" insertRows="0" deleteColumns="0" deleteRows="0"/>
  <customSheetViews>
    <customSheetView guid="{AD88818B-9F97-4B1E-9426-0DECE603685E}" scale="80" showGridLines="0" fitToPage="1" showRuler="0">
      <pane ySplit="20" topLeftCell="A21" activePane="bottomLeft" state="frozen"/>
      <selection pane="bottomLeft" activeCell="E3" sqref="E3"/>
      <pageMargins left="0.75" right="0.75" top="1" bottom="1" header="0.5" footer="0.5"/>
      <pageSetup paperSize="8" fitToHeight="0" orientation="landscape"/>
      <headerFooter alignWithMargins="0">
        <oddFooter>&amp;L&amp;8&amp;F&amp;C&amp;8&amp;A&amp;R&amp;8page&amp;P</oddFooter>
      </headerFooter>
    </customSheetView>
    <customSheetView guid="{7EB5D807-CE20-46E2-AEE6-2C193E010EA4}" scale="80" showGridLines="0" fitToPage="1" showRuler="0">
      <pane ySplit="20" topLeftCell="A21" activePane="bottomLeft" state="frozen"/>
      <selection pane="bottomLeft" activeCell="E3" sqref="E3"/>
      <pageMargins left="0.75" right="0.75" top="1" bottom="1" header="0.5" footer="0.5"/>
      <pageSetup paperSize="8" fitToHeight="0" orientation="landscape"/>
      <headerFooter alignWithMargins="0">
        <oddFooter>&amp;L&amp;8&amp;F&amp;C&amp;8&amp;A&amp;R&amp;8page&amp;P</oddFooter>
      </headerFooter>
    </customSheetView>
  </customSheetViews>
  <mergeCells count="4">
    <mergeCell ref="F158:L159"/>
    <mergeCell ref="F160:L161"/>
    <mergeCell ref="F175:L176"/>
    <mergeCell ref="F177:L178"/>
  </mergeCells>
  <phoneticPr fontId="0" type="noConversion"/>
  <conditionalFormatting sqref="O9:O21">
    <cfRule type="cellIs" dxfId="36" priority="2" stopIfTrue="1" operator="notBetween">
      <formula>-0.05</formula>
      <formula>0.05</formula>
    </cfRule>
  </conditionalFormatting>
  <conditionalFormatting sqref="E17">
    <cfRule type="expression" dxfId="35" priority="4" stopIfTrue="1">
      <formula>($E17="Combined result of previous calculation")</formula>
    </cfRule>
  </conditionalFormatting>
  <conditionalFormatting sqref="A17:D17 F17:G17">
    <cfRule type="expression" dxfId="34" priority="5" stopIfTrue="1">
      <formula>($E17="Combined result of previous calculation")</formula>
    </cfRule>
  </conditionalFormatting>
  <conditionalFormatting sqref="A10:G10 A7:G8 A13:G13">
    <cfRule type="expression" dxfId="33" priority="6" stopIfTrue="1">
      <formula>($E7&lt;&gt;"")</formula>
    </cfRule>
  </conditionalFormatting>
  <conditionalFormatting sqref="A18:D18 F18:G18">
    <cfRule type="expression" dxfId="32" priority="7" stopIfTrue="1">
      <formula>($E18="Esca included in combined result of previous calculation")</formula>
    </cfRule>
  </conditionalFormatting>
  <conditionalFormatting sqref="E18">
    <cfRule type="expression" dxfId="31" priority="8" stopIfTrue="1">
      <formula>($E18="Esca included in combined result of previous calculation")</formula>
    </cfRule>
  </conditionalFormatting>
  <conditionalFormatting sqref="A14:B14 D14:G14">
    <cfRule type="expression" dxfId="30" priority="1" stopIfTrue="1">
      <formula>($E14&lt;&gt;"")</formula>
    </cfRule>
  </conditionalFormatting>
  <dataValidations count="8">
    <dataValidation type="list" allowBlank="1" showInputMessage="1" showErrorMessage="1" sqref="F6 F9 F12" xr:uid="{00000000-0002-0000-1800-000000000000}">
      <formula1>"A,D"</formula1>
    </dataValidation>
    <dataValidation type="list" showDropDown="1" showInputMessage="1" showErrorMessage="1" errorTitle="Wrong input" error="Only values &quot;0&quot; and &quot;29&quot; are allowed_x000a_" sqref="C167" xr:uid="{00000000-0002-0000-1800-000001000000}">
      <formula1>"0,29"</formula1>
    </dataValidation>
    <dataValidation allowBlank="1" showInputMessage="1" showErrorMessage="1" promptTitle="Input value for manure" prompt="Use of manure will not lead to direct GHG emissions as the emission coeffient is 0 g CO2,eq/MJ._x000a_Use of manure will indirectly lead to GHG emissions. When using actual inputs, field N2O emissions must be calculated which increase due to use of manure." sqref="C34" xr:uid="{00000000-0002-0000-1800-000002000000}"/>
    <dataValidation type="list" allowBlank="1" showInputMessage="1" showErrorMessage="1" sqref="E17" xr:uid="{00000000-0002-0000-1800-000003000000}">
      <formula1>"- , Combined result of previous calculation"</formula1>
    </dataValidation>
    <dataValidation type="list" allowBlank="1" showInputMessage="1" showErrorMessage="1" sqref="E7:E8 E10 E13:E14" xr:uid="{00000000-0002-0000-1800-000004000000}">
      <formula1>"- ,Individual result of previous calculation, Combined result of previous calculation"</formula1>
    </dataValidation>
    <dataValidation type="list" allowBlank="1" showInputMessage="1" showErrorMessage="1" sqref="E18" xr:uid="{00000000-0002-0000-1800-000005000000}">
      <formula1>"- , Esca included in combined result of previous calculation"</formula1>
    </dataValidation>
    <dataValidation allowBlank="1" showInputMessage="1" showErrorMessage="1" promptTitle="Please note !" prompt="When changing the value in this cell, you must indicate in column E under &quot;overview results&quot; that you have used the result of a previous calculation. Please refer to paragraph 4.2 of the user manual for further instructions and examples." sqref="N87 N44 N55 N64" xr:uid="{00000000-0002-0000-1800-000006000000}"/>
    <dataValidation allowBlank="1" showInputMessage="1" showErrorMessage="1" promptTitle="Electricity mix" sqref="B140 B152 B123 B116 B83 B76 B54" xr:uid="{00000000-0002-0000-1800-000007000000}"/>
  </dataValidations>
  <hyperlinks>
    <hyperlink ref="O52" location="Menu!A6" display="Back to menu" xr:uid="{00000000-0004-0000-1800-000000000000}"/>
    <hyperlink ref="O63" location="Menu!A6" display="Back to menu" xr:uid="{00000000-0004-0000-1800-000001000000}"/>
    <hyperlink ref="O134" location="Menu!A6" display="Back to menu" xr:uid="{00000000-0004-0000-1800-000002000000}"/>
    <hyperlink ref="O51" location="Menu!A6" display="Back to menu" xr:uid="{00000000-0004-0000-1800-000003000000}"/>
    <hyperlink ref="O62" location="Menu!A6" display="Back to menu" xr:uid="{00000000-0004-0000-1800-000004000000}"/>
    <hyperlink ref="O133" location="Menu!A6" display="Back to menu" xr:uid="{00000000-0004-0000-1800-000005000000}"/>
    <hyperlink ref="C178" location="Esca!A1" display="Esca!A1" xr:uid="{00000000-0004-0000-1800-000006000000}"/>
    <hyperlink ref="C161" location="LUC!A1" display="LUC!A1" xr:uid="{00000000-0004-0000-1800-000007000000}"/>
    <hyperlink ref="C45" location="'N2O emissions IPCC '!A1" display="N2O emissions IPCC" xr:uid="{00000000-0004-0000-1800-000008000000}"/>
    <hyperlink ref="O104" location="Menu!A6" display="Back to menu" xr:uid="{00000000-0004-0000-1800-000009000000}"/>
    <hyperlink ref="O103" location="Menu!A6" display="Back to menu" xr:uid="{00000000-0004-0000-1800-00000A000000}"/>
  </hyperlinks>
  <pageMargins left="0.75" right="0.75" top="1" bottom="1" header="0.5" footer="0.5"/>
  <pageSetup paperSize="8" fitToHeight="0" orientation="landscape"/>
  <headerFooter alignWithMargins="0">
    <oddFooter>&amp;L&amp;8&amp;F&amp;C&amp;8&amp;A&amp;R&amp;8page&amp;P</oddFooter>
  </headerFooter>
  <drawing r:id="rId1"/>
  <legacyDrawing r:id="rId2"/>
  <controls>
    <mc:AlternateContent xmlns:mc="http://schemas.openxmlformats.org/markup-compatibility/2006">
      <mc:Choice Requires="x14">
        <control shapeId="36867" r:id="rId3" name="CheckBox2">
          <controlPr autoLine="0" linkedCell="About!N86" r:id="rId4">
            <anchor moveWithCells="1">
              <from>
                <xdr:col>9</xdr:col>
                <xdr:colOff>38100</xdr:colOff>
                <xdr:row>16</xdr:row>
                <xdr:rowOff>47625</xdr:rowOff>
              </from>
              <to>
                <xdr:col>13</xdr:col>
                <xdr:colOff>885825</xdr:colOff>
                <xdr:row>18</xdr:row>
                <xdr:rowOff>85725</xdr:rowOff>
              </to>
            </anchor>
          </controlPr>
        </control>
      </mc:Choice>
      <mc:Fallback>
        <control shapeId="36867" r:id="rId3" name="CheckBox2"/>
      </mc:Fallback>
    </mc:AlternateContent>
    <mc:AlternateContent xmlns:mc="http://schemas.openxmlformats.org/markup-compatibility/2006">
      <mc:Choice Requires="x14">
        <control shapeId="36868" r:id="rId5" name="CheckBox1">
          <controlPr autoLine="0" linkedCell="About!N88" r:id="rId6">
            <anchor moveWithCells="1">
              <from>
                <xdr:col>9</xdr:col>
                <xdr:colOff>38100</xdr:colOff>
                <xdr:row>14</xdr:row>
                <xdr:rowOff>0</xdr:rowOff>
              </from>
              <to>
                <xdr:col>13</xdr:col>
                <xdr:colOff>866775</xdr:colOff>
                <xdr:row>16</xdr:row>
                <xdr:rowOff>171450</xdr:rowOff>
              </to>
            </anchor>
          </controlPr>
        </control>
      </mc:Choice>
      <mc:Fallback>
        <control shapeId="36868" r:id="rId5" name="CheckBox1"/>
      </mc:Fallback>
    </mc:AlternateContent>
    <mc:AlternateContent xmlns:mc="http://schemas.openxmlformats.org/markup-compatibility/2006">
      <mc:Choice Requires="x14">
        <control shapeId="36887" r:id="rId7" name="ComboBox1">
          <controlPr locked="0" defaultSize="0" autoLine="0" linkedCell="D160" listFillRange="D158:D159" r:id="rId8">
            <anchor moveWithCells="1">
              <from>
                <xdr:col>2</xdr:col>
                <xdr:colOff>0</xdr:colOff>
                <xdr:row>158</xdr:row>
                <xdr:rowOff>0</xdr:rowOff>
              </from>
              <to>
                <xdr:col>3</xdr:col>
                <xdr:colOff>38100</xdr:colOff>
                <xdr:row>159</xdr:row>
                <xdr:rowOff>28575</xdr:rowOff>
              </to>
            </anchor>
          </controlPr>
        </control>
      </mc:Choice>
      <mc:Fallback>
        <control shapeId="36887" r:id="rId7" name="ComboBox1"/>
      </mc:Fallback>
    </mc:AlternateContent>
    <mc:AlternateContent xmlns:mc="http://schemas.openxmlformats.org/markup-compatibility/2006">
      <mc:Choice Requires="x14">
        <control shapeId="37239" r:id="rId9" name="ComboBox2">
          <controlPr locked="0" defaultSize="0" autoLine="0" linkedCell="D177" listFillRange="D175:D176" r:id="rId10">
            <anchor moveWithCells="1">
              <from>
                <xdr:col>1</xdr:col>
                <xdr:colOff>1695450</xdr:colOff>
                <xdr:row>175</xdr:row>
                <xdr:rowOff>9525</xdr:rowOff>
              </from>
              <to>
                <xdr:col>2</xdr:col>
                <xdr:colOff>628650</xdr:colOff>
                <xdr:row>176</xdr:row>
                <xdr:rowOff>19050</xdr:rowOff>
              </to>
            </anchor>
          </controlPr>
        </control>
      </mc:Choice>
      <mc:Fallback>
        <control shapeId="37239" r:id="rId9" name="ComboBox2"/>
      </mc:Fallback>
    </mc:AlternateContent>
    <mc:AlternateContent xmlns:mc="http://schemas.openxmlformats.org/markup-compatibility/2006">
      <mc:Choice Requires="x14">
        <control shapeId="37567" r:id="rId11" name="cmdTrackChanges">
          <controlPr defaultSize="0" autoLine="0" r:id="rId12">
            <anchor moveWithCells="1">
              <from>
                <xdr:col>1</xdr:col>
                <xdr:colOff>1133475</xdr:colOff>
                <xdr:row>20</xdr:row>
                <xdr:rowOff>104775</xdr:rowOff>
              </from>
              <to>
                <xdr:col>3</xdr:col>
                <xdr:colOff>304800</xdr:colOff>
                <xdr:row>21</xdr:row>
                <xdr:rowOff>228600</xdr:rowOff>
              </to>
            </anchor>
          </controlPr>
        </control>
      </mc:Choice>
      <mc:Fallback>
        <control shapeId="37567" r:id="rId11" name="cmdTrackChanges"/>
      </mc:Fallback>
    </mc:AlternateContent>
    <mc:AlternateContent xmlns:mc="http://schemas.openxmlformats.org/markup-compatibility/2006">
      <mc:Choice Requires="x14">
        <control shapeId="37636" r:id="rId13" name="Label 772">
          <controlPr defaultSize="0" autoFill="0" autoLine="0" autoPict="0" macro="[0]!GoToAbout">
            <anchor moveWithCells="1" sizeWithCells="1">
              <from>
                <xdr:col>10</xdr:col>
                <xdr:colOff>438150</xdr:colOff>
                <xdr:row>0</xdr:row>
                <xdr:rowOff>800100</xdr:rowOff>
              </from>
              <to>
                <xdr:col>12</xdr:col>
                <xdr:colOff>85725</xdr:colOff>
                <xdr:row>1</xdr:row>
                <xdr:rowOff>0</xdr:rowOff>
              </to>
            </anchor>
          </controlPr>
        </control>
      </mc:Choice>
    </mc:AlternateContent>
    <mc:AlternateContent xmlns:mc="http://schemas.openxmlformats.org/markup-compatibility/2006">
      <mc:Choice Requires="x14">
        <control shapeId="37637" r:id="rId14" name="Label 773">
          <controlPr defaultSize="0" autoFill="0" autoLine="0" autoPict="0" macro="[0]!GoToDirectory">
            <anchor moveWithCells="1" sizeWithCells="1">
              <from>
                <xdr:col>12</xdr:col>
                <xdr:colOff>152400</xdr:colOff>
                <xdr:row>0</xdr:row>
                <xdr:rowOff>800100</xdr:rowOff>
              </from>
              <to>
                <xdr:col>13</xdr:col>
                <xdr:colOff>981075</xdr:colOff>
                <xdr:row>1</xdr:row>
                <xdr:rowOff>0</xdr:rowOff>
              </to>
            </anchor>
          </controlPr>
        </control>
      </mc:Choice>
    </mc:AlternateContent>
  </control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H3">
    <pageSetUpPr fitToPage="1"/>
  </sheetPr>
  <dimension ref="A1:R247"/>
  <sheetViews>
    <sheetView showGridLines="0" zoomScale="80" workbookViewId="0">
      <selection activeCell="A2" sqref="A2"/>
    </sheetView>
  </sheetViews>
  <sheetFormatPr baseColWidth="10" defaultColWidth="8.85546875" defaultRowHeight="12.75" x14ac:dyDescent="0.2"/>
  <cols>
    <col min="1" max="1" width="22.5703125" style="360" customWidth="1"/>
    <col min="2" max="2" width="25.85546875" style="360" customWidth="1"/>
    <col min="3" max="3" width="9.7109375" style="360" customWidth="1"/>
    <col min="4" max="4" width="20.140625" style="360" customWidth="1"/>
    <col min="5" max="5" width="14.85546875" style="360" customWidth="1"/>
    <col min="6" max="6" width="8.5703125" style="360" customWidth="1"/>
    <col min="7" max="7" width="2.85546875" style="360" customWidth="1"/>
    <col min="8" max="8" width="19.5703125" style="360" customWidth="1"/>
    <col min="9" max="12" width="9.140625" style="360" customWidth="1"/>
    <col min="13" max="13" width="2.5703125" style="360" customWidth="1"/>
    <col min="14" max="14" width="16.7109375" style="360" customWidth="1"/>
    <col min="15" max="15" width="13.7109375" style="360" customWidth="1"/>
    <col min="16" max="16384" width="8.85546875" style="361"/>
  </cols>
  <sheetData>
    <row r="1" spans="1:18" ht="102" customHeight="1" x14ac:dyDescent="0.2"/>
    <row r="2" spans="1:18" ht="27.75" customHeight="1" x14ac:dyDescent="0.25">
      <c r="A2" s="362" t="s">
        <v>375</v>
      </c>
      <c r="B2" s="363"/>
      <c r="C2" s="364"/>
      <c r="D2" s="364"/>
      <c r="E2" s="364"/>
      <c r="F2" s="365"/>
      <c r="G2" s="365"/>
      <c r="H2" s="366"/>
      <c r="I2" s="367"/>
      <c r="J2" s="368"/>
      <c r="K2" s="369"/>
      <c r="L2" s="370"/>
      <c r="M2" s="367"/>
      <c r="N2" s="367"/>
      <c r="O2" s="371" t="str">
        <f>About!D2</f>
        <v>Version 4d for Testing</v>
      </c>
    </row>
    <row r="3" spans="1:18" ht="27.75" customHeight="1" x14ac:dyDescent="0.25">
      <c r="A3" s="372" t="s">
        <v>1050</v>
      </c>
      <c r="B3" s="373"/>
      <c r="C3" s="374"/>
      <c r="D3" s="374"/>
      <c r="E3" s="373"/>
      <c r="F3" s="373"/>
      <c r="G3" s="373"/>
      <c r="H3" s="375"/>
      <c r="I3" s="376"/>
      <c r="J3" s="377"/>
      <c r="K3" s="378"/>
      <c r="L3" s="377"/>
      <c r="M3" s="377"/>
      <c r="N3" s="379"/>
      <c r="O3" s="378"/>
    </row>
    <row r="4" spans="1:18" ht="16.5" customHeight="1" x14ac:dyDescent="0.25">
      <c r="A4" s="380" t="s">
        <v>861</v>
      </c>
      <c r="B4" s="381" t="s">
        <v>854</v>
      </c>
      <c r="C4" s="381" t="s">
        <v>1057</v>
      </c>
      <c r="D4" s="381" t="s">
        <v>852</v>
      </c>
      <c r="E4" s="382" t="s">
        <v>1047</v>
      </c>
      <c r="F4" s="383" t="s">
        <v>1125</v>
      </c>
      <c r="G4" s="384"/>
      <c r="H4" s="385" t="s">
        <v>869</v>
      </c>
      <c r="I4" s="386"/>
      <c r="J4" s="387" t="s">
        <v>1063</v>
      </c>
      <c r="K4" s="388"/>
      <c r="L4" s="389"/>
      <c r="M4" s="390"/>
      <c r="N4" s="387" t="s">
        <v>391</v>
      </c>
      <c r="O4" s="391"/>
    </row>
    <row r="5" spans="1:18" ht="16.5" customHeight="1" x14ac:dyDescent="0.25">
      <c r="A5" s="392" t="s">
        <v>864</v>
      </c>
      <c r="B5" s="393" t="s">
        <v>853</v>
      </c>
      <c r="C5" s="393" t="s">
        <v>1062</v>
      </c>
      <c r="D5" s="393" t="s">
        <v>853</v>
      </c>
      <c r="E5" s="394"/>
      <c r="F5" s="395" t="s">
        <v>1126</v>
      </c>
      <c r="G5" s="396"/>
      <c r="H5" s="397" t="s">
        <v>866</v>
      </c>
      <c r="I5" s="390"/>
      <c r="J5" s="398" t="str">
        <f>A67</f>
        <v>Extraction of oil</v>
      </c>
      <c r="K5" s="399"/>
      <c r="L5" s="400"/>
      <c r="M5" s="390"/>
      <c r="N5" s="398" t="s">
        <v>395</v>
      </c>
      <c r="O5" s="400"/>
    </row>
    <row r="6" spans="1:18" ht="16.5" customHeight="1" x14ac:dyDescent="0.35">
      <c r="A6" s="401" t="s">
        <v>170</v>
      </c>
      <c r="B6" s="402"/>
      <c r="C6" s="403"/>
      <c r="D6" s="404"/>
      <c r="E6" s="405">
        <f>IF(F6="A",D7+D8,H6)</f>
        <v>14.719895748355242</v>
      </c>
      <c r="F6" s="406" t="s">
        <v>1127</v>
      </c>
      <c r="G6" s="407"/>
      <c r="H6" s="408">
        <v>15</v>
      </c>
      <c r="I6" s="390"/>
      <c r="J6" s="409">
        <f>F105/F107</f>
        <v>0.95181515158386443</v>
      </c>
      <c r="K6" s="410" t="s">
        <v>213</v>
      </c>
      <c r="L6" s="411"/>
      <c r="M6" s="390"/>
      <c r="N6" s="412">
        <v>83.8</v>
      </c>
      <c r="O6" s="413" t="s">
        <v>394</v>
      </c>
    </row>
    <row r="7" spans="1:18" ht="12" customHeight="1" x14ac:dyDescent="0.2">
      <c r="A7" s="398" t="str">
        <f>A23</f>
        <v>Cultivation of FFBs</v>
      </c>
      <c r="B7" s="414">
        <f>L43</f>
        <v>15.465078197022452</v>
      </c>
      <c r="C7" s="415">
        <f>J6</f>
        <v>0.95181515158386443</v>
      </c>
      <c r="D7" s="416">
        <f>C7*B7</f>
        <v>14.719895748355242</v>
      </c>
      <c r="E7" s="1215"/>
      <c r="F7" s="418"/>
      <c r="G7" s="418"/>
      <c r="H7" s="419">
        <v>14.7</v>
      </c>
      <c r="I7" s="390"/>
      <c r="J7" s="420">
        <f>1-J6</f>
        <v>4.8184848416135573E-2</v>
      </c>
      <c r="K7" s="421" t="s">
        <v>214</v>
      </c>
      <c r="L7" s="422"/>
      <c r="M7" s="390"/>
      <c r="N7" s="398" t="s">
        <v>393</v>
      </c>
      <c r="O7" s="400"/>
    </row>
    <row r="8" spans="1:18" ht="12" customHeight="1" x14ac:dyDescent="0.2">
      <c r="A8" s="398" t="str">
        <f>A56</f>
        <v>Storage of FFB</v>
      </c>
      <c r="B8" s="414">
        <f>L64</f>
        <v>0</v>
      </c>
      <c r="C8" s="415">
        <f>J6</f>
        <v>0.95181515158386443</v>
      </c>
      <c r="D8" s="416">
        <f>C8*B8</f>
        <v>0</v>
      </c>
      <c r="E8" s="1215"/>
      <c r="F8" s="418"/>
      <c r="G8" s="418"/>
      <c r="H8" s="419">
        <v>0</v>
      </c>
      <c r="I8" s="390"/>
      <c r="J8" s="390"/>
      <c r="K8" s="390"/>
      <c r="L8" s="390"/>
      <c r="M8" s="390"/>
      <c r="N8" s="426">
        <f>(N6-E20)/N6</f>
        <v>0.26433005681433513</v>
      </c>
      <c r="O8" s="427"/>
    </row>
    <row r="9" spans="1:18" ht="16.5" customHeight="1" x14ac:dyDescent="0.35">
      <c r="A9" s="401" t="s">
        <v>544</v>
      </c>
      <c r="B9" s="423"/>
      <c r="C9" s="423"/>
      <c r="D9" s="424"/>
      <c r="E9" s="425">
        <f>IF(F9="A",D10+D11,H9)</f>
        <v>41.919925201799529</v>
      </c>
      <c r="F9" s="406" t="s">
        <v>1127</v>
      </c>
      <c r="G9" s="407"/>
      <c r="H9" s="408">
        <v>42</v>
      </c>
      <c r="I9" s="390"/>
      <c r="J9" s="390"/>
      <c r="K9" s="390"/>
      <c r="L9" s="390"/>
      <c r="M9" s="390"/>
      <c r="N9" s="390"/>
      <c r="O9" s="430"/>
    </row>
    <row r="10" spans="1:18" ht="12" customHeight="1" x14ac:dyDescent="0.2">
      <c r="A10" s="398" t="str">
        <f>A67</f>
        <v>Extraction of oil</v>
      </c>
      <c r="B10" s="414">
        <f>L99</f>
        <v>34.170385101010098</v>
      </c>
      <c r="C10" s="415">
        <f>J6</f>
        <v>0.95181515158386443</v>
      </c>
      <c r="D10" s="416">
        <f>C10*B10</f>
        <v>32.523890274596951</v>
      </c>
      <c r="E10" s="1215"/>
      <c r="F10" s="418"/>
      <c r="G10" s="418"/>
      <c r="H10" s="419">
        <f>23.22*1.4</f>
        <v>32.507999999999996</v>
      </c>
      <c r="I10" s="390"/>
      <c r="J10" s="390"/>
      <c r="K10" s="390"/>
      <c r="L10" s="390"/>
      <c r="M10" s="390"/>
      <c r="N10" s="390"/>
      <c r="O10" s="441"/>
    </row>
    <row r="11" spans="1:18" x14ac:dyDescent="0.2">
      <c r="A11" s="398" t="str">
        <f>A128</f>
        <v>Hydrogenation of veg. oil</v>
      </c>
      <c r="B11" s="414">
        <f>L147</f>
        <v>9.3960349272025798</v>
      </c>
      <c r="C11" s="415">
        <v>1</v>
      </c>
      <c r="D11" s="416">
        <f>C11*B11</f>
        <v>9.3960349272025798</v>
      </c>
      <c r="E11" s="417"/>
      <c r="F11" s="418"/>
      <c r="G11" s="418"/>
      <c r="H11" s="419">
        <f>1.4*6.69</f>
        <v>9.3659999999999997</v>
      </c>
      <c r="I11" s="390"/>
      <c r="J11" s="390"/>
      <c r="K11" s="390"/>
      <c r="L11" s="390"/>
      <c r="M11" s="390"/>
      <c r="N11" s="390"/>
      <c r="O11" s="435"/>
      <c r="Q11" s="429"/>
      <c r="R11" s="429"/>
    </row>
    <row r="12" spans="1:18" ht="16.5" customHeight="1" thickBot="1" x14ac:dyDescent="0.4">
      <c r="A12" s="401" t="s">
        <v>545</v>
      </c>
      <c r="B12" s="423"/>
      <c r="C12" s="423"/>
      <c r="D12" s="424"/>
      <c r="E12" s="425">
        <f>IF(F12="A",D13+D14+D15+D16, H12)</f>
        <v>5.0093202888039414</v>
      </c>
      <c r="F12" s="406" t="s">
        <v>1127</v>
      </c>
      <c r="G12" s="407"/>
      <c r="H12" s="648">
        <v>5</v>
      </c>
      <c r="I12" s="390"/>
      <c r="J12" s="390"/>
      <c r="K12" s="390"/>
      <c r="L12" s="390"/>
      <c r="M12" s="390"/>
      <c r="N12" s="390"/>
      <c r="O12" s="430"/>
    </row>
    <row r="13" spans="1:18" ht="12" customHeight="1" x14ac:dyDescent="0.2">
      <c r="A13" s="398" t="str">
        <f>A46</f>
        <v>Transport of FFB</v>
      </c>
      <c r="B13" s="414">
        <f>L53</f>
        <v>0.20652165337521258</v>
      </c>
      <c r="C13" s="415">
        <f>J6</f>
        <v>0.95181515158386443</v>
      </c>
      <c r="D13" s="416">
        <f t="shared" ref="D13:D19" si="0">C13*B13</f>
        <v>0.19657043881267827</v>
      </c>
      <c r="E13" s="1215"/>
      <c r="F13" s="418"/>
      <c r="G13" s="418"/>
      <c r="H13" s="419">
        <v>0.19</v>
      </c>
      <c r="I13" s="390"/>
      <c r="J13" s="432" t="s">
        <v>140</v>
      </c>
      <c r="K13" s="433"/>
      <c r="L13" s="433"/>
      <c r="M13" s="433"/>
      <c r="N13" s="434"/>
      <c r="O13" s="441"/>
    </row>
    <row r="14" spans="1:18" ht="12" customHeight="1" x14ac:dyDescent="0.2">
      <c r="A14" s="398" t="s">
        <v>211</v>
      </c>
      <c r="B14" s="414">
        <f>L125</f>
        <v>3.6592706198902532</v>
      </c>
      <c r="C14" s="415">
        <v>1</v>
      </c>
      <c r="D14" s="416">
        <f t="shared" si="0"/>
        <v>3.6592706198902532</v>
      </c>
      <c r="E14" s="1215"/>
      <c r="F14" s="418"/>
      <c r="G14" s="418"/>
      <c r="H14" s="419">
        <v>3.66</v>
      </c>
      <c r="I14" s="390"/>
      <c r="J14" s="714"/>
      <c r="K14" s="439"/>
      <c r="L14" s="439"/>
      <c r="M14" s="439"/>
      <c r="N14" s="440"/>
      <c r="O14" s="441"/>
    </row>
    <row r="15" spans="1:18" ht="12" customHeight="1" x14ac:dyDescent="0.2">
      <c r="A15" s="398" t="str">
        <f>A150</f>
        <v>Transport of HVO to depot</v>
      </c>
      <c r="B15" s="414">
        <f>L159</f>
        <v>0.41060866393939388</v>
      </c>
      <c r="C15" s="415">
        <v>1</v>
      </c>
      <c r="D15" s="416">
        <f t="shared" si="0"/>
        <v>0.41060866393939388</v>
      </c>
      <c r="E15" s="436"/>
      <c r="F15" s="437"/>
      <c r="G15" s="437"/>
      <c r="H15" s="419">
        <v>0.71</v>
      </c>
      <c r="I15" s="379"/>
      <c r="J15" s="438"/>
      <c r="K15" s="439"/>
      <c r="L15" s="439"/>
      <c r="M15" s="439"/>
      <c r="N15" s="440"/>
      <c r="O15" s="441"/>
    </row>
    <row r="16" spans="1:18" ht="12" customHeight="1" x14ac:dyDescent="0.2">
      <c r="A16" s="398" t="str">
        <f>A162</f>
        <v>Transport to filling station</v>
      </c>
      <c r="B16" s="414">
        <f>L171</f>
        <v>0.74287056616161595</v>
      </c>
      <c r="C16" s="415">
        <v>1</v>
      </c>
      <c r="D16" s="416">
        <f t="shared" si="0"/>
        <v>0.74287056616161595</v>
      </c>
      <c r="E16" s="436"/>
      <c r="F16" s="437"/>
      <c r="G16" s="437"/>
      <c r="H16" s="419">
        <v>0.44</v>
      </c>
      <c r="I16" s="379"/>
      <c r="J16" s="438"/>
      <c r="K16" s="439"/>
      <c r="L16" s="439"/>
      <c r="M16" s="442"/>
      <c r="N16" s="443"/>
      <c r="O16" s="441"/>
    </row>
    <row r="17" spans="1:15" ht="17.25" customHeight="1" x14ac:dyDescent="0.35">
      <c r="A17" s="444" t="s">
        <v>551</v>
      </c>
      <c r="B17" s="445">
        <f>L183</f>
        <v>0</v>
      </c>
      <c r="C17" s="446">
        <f>J6</f>
        <v>0.95181515158386443</v>
      </c>
      <c r="D17" s="445">
        <f t="shared" si="0"/>
        <v>0</v>
      </c>
      <c r="E17" s="425">
        <f>D17</f>
        <v>0</v>
      </c>
      <c r="F17" s="451"/>
      <c r="G17" s="451"/>
      <c r="H17" s="447">
        <v>0</v>
      </c>
      <c r="I17" s="379"/>
      <c r="J17" s="438"/>
      <c r="K17" s="439"/>
      <c r="L17" s="439"/>
      <c r="M17" s="448"/>
      <c r="N17" s="449"/>
      <c r="O17" s="649"/>
    </row>
    <row r="18" spans="1:15" ht="16.5" customHeight="1" x14ac:dyDescent="0.35">
      <c r="A18" s="444" t="s">
        <v>724</v>
      </c>
      <c r="B18" s="445">
        <f>L202-L186</f>
        <v>0</v>
      </c>
      <c r="C18" s="446">
        <v>1</v>
      </c>
      <c r="D18" s="445">
        <f t="shared" si="0"/>
        <v>0</v>
      </c>
      <c r="E18" s="425">
        <f>D18</f>
        <v>0</v>
      </c>
      <c r="F18" s="451"/>
      <c r="G18" s="451"/>
      <c r="H18" s="447">
        <v>0</v>
      </c>
      <c r="I18" s="390"/>
      <c r="J18" s="438"/>
      <c r="K18" s="439"/>
      <c r="L18" s="439"/>
      <c r="M18" s="448"/>
      <c r="N18" s="449"/>
      <c r="O18" s="649"/>
    </row>
    <row r="19" spans="1:15" ht="16.5" customHeight="1" thickBot="1" x14ac:dyDescent="0.4">
      <c r="A19" s="444" t="s">
        <v>725</v>
      </c>
      <c r="B19" s="445">
        <f>L208+L214</f>
        <v>0</v>
      </c>
      <c r="C19" s="446">
        <v>1</v>
      </c>
      <c r="D19" s="445">
        <f t="shared" si="0"/>
        <v>0</v>
      </c>
      <c r="E19" s="425">
        <f>D19</f>
        <v>0</v>
      </c>
      <c r="F19" s="451"/>
      <c r="G19" s="451"/>
      <c r="H19" s="447">
        <v>0</v>
      </c>
      <c r="I19" s="390"/>
      <c r="J19" s="459" t="s">
        <v>1</v>
      </c>
      <c r="K19" s="460"/>
      <c r="L19" s="460"/>
      <c r="M19" s="461"/>
      <c r="N19" s="462"/>
      <c r="O19" s="649"/>
    </row>
    <row r="20" spans="1:15" ht="16.5" customHeight="1" thickBot="1" x14ac:dyDescent="0.3">
      <c r="A20" s="452" t="s">
        <v>1049</v>
      </c>
      <c r="B20" s="453">
        <f>SUM(B7:B17)-SUM(B18:B19)</f>
        <v>64.050769728601594</v>
      </c>
      <c r="C20" s="454"/>
      <c r="D20" s="454"/>
      <c r="E20" s="456">
        <f>SUM(E6:E17)-SUM(E18:E19)</f>
        <v>61.649141238958713</v>
      </c>
      <c r="F20" s="457"/>
      <c r="G20" s="457"/>
      <c r="H20" s="458">
        <v>62</v>
      </c>
      <c r="I20" s="379"/>
      <c r="J20" s="650"/>
      <c r="K20" s="651"/>
      <c r="L20" s="651"/>
      <c r="M20" s="652"/>
      <c r="N20" s="652"/>
      <c r="O20" s="463"/>
    </row>
    <row r="21" spans="1:15" ht="16.5" customHeight="1" x14ac:dyDescent="0.25">
      <c r="A21" s="464"/>
      <c r="B21" s="465"/>
      <c r="E21" s="466" t="s">
        <v>859</v>
      </c>
      <c r="F21" s="467"/>
      <c r="G21" s="467"/>
      <c r="H21" s="468"/>
      <c r="I21" s="469"/>
      <c r="J21" s="470"/>
      <c r="K21" s="433"/>
      <c r="L21" s="471"/>
      <c r="M21" s="433"/>
      <c r="N21" s="433"/>
      <c r="O21" s="472"/>
    </row>
    <row r="22" spans="1:15" ht="22.5" customHeight="1" thickBot="1" x14ac:dyDescent="0.25">
      <c r="A22" s="473" t="s">
        <v>1051</v>
      </c>
      <c r="B22" s="379"/>
      <c r="E22" s="474" t="s">
        <v>860</v>
      </c>
      <c r="F22" s="442"/>
      <c r="G22" s="442"/>
      <c r="H22" s="442"/>
      <c r="I22" s="439"/>
      <c r="J22" s="475"/>
      <c r="K22" s="475"/>
      <c r="L22" s="476"/>
      <c r="M22" s="477"/>
      <c r="N22" s="477"/>
      <c r="O22" s="478"/>
    </row>
    <row r="23" spans="1:15" ht="15.75" x14ac:dyDescent="0.25">
      <c r="A23" s="479" t="s">
        <v>206</v>
      </c>
      <c r="B23" s="480"/>
      <c r="C23" s="480"/>
      <c r="D23" s="480"/>
      <c r="E23" s="479" t="s">
        <v>513</v>
      </c>
      <c r="F23" s="481"/>
      <c r="G23" s="481"/>
      <c r="H23" s="480"/>
      <c r="I23" s="482" t="s">
        <v>532</v>
      </c>
      <c r="J23" s="481"/>
      <c r="K23" s="481"/>
      <c r="L23" s="483"/>
      <c r="M23" s="715"/>
      <c r="N23" s="610" t="s">
        <v>162</v>
      </c>
      <c r="O23" s="653"/>
    </row>
    <row r="24" spans="1:15" ht="15.75" x14ac:dyDescent="0.25">
      <c r="A24" s="486"/>
      <c r="B24" s="487" t="s">
        <v>524</v>
      </c>
      <c r="C24" s="488"/>
      <c r="D24" s="488"/>
      <c r="E24" s="489" t="s">
        <v>524</v>
      </c>
      <c r="F24" s="490"/>
      <c r="G24" s="490"/>
      <c r="H24" s="491"/>
      <c r="I24" s="492" t="s">
        <v>674</v>
      </c>
      <c r="J24" s="490"/>
      <c r="K24" s="490"/>
      <c r="L24" s="493"/>
      <c r="M24" s="484"/>
      <c r="N24" s="538" t="s">
        <v>208</v>
      </c>
      <c r="O24" s="654" t="s">
        <v>139</v>
      </c>
    </row>
    <row r="25" spans="1:15" ht="16.5" x14ac:dyDescent="0.3">
      <c r="A25" s="494"/>
      <c r="B25" s="495" t="s">
        <v>1042</v>
      </c>
      <c r="C25" s="655">
        <v>19000</v>
      </c>
      <c r="D25" s="497" t="s">
        <v>527</v>
      </c>
      <c r="E25" s="656">
        <f>C25*(1-C26)*VLOOKUP($B25,'Standard values'!$C$9:$S$162,14, FALSE)</f>
        <v>300959.99999999994</v>
      </c>
      <c r="F25" s="499" t="s">
        <v>199</v>
      </c>
      <c r="G25" s="499"/>
      <c r="H25" s="499"/>
      <c r="I25" s="500" t="s">
        <v>1053</v>
      </c>
      <c r="J25" s="500" t="s">
        <v>1054</v>
      </c>
      <c r="K25" s="500" t="s">
        <v>1055</v>
      </c>
      <c r="L25" s="501" t="s">
        <v>1056</v>
      </c>
      <c r="M25" s="379"/>
      <c r="N25" s="540" t="s">
        <v>1056</v>
      </c>
      <c r="O25" s="657" t="s">
        <v>550</v>
      </c>
    </row>
    <row r="26" spans="1:15" ht="15.75" x14ac:dyDescent="0.3">
      <c r="A26" s="503"/>
      <c r="B26" s="495" t="s">
        <v>521</v>
      </c>
      <c r="C26" s="658">
        <v>0.34</v>
      </c>
      <c r="D26" s="497"/>
      <c r="E26" s="505">
        <v>1</v>
      </c>
      <c r="F26" s="506" t="s">
        <v>200</v>
      </c>
      <c r="G26" s="506"/>
      <c r="H26" s="495"/>
      <c r="I26" s="507"/>
      <c r="J26" s="508"/>
      <c r="K26" s="508"/>
      <c r="L26" s="509"/>
      <c r="M26" s="379"/>
      <c r="N26" s="541"/>
      <c r="O26" s="616"/>
    </row>
    <row r="27" spans="1:15" ht="15.75" x14ac:dyDescent="0.3">
      <c r="A27" s="503"/>
      <c r="B27" s="495"/>
      <c r="C27" s="660"/>
      <c r="D27" s="497"/>
      <c r="E27" s="510">
        <f>+C25/E219</f>
        <v>0.12569025219110985</v>
      </c>
      <c r="F27" s="506" t="s">
        <v>846</v>
      </c>
      <c r="G27" s="506"/>
      <c r="H27" s="495"/>
      <c r="I27" s="546"/>
      <c r="J27" s="546"/>
      <c r="K27" s="546"/>
      <c r="L27" s="661"/>
      <c r="M27" s="379"/>
      <c r="N27" s="541"/>
      <c r="O27" s="616"/>
    </row>
    <row r="28" spans="1:15" x14ac:dyDescent="0.2">
      <c r="A28" s="503"/>
      <c r="B28" s="511" t="s">
        <v>525</v>
      </c>
      <c r="C28" s="660"/>
      <c r="D28" s="497"/>
      <c r="E28" s="503"/>
      <c r="F28" s="495"/>
      <c r="G28" s="495"/>
      <c r="H28" s="495"/>
      <c r="I28" s="546"/>
      <c r="J28" s="546"/>
      <c r="K28" s="546"/>
      <c r="L28" s="661"/>
      <c r="M28" s="379"/>
      <c r="N28" s="541"/>
      <c r="O28" s="616"/>
    </row>
    <row r="29" spans="1:15" ht="14.25" x14ac:dyDescent="0.2">
      <c r="A29" s="503"/>
      <c r="B29" s="495" t="s">
        <v>509</v>
      </c>
      <c r="C29" s="662">
        <v>2064.5855999999999</v>
      </c>
      <c r="D29" s="497" t="s">
        <v>528</v>
      </c>
      <c r="E29" s="513"/>
      <c r="F29" s="495"/>
      <c r="G29" s="495"/>
      <c r="H29" s="495"/>
      <c r="I29" s="508">
        <f>$C29*VLOOKUP($B29,'Standard values'!$C$9:$S$162,7, FALSE)/$E$219</f>
        <v>1.196954807509053</v>
      </c>
      <c r="J29" s="508">
        <f>$C29*VLOOKUP($B29,'Standard values'!$C$9:$S$162,8, FALSE)/$E$219</f>
        <v>0</v>
      </c>
      <c r="K29" s="508">
        <f>$C29*VLOOKUP($B29,'Standard values'!$C$9:$S$162,9, FALSE)/$E$219</f>
        <v>0</v>
      </c>
      <c r="L29" s="509">
        <f>I29*'Standard values'!$D$10+J29*'Standard values'!$D$11+K29*'Standard values'!$D$12</f>
        <v>1.196954807509053</v>
      </c>
      <c r="M29" s="379"/>
      <c r="N29" s="562">
        <f>+L29/$E$27</f>
        <v>9.5230519999999999</v>
      </c>
      <c r="O29" s="663">
        <f>L29*$E$219/1000</f>
        <v>180.93798799999999</v>
      </c>
    </row>
    <row r="30" spans="1:15" x14ac:dyDescent="0.2">
      <c r="A30" s="503"/>
      <c r="B30" s="495"/>
      <c r="C30" s="660"/>
      <c r="D30" s="497"/>
      <c r="E30" s="513"/>
      <c r="F30" s="495"/>
      <c r="G30" s="495"/>
      <c r="H30" s="495"/>
      <c r="I30" s="508"/>
      <c r="J30" s="508"/>
      <c r="K30" s="508"/>
      <c r="L30" s="509"/>
      <c r="M30" s="379"/>
      <c r="N30" s="562"/>
      <c r="O30" s="663"/>
    </row>
    <row r="31" spans="1:15" x14ac:dyDescent="0.2">
      <c r="A31" s="503"/>
      <c r="B31" s="511" t="s">
        <v>1045</v>
      </c>
      <c r="C31" s="660"/>
      <c r="D31" s="497"/>
      <c r="E31" s="513"/>
      <c r="F31" s="495"/>
      <c r="G31" s="495"/>
      <c r="H31" s="495"/>
      <c r="I31" s="508"/>
      <c r="J31" s="508"/>
      <c r="K31" s="508"/>
      <c r="L31" s="509"/>
      <c r="M31" s="379"/>
      <c r="N31" s="562"/>
      <c r="O31" s="663"/>
    </row>
    <row r="32" spans="1:15" ht="14.25" x14ac:dyDescent="0.2">
      <c r="A32" s="503"/>
      <c r="B32" s="495" t="s">
        <v>231</v>
      </c>
      <c r="C32" s="664">
        <v>127.90799999999999</v>
      </c>
      <c r="D32" s="497" t="s">
        <v>529</v>
      </c>
      <c r="E32" s="513"/>
      <c r="F32" s="495"/>
      <c r="G32" s="495"/>
      <c r="H32" s="495"/>
      <c r="I32" s="508">
        <f>$C32*VLOOKUP($B32,'Standard values'!$C$9:$S$162,3, FALSE)/$E$219</f>
        <v>2.3920610868200201</v>
      </c>
      <c r="J32" s="508">
        <f>$C32*VLOOKUP($B32,'Standard values'!$C$9:$S$162,4, FALSE)/$E$219</f>
        <v>7.3435386547414869E-3</v>
      </c>
      <c r="K32" s="508">
        <f>$C32*VLOOKUP($B32,'Standard values'!$C$9:$S$162,5, FALSE)/$E$219</f>
        <v>8.1583780017152659E-3</v>
      </c>
      <c r="L32" s="509">
        <f>I32*'Standard values'!$D$10+J32*'Standard values'!$D$11+K32*'Standard values'!$D$12</f>
        <v>5.0068461976997067</v>
      </c>
      <c r="M32" s="379"/>
      <c r="N32" s="562">
        <f t="shared" ref="N32:N38" si="1">+L32/$E$27</f>
        <v>39.834801111599994</v>
      </c>
      <c r="O32" s="663">
        <f t="shared" ref="O32:O38" si="2">L32*$E$219/1000</f>
        <v>756.86122112039993</v>
      </c>
    </row>
    <row r="33" spans="1:15" ht="14.25" x14ac:dyDescent="0.2">
      <c r="A33" s="503"/>
      <c r="B33" s="495" t="s">
        <v>504</v>
      </c>
      <c r="C33" s="556">
        <v>0</v>
      </c>
      <c r="D33" s="497" t="s">
        <v>529</v>
      </c>
      <c r="E33" s="513"/>
      <c r="F33" s="495"/>
      <c r="G33" s="495"/>
      <c r="H33" s="495"/>
      <c r="I33" s="508">
        <f>$C33*VLOOKUP($B33,'Standard values'!$C$9:$S$162,3, FALSE)/$E$219</f>
        <v>0</v>
      </c>
      <c r="J33" s="508">
        <f>$C33*VLOOKUP($B33,'Standard values'!$C$9:$S$162,4, FALSE)/$E$219</f>
        <v>0</v>
      </c>
      <c r="K33" s="508">
        <f>$C33*VLOOKUP($B33,'Standard values'!$C$9:$S$162,5, FALSE)/$E$219</f>
        <v>0</v>
      </c>
      <c r="L33" s="509">
        <f>I33*'Standard values'!$D$10+J33*'Standard values'!$D$11+K33*'Standard values'!$D$12</f>
        <v>0</v>
      </c>
      <c r="M33" s="379"/>
      <c r="N33" s="562">
        <f>+L33/$E$27</f>
        <v>0</v>
      </c>
      <c r="O33" s="663">
        <f>L33*$E$219/1000</f>
        <v>0</v>
      </c>
    </row>
    <row r="34" spans="1:15" ht="14.25" x14ac:dyDescent="0.2">
      <c r="A34" s="503"/>
      <c r="B34" s="495" t="s">
        <v>234</v>
      </c>
      <c r="C34" s="664">
        <v>0</v>
      </c>
      <c r="D34" s="497" t="s">
        <v>745</v>
      </c>
      <c r="E34" s="513"/>
      <c r="F34" s="495"/>
      <c r="G34" s="495"/>
      <c r="H34" s="495"/>
      <c r="I34" s="508">
        <f>$C34*VLOOKUP($B34,'Standard values'!$C$9:$S$162,3, FALSE)/$E$219</f>
        <v>0</v>
      </c>
      <c r="J34" s="508">
        <f>$C34*VLOOKUP($B34,'Standard values'!$C$9:$S$162,4, FALSE)/$E$219</f>
        <v>0</v>
      </c>
      <c r="K34" s="508">
        <f>$C34*VLOOKUP($B34,'Standard values'!$C$9:$S$162,5, FALSE)/$E$219</f>
        <v>0</v>
      </c>
      <c r="L34" s="509">
        <f>I34*'Standard values'!$D$10+J34*'Standard values'!$D$11+K34*'Standard values'!$D$12</f>
        <v>0</v>
      </c>
      <c r="M34" s="379"/>
      <c r="N34" s="562">
        <f t="shared" si="1"/>
        <v>0</v>
      </c>
      <c r="O34" s="663">
        <f t="shared" si="2"/>
        <v>0</v>
      </c>
    </row>
    <row r="35" spans="1:15" ht="15.75" x14ac:dyDescent="0.3">
      <c r="A35" s="503"/>
      <c r="B35" s="495" t="s">
        <v>233</v>
      </c>
      <c r="C35" s="664">
        <v>199.804</v>
      </c>
      <c r="D35" s="497" t="s">
        <v>530</v>
      </c>
      <c r="E35" s="513"/>
      <c r="F35" s="495"/>
      <c r="G35" s="495"/>
      <c r="H35" s="495"/>
      <c r="I35" s="508">
        <f>$C35*VLOOKUP($B35,'Standard values'!$C$9:$S$162,3, FALSE)/$E$219</f>
        <v>0.70887359371171288</v>
      </c>
      <c r="J35" s="508">
        <f>$C35*VLOOKUP($B35,'Standard values'!$C$9:$S$162,4, FALSE)/$E$219</f>
        <v>2.0763507293283241E-3</v>
      </c>
      <c r="K35" s="508">
        <f>$C35*VLOOKUP($B35,'Standard values'!$C$9:$S$162,5, FALSE)/$E$219</f>
        <v>1.625763191211305E-5</v>
      </c>
      <c r="L35" s="509">
        <f>I35*'Standard values'!$D$10+J35*'Standard values'!$D$11+K35*'Standard values'!$D$12</f>
        <v>0.76562713625473067</v>
      </c>
      <c r="M35" s="379"/>
      <c r="N35" s="562">
        <f t="shared" si="1"/>
        <v>6.0913803807999995</v>
      </c>
      <c r="O35" s="663">
        <f t="shared" si="2"/>
        <v>115.73622723519999</v>
      </c>
    </row>
    <row r="36" spans="1:15" ht="15.75" x14ac:dyDescent="0.3">
      <c r="A36" s="503"/>
      <c r="B36" s="495" t="s">
        <v>232</v>
      </c>
      <c r="C36" s="664">
        <v>143.792</v>
      </c>
      <c r="D36" s="497" t="s">
        <v>531</v>
      </c>
      <c r="E36" s="513"/>
      <c r="F36" s="495"/>
      <c r="G36" s="495"/>
      <c r="H36" s="495"/>
      <c r="I36" s="508">
        <f>$C36*VLOOKUP($B36,'Standard values'!$C$9:$S$162,3, FALSE)/$E$219</f>
        <v>0.91782303067739412</v>
      </c>
      <c r="J36" s="508">
        <f>$C36*VLOOKUP($B36,'Standard values'!$C$9:$S$162,4, FALSE)/$E$219</f>
        <v>1.2660789158430671E-3</v>
      </c>
      <c r="K36" s="508">
        <f>$C36*VLOOKUP($B36,'Standard values'!$C$9:$S$162,5, FALSE)/$E$219</f>
        <v>4.898802717198945E-5</v>
      </c>
      <c r="L36" s="509">
        <f>I36*'Standard values'!$D$10+J36*'Standard values'!$D$11+K36*'Standard values'!$D$12</f>
        <v>0.96407343567072368</v>
      </c>
      <c r="M36" s="379"/>
      <c r="N36" s="562">
        <f t="shared" si="1"/>
        <v>7.670232328</v>
      </c>
      <c r="O36" s="663">
        <f t="shared" si="2"/>
        <v>145.73441423200001</v>
      </c>
    </row>
    <row r="37" spans="1:15" ht="14.25" x14ac:dyDescent="0.2">
      <c r="A37" s="503"/>
      <c r="B37" s="495" t="s">
        <v>1081</v>
      </c>
      <c r="C37" s="664">
        <v>585.91452991452979</v>
      </c>
      <c r="D37" s="497" t="s">
        <v>103</v>
      </c>
      <c r="E37" s="513"/>
      <c r="F37" s="495"/>
      <c r="G37" s="495"/>
      <c r="H37" s="495"/>
      <c r="I37" s="508">
        <f>$C37*VLOOKUP($B37,'Standard values'!$C$9:$S$162,3, FALSE)/$E$219</f>
        <v>0</v>
      </c>
      <c r="J37" s="508">
        <f>$C37*VLOOKUP($B37,'Standard values'!$C$9:$S$162,4, FALSE)/$E$219</f>
        <v>0</v>
      </c>
      <c r="K37" s="508">
        <f>$C37*VLOOKUP($B37,'Standard values'!$C$9:$S$162,5, FALSE)/$E$219</f>
        <v>0</v>
      </c>
      <c r="L37" s="509">
        <f>I37*'Standard values'!$D$10+J37*'Standard values'!$D$11+K37*'Standard values'!$D$12</f>
        <v>0</v>
      </c>
      <c r="M37" s="379"/>
      <c r="N37" s="562">
        <f t="shared" si="1"/>
        <v>0</v>
      </c>
      <c r="O37" s="663">
        <f t="shared" si="2"/>
        <v>0</v>
      </c>
    </row>
    <row r="38" spans="1:15" ht="14.25" x14ac:dyDescent="0.2">
      <c r="A38" s="503"/>
      <c r="B38" s="495" t="s">
        <v>502</v>
      </c>
      <c r="C38" s="664">
        <v>8.36</v>
      </c>
      <c r="D38" s="497" t="s">
        <v>527</v>
      </c>
      <c r="E38" s="513"/>
      <c r="F38" s="665"/>
      <c r="G38" s="665"/>
      <c r="H38" s="665"/>
      <c r="I38" s="508">
        <f>$C38*VLOOKUP($B38,'Standard values'!$C$9:$S$162,3, FALSE)/$E$219</f>
        <v>0.54676024905388132</v>
      </c>
      <c r="J38" s="508">
        <f>$C38*VLOOKUP($B38,'Standard values'!$C$9:$S$162,4, FALSE)/$E$219</f>
        <v>1.4117433601513794E-3</v>
      </c>
      <c r="K38" s="508">
        <f>$C38*VLOOKUP($B38,'Standard values'!$C$9:$S$162,5, FALSE)/$E$219</f>
        <v>9.2987659615018119E-5</v>
      </c>
      <c r="L38" s="509">
        <f>I38*'Standard values'!$D$10+J38*'Standard values'!$D$11+K38*'Standard values'!$D$12</f>
        <v>0.60976415562294117</v>
      </c>
      <c r="M38" s="379"/>
      <c r="N38" s="562">
        <f t="shared" si="1"/>
        <v>4.8513241480000007</v>
      </c>
      <c r="O38" s="663">
        <f t="shared" si="2"/>
        <v>92.175158811999992</v>
      </c>
    </row>
    <row r="39" spans="1:15" x14ac:dyDescent="0.2">
      <c r="A39" s="503"/>
      <c r="B39" s="495"/>
      <c r="C39" s="666"/>
      <c r="D39" s="497"/>
      <c r="E39" s="513"/>
      <c r="F39" s="665"/>
      <c r="G39" s="665"/>
      <c r="H39" s="665"/>
      <c r="I39" s="508"/>
      <c r="J39" s="508"/>
      <c r="K39" s="508"/>
      <c r="L39" s="509"/>
      <c r="M39" s="379"/>
      <c r="N39" s="562"/>
      <c r="O39" s="663"/>
    </row>
    <row r="40" spans="1:15" ht="15" x14ac:dyDescent="0.25">
      <c r="A40" s="503"/>
      <c r="B40" s="511" t="s">
        <v>1046</v>
      </c>
      <c r="C40" s="669">
        <v>3.5112000000000001</v>
      </c>
      <c r="D40" s="497" t="s">
        <v>527</v>
      </c>
      <c r="E40" s="513"/>
      <c r="F40" s="495"/>
      <c r="G40" s="495"/>
      <c r="H40" s="495"/>
      <c r="I40" s="508">
        <v>0</v>
      </c>
      <c r="J40" s="508">
        <v>0</v>
      </c>
      <c r="K40" s="508">
        <f>1000*$C40/$E$219</f>
        <v>2.3227558604917105E-2</v>
      </c>
      <c r="L40" s="509">
        <f>I40*'Standard values'!$D$10+J40*'Standard values'!$D$11+K40*'Standard values'!$D$12</f>
        <v>6.9218124642652974</v>
      </c>
      <c r="M40" s="379"/>
      <c r="N40" s="562">
        <f>+L40/$E$27</f>
        <v>55.070400000000014</v>
      </c>
      <c r="O40" s="750">
        <f>L40*$E$219/1000</f>
        <v>1046.3376000000003</v>
      </c>
    </row>
    <row r="41" spans="1:15" ht="15.75" x14ac:dyDescent="0.3">
      <c r="A41" s="503"/>
      <c r="B41" s="511"/>
      <c r="C41" s="670" t="s">
        <v>664</v>
      </c>
      <c r="D41" s="495"/>
      <c r="E41" s="513"/>
      <c r="F41" s="514"/>
      <c r="G41" s="514"/>
      <c r="H41" s="514" t="s">
        <v>1047</v>
      </c>
      <c r="I41" s="515">
        <f>SUM(I26:I40)</f>
        <v>5.7624727677720617</v>
      </c>
      <c r="J41" s="515">
        <f>SUM(J26:J40)</f>
        <v>1.2097711660064257E-2</v>
      </c>
      <c r="K41" s="515">
        <f>SUM(K26:K40)</f>
        <v>3.1544169925331489E-2</v>
      </c>
      <c r="L41" s="516">
        <f>I41*'Standard values'!$D$10+J41*'Standard values'!$D$11+K41*'Standard values'!$D$12</f>
        <v>15.465078197022452</v>
      </c>
      <c r="M41" s="379"/>
      <c r="N41" s="1201">
        <f>+L41/E$27</f>
        <v>123.0411899684</v>
      </c>
      <c r="O41" s="1202">
        <f>L41*$E$219/1000</f>
        <v>2337.7826093996</v>
      </c>
    </row>
    <row r="42" spans="1:15" x14ac:dyDescent="0.2">
      <c r="A42" s="503"/>
      <c r="B42" s="511"/>
      <c r="C42" s="671" t="s">
        <v>665</v>
      </c>
      <c r="D42" s="495"/>
      <c r="E42" s="513"/>
      <c r="F42" s="514"/>
      <c r="G42" s="514"/>
      <c r="H42" s="514"/>
      <c r="I42" s="416"/>
      <c r="J42" s="416"/>
      <c r="K42" s="416"/>
      <c r="L42" s="436"/>
      <c r="M42" s="379"/>
      <c r="N42" s="1203"/>
      <c r="O42" s="1204"/>
    </row>
    <row r="43" spans="1:15" ht="14.25" x14ac:dyDescent="0.25">
      <c r="A43" s="519"/>
      <c r="B43" s="520"/>
      <c r="C43" s="520"/>
      <c r="D43" s="520"/>
      <c r="E43" s="519"/>
      <c r="F43" s="521"/>
      <c r="G43" s="521"/>
      <c r="H43" s="521" t="s">
        <v>534</v>
      </c>
      <c r="I43" s="522"/>
      <c r="J43" s="523" t="s">
        <v>675</v>
      </c>
      <c r="K43" s="524"/>
      <c r="L43" s="525">
        <f>N41*E$27</f>
        <v>15.465078197022452</v>
      </c>
      <c r="M43" s="379"/>
      <c r="N43" s="390"/>
      <c r="O43" s="390"/>
    </row>
    <row r="44" spans="1:15" x14ac:dyDescent="0.2">
      <c r="A44" s="379"/>
      <c r="B44" s="379"/>
      <c r="C44" s="379"/>
      <c r="D44" s="379"/>
      <c r="E44" s="379"/>
      <c r="F44" s="526"/>
      <c r="G44" s="526"/>
      <c r="H44" s="526"/>
      <c r="I44" s="527"/>
      <c r="J44" s="528"/>
      <c r="K44" s="484"/>
      <c r="L44" s="430"/>
      <c r="M44" s="379"/>
      <c r="N44" s="390"/>
      <c r="O44" s="390"/>
    </row>
    <row r="45" spans="1:15" x14ac:dyDescent="0.2">
      <c r="A45" s="390"/>
      <c r="B45" s="390"/>
      <c r="C45" s="390"/>
      <c r="D45" s="390"/>
      <c r="E45" s="390"/>
      <c r="F45" s="390"/>
      <c r="G45" s="390"/>
      <c r="H45" s="390"/>
      <c r="I45" s="529"/>
      <c r="J45" s="529"/>
      <c r="K45" s="529"/>
      <c r="L45" s="529"/>
      <c r="M45" s="379"/>
      <c r="N45" s="390"/>
      <c r="O45" s="390"/>
    </row>
    <row r="46" spans="1:15" ht="15.75" x14ac:dyDescent="0.25">
      <c r="A46" s="530" t="s">
        <v>202</v>
      </c>
      <c r="B46" s="531"/>
      <c r="C46" s="531"/>
      <c r="D46" s="531"/>
      <c r="E46" s="530" t="s">
        <v>513</v>
      </c>
      <c r="F46" s="532"/>
      <c r="G46" s="532"/>
      <c r="H46" s="531"/>
      <c r="I46" s="532" t="s">
        <v>532</v>
      </c>
      <c r="J46" s="533"/>
      <c r="K46" s="533"/>
      <c r="L46" s="534"/>
      <c r="M46" s="379"/>
      <c r="N46" s="535" t="s">
        <v>162</v>
      </c>
      <c r="O46" s="390"/>
    </row>
    <row r="47" spans="1:15" ht="15.75" x14ac:dyDescent="0.3">
      <c r="A47" s="503"/>
      <c r="B47" s="511" t="s">
        <v>1042</v>
      </c>
      <c r="C47" s="593">
        <v>1</v>
      </c>
      <c r="D47" s="495" t="s">
        <v>205</v>
      </c>
      <c r="E47" s="553">
        <f>E25*C47</f>
        <v>300959.99999999994</v>
      </c>
      <c r="F47" s="499" t="s">
        <v>199</v>
      </c>
      <c r="G47" s="499"/>
      <c r="H47" s="495"/>
      <c r="I47" s="492" t="s">
        <v>674</v>
      </c>
      <c r="J47" s="514"/>
      <c r="K47" s="514"/>
      <c r="L47" s="537"/>
      <c r="M47" s="379"/>
      <c r="N47" s="554" t="s">
        <v>208</v>
      </c>
      <c r="O47" s="390"/>
    </row>
    <row r="48" spans="1:15" ht="15.75" x14ac:dyDescent="0.3">
      <c r="A48" s="503"/>
      <c r="B48" s="495"/>
      <c r="C48" s="495"/>
      <c r="D48" s="495"/>
      <c r="E48" s="505">
        <f>E26*C47</f>
        <v>1</v>
      </c>
      <c r="F48" s="506" t="s">
        <v>200</v>
      </c>
      <c r="G48" s="506"/>
      <c r="H48" s="495"/>
      <c r="I48" s="539" t="s">
        <v>1053</v>
      </c>
      <c r="J48" s="539" t="s">
        <v>1054</v>
      </c>
      <c r="K48" s="539" t="s">
        <v>1055</v>
      </c>
      <c r="L48" s="540" t="s">
        <v>1056</v>
      </c>
      <c r="M48" s="379"/>
      <c r="N48" s="540" t="s">
        <v>1056</v>
      </c>
      <c r="O48" s="390"/>
    </row>
    <row r="49" spans="1:15" x14ac:dyDescent="0.2">
      <c r="A49" s="503"/>
      <c r="B49" s="511" t="s">
        <v>498</v>
      </c>
      <c r="C49" s="495"/>
      <c r="D49" s="495"/>
      <c r="E49" s="505"/>
      <c r="F49" s="506"/>
      <c r="G49" s="506"/>
      <c r="H49" s="495"/>
      <c r="I49" s="539"/>
      <c r="J49" s="539"/>
      <c r="K49" s="539"/>
      <c r="L49" s="540"/>
      <c r="M49" s="379"/>
      <c r="N49" s="541"/>
      <c r="O49" s="390"/>
    </row>
    <row r="50" spans="1:15" ht="15.75" x14ac:dyDescent="0.3">
      <c r="A50" s="503"/>
      <c r="B50" s="495" t="s">
        <v>1111</v>
      </c>
      <c r="C50" s="595">
        <v>20</v>
      </c>
      <c r="D50" s="495" t="s">
        <v>510</v>
      </c>
      <c r="E50" s="543">
        <f>(C50*E48)/(VLOOKUP($B47,'Standard values'!$C$9:$S$162,14, FALSE))/(1-$C$26)/1000</f>
        <v>1.2626262626262627E-3</v>
      </c>
      <c r="F50" s="495" t="s">
        <v>245</v>
      </c>
      <c r="G50" s="495"/>
      <c r="H50" s="495"/>
      <c r="I50" s="544">
        <f>$E50*VLOOKUP($B50,'Standard values'!$C$9:$S$162,15, FALSE)*VLOOKUP(C51,'Standard values'!$C$9:$S$162,7, FALSE)/$E$220</f>
        <v>0.2062074277447348</v>
      </c>
      <c r="J50" s="544">
        <f>$E50*((VLOOKUP($B50,'Standard values'!$C$9:$S$162,15, FALSE)*VLOOKUP(C51,'Standard values'!$C$9:$S$162,8, FALSE))+VLOOKUP($B50,'Standard values'!$C$9:$S$162,16, FALSE))/$E$220</f>
        <v>1.2569025219110984E-5</v>
      </c>
      <c r="K50" s="544">
        <f>$E50*((VLOOKUP($B50,'Standard values'!$C$9:$S$162,15, FALSE)*VLOOKUP(C51,'Standard values'!$C$9:$S$162,9, FALSE))+VLOOKUP($B50,'Standard values'!$C$9:$S$162,17, FALSE))/$E$220</f>
        <v>0</v>
      </c>
      <c r="L50" s="516">
        <f>I50*'Standard values'!$D$10+J50*'Standard values'!$D$11+K50*'Standard values'!$D$12</f>
        <v>0.20652165337521258</v>
      </c>
      <c r="M50" s="379"/>
      <c r="N50" s="1201">
        <f>+L50/E$27</f>
        <v>1.6430999999999998</v>
      </c>
      <c r="O50" s="390"/>
    </row>
    <row r="51" spans="1:15" x14ac:dyDescent="0.2">
      <c r="A51" s="503"/>
      <c r="B51" s="546" t="s">
        <v>54</v>
      </c>
      <c r="C51" s="673" t="s">
        <v>509</v>
      </c>
      <c r="D51" s="495"/>
      <c r="E51" s="543"/>
      <c r="F51" s="495"/>
      <c r="G51" s="495"/>
      <c r="H51" s="495"/>
      <c r="I51" s="544"/>
      <c r="J51" s="544"/>
      <c r="K51" s="544"/>
      <c r="L51" s="516"/>
      <c r="M51" s="379"/>
      <c r="N51" s="1203"/>
      <c r="O51" s="390"/>
    </row>
    <row r="52" spans="1:15" x14ac:dyDescent="0.2">
      <c r="A52" s="503"/>
      <c r="B52" s="495"/>
      <c r="C52" s="495"/>
      <c r="D52" s="495"/>
      <c r="E52" s="503"/>
      <c r="F52" s="495"/>
      <c r="G52" s="495"/>
      <c r="H52" s="548"/>
      <c r="I52" s="544"/>
      <c r="J52" s="544"/>
      <c r="K52" s="544"/>
      <c r="L52" s="516"/>
      <c r="M52" s="379"/>
      <c r="N52" s="390"/>
      <c r="O52" s="390"/>
    </row>
    <row r="53" spans="1:15" ht="14.25" x14ac:dyDescent="0.25">
      <c r="A53" s="519"/>
      <c r="B53" s="520"/>
      <c r="C53" s="520"/>
      <c r="D53" s="520"/>
      <c r="E53" s="519"/>
      <c r="F53" s="521"/>
      <c r="G53" s="521"/>
      <c r="H53" s="521" t="s">
        <v>534</v>
      </c>
      <c r="I53" s="520"/>
      <c r="J53" s="523" t="s">
        <v>675</v>
      </c>
      <c r="K53" s="549"/>
      <c r="L53" s="525">
        <f>N50*E$27</f>
        <v>0.20652165337521258</v>
      </c>
      <c r="M53" s="379"/>
      <c r="N53" s="390"/>
      <c r="O53" s="390"/>
    </row>
    <row r="54" spans="1:15" x14ac:dyDescent="0.2">
      <c r="A54" s="390"/>
      <c r="B54" s="390"/>
      <c r="C54" s="390"/>
      <c r="D54" s="390"/>
      <c r="E54" s="390"/>
      <c r="F54" s="376"/>
      <c r="G54" s="376"/>
      <c r="H54" s="376"/>
      <c r="I54" s="390"/>
      <c r="J54" s="550"/>
      <c r="K54" s="551"/>
      <c r="L54" s="552"/>
      <c r="M54" s="379"/>
      <c r="N54" s="379"/>
      <c r="O54" s="379"/>
    </row>
    <row r="55" spans="1:15" x14ac:dyDescent="0.2">
      <c r="A55" s="390"/>
      <c r="B55" s="390"/>
      <c r="C55" s="390"/>
      <c r="D55" s="390"/>
      <c r="E55" s="390"/>
      <c r="F55" s="376"/>
      <c r="G55" s="376"/>
      <c r="H55" s="376"/>
      <c r="I55" s="390"/>
      <c r="J55" s="550"/>
      <c r="K55" s="551"/>
      <c r="L55" s="552"/>
      <c r="M55" s="379"/>
      <c r="N55" s="379"/>
      <c r="O55" s="379"/>
    </row>
    <row r="56" spans="1:15" ht="15.75" x14ac:dyDescent="0.25">
      <c r="A56" s="530" t="s">
        <v>104</v>
      </c>
      <c r="B56" s="531"/>
      <c r="C56" s="531"/>
      <c r="D56" s="531"/>
      <c r="E56" s="530" t="s">
        <v>513</v>
      </c>
      <c r="F56" s="532"/>
      <c r="G56" s="532"/>
      <c r="H56" s="531"/>
      <c r="I56" s="532" t="s">
        <v>532</v>
      </c>
      <c r="J56" s="533"/>
      <c r="K56" s="533"/>
      <c r="L56" s="534"/>
      <c r="M56" s="379"/>
      <c r="N56" s="535" t="s">
        <v>162</v>
      </c>
      <c r="O56" s="379"/>
    </row>
    <row r="57" spans="1:15" ht="15.75" x14ac:dyDescent="0.3">
      <c r="A57" s="587"/>
      <c r="B57" s="511" t="s">
        <v>1042</v>
      </c>
      <c r="C57" s="593">
        <v>0.98</v>
      </c>
      <c r="D57" s="495" t="s">
        <v>205</v>
      </c>
      <c r="E57" s="588">
        <f>E47*C57</f>
        <v>294940.79999999993</v>
      </c>
      <c r="F57" s="499" t="s">
        <v>199</v>
      </c>
      <c r="G57" s="499"/>
      <c r="H57" s="495"/>
      <c r="I57" s="492" t="s">
        <v>674</v>
      </c>
      <c r="J57" s="514"/>
      <c r="K57" s="514"/>
      <c r="L57" s="537"/>
      <c r="M57" s="379"/>
      <c r="N57" s="554" t="s">
        <v>208</v>
      </c>
      <c r="O57" s="379"/>
    </row>
    <row r="58" spans="1:15" ht="15.75" x14ac:dyDescent="0.3">
      <c r="A58" s="587"/>
      <c r="B58" s="495"/>
      <c r="C58" s="512"/>
      <c r="D58" s="495"/>
      <c r="E58" s="505">
        <f>E48*C57</f>
        <v>0.98</v>
      </c>
      <c r="F58" s="506" t="s">
        <v>200</v>
      </c>
      <c r="G58" s="506"/>
      <c r="H58" s="495"/>
      <c r="I58" s="539" t="s">
        <v>1053</v>
      </c>
      <c r="J58" s="539" t="s">
        <v>1054</v>
      </c>
      <c r="K58" s="539" t="s">
        <v>1055</v>
      </c>
      <c r="L58" s="540" t="s">
        <v>1056</v>
      </c>
      <c r="M58" s="379"/>
      <c r="N58" s="540" t="s">
        <v>1056</v>
      </c>
      <c r="O58" s="379"/>
    </row>
    <row r="59" spans="1:15" x14ac:dyDescent="0.2">
      <c r="A59" s="503"/>
      <c r="B59" s="511" t="s">
        <v>525</v>
      </c>
      <c r="C59" s="495"/>
      <c r="D59" s="495"/>
      <c r="E59" s="503"/>
      <c r="F59" s="495"/>
      <c r="G59" s="495"/>
      <c r="H59" s="495"/>
      <c r="I59" s="495"/>
      <c r="J59" s="495"/>
      <c r="K59" s="495"/>
      <c r="L59" s="541"/>
      <c r="M59" s="379"/>
      <c r="N59" s="541"/>
      <c r="O59" s="379"/>
    </row>
    <row r="60" spans="1:15" ht="15.75" x14ac:dyDescent="0.3">
      <c r="A60" s="503"/>
      <c r="B60" s="499" t="s">
        <v>509</v>
      </c>
      <c r="C60" s="672">
        <v>0</v>
      </c>
      <c r="D60" s="495" t="s">
        <v>207</v>
      </c>
      <c r="E60" s="503"/>
      <c r="F60" s="495"/>
      <c r="G60" s="495"/>
      <c r="H60" s="495"/>
      <c r="I60" s="544">
        <f>$C60*$E$58*VLOOKUP($B60,'Standard values'!$C$9:$S$162,7, FALSE)/$E$220</f>
        <v>0</v>
      </c>
      <c r="J60" s="544">
        <f>$C60*$E$58*VLOOKUP($B60,'Standard values'!$C$9:$S$162,8, FALSE)/$E$220</f>
        <v>0</v>
      </c>
      <c r="K60" s="544">
        <f>$C60*$E$58*VLOOKUP($B60,'Standard values'!$C$9:$S$162,9, FALSE)/$E$220</f>
        <v>0</v>
      </c>
      <c r="L60" s="419">
        <f>I60*'Standard values'!$D$10+J60*'Standard values'!$D$11+K60*'Standard values'!$D$12</f>
        <v>0</v>
      </c>
      <c r="M60" s="379"/>
      <c r="N60" s="562">
        <f>+L60/$E$27</f>
        <v>0</v>
      </c>
      <c r="O60" s="379"/>
    </row>
    <row r="61" spans="1:15" ht="15.75" x14ac:dyDescent="0.3">
      <c r="A61" s="503"/>
      <c r="B61" s="1301" t="s">
        <v>239</v>
      </c>
      <c r="C61" s="672">
        <v>0</v>
      </c>
      <c r="D61" s="495" t="s">
        <v>207</v>
      </c>
      <c r="E61" s="503"/>
      <c r="F61" s="495"/>
      <c r="G61" s="495"/>
      <c r="H61" s="495"/>
      <c r="I61" s="544">
        <f>$C61*$E$58*VLOOKUP($B61,'Standard values'!$C$9:$S$162,7, FALSE)/$E$220</f>
        <v>0</v>
      </c>
      <c r="J61" s="544">
        <f>$C61*$E$58*VLOOKUP($B61,'Standard values'!$C$9:$S$162,8, FALSE)/$E$220</f>
        <v>0</v>
      </c>
      <c r="K61" s="544">
        <f>$C61*$E$58*VLOOKUP($B61,'Standard values'!$C$9:$S$162,9, FALSE)/$E$220</f>
        <v>0</v>
      </c>
      <c r="L61" s="419">
        <f>I61*'Standard values'!$D$10+J61*'Standard values'!$D$11+K61*'Standard values'!$D$12</f>
        <v>0</v>
      </c>
      <c r="M61" s="379"/>
      <c r="N61" s="562">
        <f>+L61/$E$27</f>
        <v>0</v>
      </c>
      <c r="O61" s="379"/>
    </row>
    <row r="62" spans="1:15" x14ac:dyDescent="0.2">
      <c r="A62" s="503"/>
      <c r="B62" s="495"/>
      <c r="C62" s="495"/>
      <c r="D62" s="495"/>
      <c r="E62" s="503"/>
      <c r="F62" s="495"/>
      <c r="G62" s="495"/>
      <c r="H62" s="514" t="s">
        <v>1047</v>
      </c>
      <c r="I62" s="515">
        <f>SUM(I59:I61)</f>
        <v>0</v>
      </c>
      <c r="J62" s="515">
        <f>SUM(J59:J61)</f>
        <v>0</v>
      </c>
      <c r="K62" s="515">
        <f>SUM(K59:K61)</f>
        <v>0</v>
      </c>
      <c r="L62" s="516">
        <f>I62*'Standard values'!$D$10+J62*'Standard values'!$D$11+K62*'Standard values'!$D$12</f>
        <v>0</v>
      </c>
      <c r="M62" s="379"/>
      <c r="N62" s="1201">
        <f>+L62/E$27</f>
        <v>0</v>
      </c>
      <c r="O62" s="379"/>
    </row>
    <row r="63" spans="1:15" x14ac:dyDescent="0.2">
      <c r="A63" s="590"/>
      <c r="B63" s="495"/>
      <c r="C63" s="492"/>
      <c r="D63" s="495"/>
      <c r="E63" s="503"/>
      <c r="F63" s="495"/>
      <c r="G63" s="495"/>
      <c r="H63" s="495"/>
      <c r="I63" s="495"/>
      <c r="J63" s="495"/>
      <c r="K63" s="495"/>
      <c r="L63" s="541"/>
      <c r="M63" s="379"/>
      <c r="N63" s="1203"/>
      <c r="O63" s="379"/>
    </row>
    <row r="64" spans="1:15" ht="14.25" x14ac:dyDescent="0.25">
      <c r="A64" s="519"/>
      <c r="B64" s="520"/>
      <c r="C64" s="520"/>
      <c r="D64" s="520"/>
      <c r="E64" s="519"/>
      <c r="F64" s="521"/>
      <c r="G64" s="521"/>
      <c r="H64" s="521" t="s">
        <v>534</v>
      </c>
      <c r="I64" s="520"/>
      <c r="J64" s="523" t="s">
        <v>675</v>
      </c>
      <c r="K64" s="549"/>
      <c r="L64" s="525">
        <f>N62*E$27</f>
        <v>0</v>
      </c>
      <c r="M64" s="379"/>
      <c r="N64" s="642"/>
      <c r="O64" s="379"/>
    </row>
    <row r="65" spans="1:15" x14ac:dyDescent="0.2">
      <c r="A65" s="390"/>
      <c r="B65" s="390"/>
      <c r="C65" s="390"/>
      <c r="D65" s="390"/>
      <c r="E65" s="390"/>
      <c r="F65" s="376"/>
      <c r="G65" s="376"/>
      <c r="H65" s="376"/>
      <c r="I65" s="390"/>
      <c r="J65" s="550"/>
      <c r="K65" s="551"/>
      <c r="L65" s="552"/>
      <c r="M65" s="379"/>
      <c r="N65" s="379"/>
      <c r="O65" s="379"/>
    </row>
    <row r="66" spans="1:15" x14ac:dyDescent="0.2">
      <c r="A66" s="390"/>
      <c r="B66" s="390"/>
      <c r="C66" s="390"/>
      <c r="D66" s="390"/>
      <c r="E66" s="390"/>
      <c r="F66" s="390"/>
      <c r="G66" s="390"/>
      <c r="H66" s="390"/>
      <c r="I66" s="390"/>
      <c r="J66" s="390"/>
      <c r="K66" s="390"/>
      <c r="L66" s="375"/>
      <c r="M66" s="379"/>
      <c r="N66" s="379"/>
      <c r="O66" s="379"/>
    </row>
    <row r="67" spans="1:15" ht="15.75" x14ac:dyDescent="0.25">
      <c r="A67" s="530" t="s">
        <v>639</v>
      </c>
      <c r="B67" s="531"/>
      <c r="C67" s="531"/>
      <c r="D67" s="531"/>
      <c r="E67" s="530" t="s">
        <v>513</v>
      </c>
      <c r="F67" s="532"/>
      <c r="G67" s="532"/>
      <c r="H67" s="531"/>
      <c r="I67" s="532" t="s">
        <v>532</v>
      </c>
      <c r="J67" s="533"/>
      <c r="K67" s="533"/>
      <c r="L67" s="534"/>
      <c r="M67" s="379"/>
      <c r="N67" s="535" t="s">
        <v>162</v>
      </c>
      <c r="O67" s="379"/>
    </row>
    <row r="68" spans="1:15" x14ac:dyDescent="0.2">
      <c r="A68" s="503"/>
      <c r="B68" s="511" t="s">
        <v>524</v>
      </c>
      <c r="C68" s="495"/>
      <c r="D68" s="495"/>
      <c r="E68" s="553"/>
      <c r="F68" s="674"/>
      <c r="G68" s="674"/>
      <c r="H68" s="495"/>
      <c r="I68" s="492" t="s">
        <v>674</v>
      </c>
      <c r="J68" s="514"/>
      <c r="K68" s="514"/>
      <c r="L68" s="537"/>
      <c r="M68" s="379"/>
      <c r="N68" s="554" t="s">
        <v>975</v>
      </c>
      <c r="O68" s="379"/>
    </row>
    <row r="69" spans="1:15" ht="15.75" x14ac:dyDescent="0.3">
      <c r="A69" s="503"/>
      <c r="B69" s="495" t="s">
        <v>1043</v>
      </c>
      <c r="C69" s="675">
        <v>0.53</v>
      </c>
      <c r="D69" s="495" t="s">
        <v>209</v>
      </c>
      <c r="E69" s="553">
        <f>E57*C69</f>
        <v>156318.62399999998</v>
      </c>
      <c r="F69" s="499" t="s">
        <v>654</v>
      </c>
      <c r="G69" s="499"/>
      <c r="H69" s="495"/>
      <c r="I69" s="539" t="s">
        <v>1053</v>
      </c>
      <c r="J69" s="539" t="s">
        <v>1054</v>
      </c>
      <c r="K69" s="539" t="s">
        <v>1055</v>
      </c>
      <c r="L69" s="540" t="s">
        <v>1056</v>
      </c>
      <c r="M69" s="379"/>
      <c r="N69" s="540" t="s">
        <v>1056</v>
      </c>
      <c r="O69" s="379"/>
    </row>
    <row r="70" spans="1:15" ht="15.75" x14ac:dyDescent="0.3">
      <c r="A70" s="563"/>
      <c r="B70" s="506" t="s">
        <v>131</v>
      </c>
      <c r="C70" s="675">
        <v>2.6830808080808084E-2</v>
      </c>
      <c r="D70" s="495" t="s">
        <v>210</v>
      </c>
      <c r="E70" s="505">
        <f>E58*C69</f>
        <v>0.51939999999999997</v>
      </c>
      <c r="F70" s="506" t="s">
        <v>200</v>
      </c>
      <c r="G70" s="506"/>
      <c r="H70" s="495"/>
      <c r="I70" s="495"/>
      <c r="J70" s="495"/>
      <c r="K70" s="495"/>
      <c r="L70" s="541"/>
      <c r="M70" s="379"/>
      <c r="N70" s="541"/>
      <c r="O70" s="379"/>
    </row>
    <row r="71" spans="1:15" ht="15.75" x14ac:dyDescent="0.3">
      <c r="A71" s="563"/>
      <c r="B71" s="506"/>
      <c r="C71" s="564"/>
      <c r="D71" s="506"/>
      <c r="E71" s="557">
        <f>E69/$E$219/VLOOKUP($B69,'Standard values'!$C$9:$S$162,14, FALSE)</f>
        <v>2.7948402948402951E-2</v>
      </c>
      <c r="F71" s="499" t="s">
        <v>537</v>
      </c>
      <c r="G71" s="499"/>
      <c r="H71" s="495"/>
      <c r="I71" s="495"/>
      <c r="J71" s="495"/>
      <c r="K71" s="495"/>
      <c r="L71" s="541"/>
      <c r="M71" s="379"/>
      <c r="N71" s="562"/>
      <c r="O71" s="379"/>
    </row>
    <row r="72" spans="1:15" x14ac:dyDescent="0.2">
      <c r="A72" s="503"/>
      <c r="B72" s="506" t="s">
        <v>579</v>
      </c>
      <c r="C72" s="556">
        <v>1.4</v>
      </c>
      <c r="D72" s="495"/>
      <c r="E72" s="505"/>
      <c r="F72" s="499"/>
      <c r="G72" s="499"/>
      <c r="H72" s="495"/>
      <c r="I72" s="539"/>
      <c r="J72" s="539"/>
      <c r="K72" s="539"/>
      <c r="L72" s="540"/>
      <c r="M72" s="379"/>
      <c r="N72" s="540"/>
      <c r="O72" s="390"/>
    </row>
    <row r="73" spans="1:15" x14ac:dyDescent="0.2">
      <c r="A73" s="563"/>
      <c r="B73" s="506"/>
      <c r="C73" s="564"/>
      <c r="D73" s="506"/>
      <c r="E73" s="557"/>
      <c r="F73" s="499"/>
      <c r="G73" s="499"/>
      <c r="H73" s="495"/>
      <c r="I73" s="495"/>
      <c r="J73" s="495"/>
      <c r="K73" s="495"/>
      <c r="L73" s="541"/>
      <c r="M73" s="379"/>
      <c r="N73" s="562"/>
      <c r="O73" s="379"/>
    </row>
    <row r="74" spans="1:15" x14ac:dyDescent="0.2">
      <c r="A74" s="503"/>
      <c r="B74" s="511" t="s">
        <v>525</v>
      </c>
      <c r="C74" s="495"/>
      <c r="D74" s="495"/>
      <c r="E74" s="513"/>
      <c r="F74" s="495"/>
      <c r="G74" s="495"/>
      <c r="H74" s="495"/>
      <c r="I74" s="495"/>
      <c r="J74" s="495"/>
      <c r="K74" s="495"/>
      <c r="L74" s="541"/>
      <c r="M74" s="379"/>
      <c r="N74" s="562"/>
      <c r="O74" s="379"/>
    </row>
    <row r="75" spans="1:15" ht="15.75" x14ac:dyDescent="0.3">
      <c r="A75" s="503"/>
      <c r="B75" s="495" t="s">
        <v>749</v>
      </c>
      <c r="C75" s="675">
        <v>0</v>
      </c>
      <c r="D75" s="495" t="s">
        <v>644</v>
      </c>
      <c r="E75" s="503" t="s">
        <v>890</v>
      </c>
      <c r="F75" s="495"/>
      <c r="G75" s="495"/>
      <c r="H75" s="495"/>
      <c r="I75" s="544"/>
      <c r="J75" s="544"/>
      <c r="K75" s="544"/>
      <c r="L75" s="419"/>
      <c r="M75" s="379"/>
      <c r="N75" s="562"/>
      <c r="O75" s="379"/>
    </row>
    <row r="76" spans="1:15" ht="15.75" x14ac:dyDescent="0.3">
      <c r="A76" s="503"/>
      <c r="B76" s="495" t="s">
        <v>676</v>
      </c>
      <c r="C76" s="675">
        <v>0</v>
      </c>
      <c r="D76" s="495" t="s">
        <v>644</v>
      </c>
      <c r="E76" s="503" t="s">
        <v>889</v>
      </c>
      <c r="F76" s="495"/>
      <c r="G76" s="495"/>
      <c r="H76" s="495"/>
      <c r="I76" s="544"/>
      <c r="J76" s="544"/>
      <c r="K76" s="544"/>
      <c r="L76" s="419"/>
      <c r="M76" s="379"/>
      <c r="N76" s="562"/>
      <c r="O76" s="379"/>
    </row>
    <row r="77" spans="1:15" x14ac:dyDescent="0.2">
      <c r="A77" s="503"/>
      <c r="B77" s="565" t="s">
        <v>972</v>
      </c>
      <c r="C77" s="566"/>
      <c r="D77" s="566"/>
      <c r="E77" s="567"/>
      <c r="F77" s="568"/>
      <c r="G77" s="568"/>
      <c r="H77" s="568"/>
      <c r="I77" s="569"/>
      <c r="J77" s="568"/>
      <c r="K77" s="568"/>
      <c r="L77" s="570"/>
      <c r="M77" s="379"/>
      <c r="N77" s="562"/>
      <c r="O77" s="379"/>
    </row>
    <row r="78" spans="1:15" x14ac:dyDescent="0.2">
      <c r="A78" s="503"/>
      <c r="B78" s="571" t="s">
        <v>377</v>
      </c>
      <c r="C78" s="566"/>
      <c r="D78" s="566"/>
      <c r="E78" s="567" t="s">
        <v>799</v>
      </c>
      <c r="F78" s="568"/>
      <c r="G78" s="568"/>
      <c r="H78" s="568"/>
      <c r="I78" s="569"/>
      <c r="J78" s="568"/>
      <c r="K78" s="568"/>
      <c r="L78" s="570"/>
      <c r="M78" s="379"/>
      <c r="N78" s="562"/>
      <c r="O78" s="379"/>
    </row>
    <row r="79" spans="1:15" ht="15.75" x14ac:dyDescent="0.3">
      <c r="A79" s="503"/>
      <c r="B79" s="572" t="s">
        <v>380</v>
      </c>
      <c r="C79" s="573">
        <f>C76</f>
        <v>0</v>
      </c>
      <c r="D79" s="568" t="s">
        <v>769</v>
      </c>
      <c r="E79" s="567" t="s">
        <v>768</v>
      </c>
      <c r="F79" s="568"/>
      <c r="G79" s="568"/>
      <c r="H79" s="568"/>
      <c r="I79" s="574"/>
      <c r="J79" s="574"/>
      <c r="K79" s="574"/>
      <c r="L79" s="575"/>
      <c r="M79" s="379"/>
      <c r="N79" s="562"/>
      <c r="O79" s="379"/>
    </row>
    <row r="80" spans="1:15" x14ac:dyDescent="0.2">
      <c r="A80" s="503"/>
      <c r="B80" s="571" t="s">
        <v>378</v>
      </c>
      <c r="C80" s="573"/>
      <c r="D80" s="566"/>
      <c r="E80" s="576"/>
      <c r="F80" s="568"/>
      <c r="G80" s="568"/>
      <c r="H80" s="568"/>
      <c r="I80" s="574"/>
      <c r="J80" s="574"/>
      <c r="K80" s="574"/>
      <c r="L80" s="575"/>
      <c r="M80" s="379"/>
      <c r="N80" s="562"/>
      <c r="O80" s="379"/>
    </row>
    <row r="81" spans="1:15" ht="14.25" x14ac:dyDescent="0.25">
      <c r="A81" s="503"/>
      <c r="B81" s="577" t="s">
        <v>936</v>
      </c>
      <c r="C81" s="536">
        <f>1/0.9</f>
        <v>1.1111111111111112</v>
      </c>
      <c r="D81" s="568" t="s">
        <v>419</v>
      </c>
      <c r="E81" s="578"/>
      <c r="F81" s="568"/>
      <c r="G81" s="568"/>
      <c r="H81" s="568"/>
      <c r="I81" s="574"/>
      <c r="J81" s="574"/>
      <c r="K81" s="574"/>
      <c r="L81" s="575"/>
      <c r="M81" s="379"/>
      <c r="N81" s="562"/>
      <c r="O81" s="379"/>
    </row>
    <row r="82" spans="1:15" ht="15.75" x14ac:dyDescent="0.3">
      <c r="A82" s="503"/>
      <c r="B82" s="572" t="s">
        <v>770</v>
      </c>
      <c r="C82" s="573">
        <f>C81*C76</f>
        <v>0</v>
      </c>
      <c r="D82" s="568" t="s">
        <v>769</v>
      </c>
      <c r="E82" s="578"/>
      <c r="F82" s="568"/>
      <c r="G82" s="568"/>
      <c r="H82" s="568"/>
      <c r="I82" s="574"/>
      <c r="J82" s="574"/>
      <c r="K82" s="574"/>
      <c r="L82" s="575"/>
      <c r="M82" s="379"/>
      <c r="N82" s="562"/>
      <c r="O82" s="379"/>
    </row>
    <row r="83" spans="1:15" x14ac:dyDescent="0.2">
      <c r="A83" s="503"/>
      <c r="B83" s="571" t="s">
        <v>935</v>
      </c>
      <c r="C83" s="573"/>
      <c r="D83" s="566"/>
      <c r="E83" s="567"/>
      <c r="F83" s="568"/>
      <c r="G83" s="568"/>
      <c r="H83" s="568"/>
      <c r="I83" s="569" t="s">
        <v>532</v>
      </c>
      <c r="J83" s="574"/>
      <c r="K83" s="574"/>
      <c r="L83" s="575"/>
      <c r="M83" s="379"/>
      <c r="N83" s="562"/>
      <c r="O83" s="379"/>
    </row>
    <row r="84" spans="1:15" ht="15.75" x14ac:dyDescent="0.3">
      <c r="A84" s="503"/>
      <c r="B84" s="572" t="s">
        <v>940</v>
      </c>
      <c r="C84" s="573"/>
      <c r="D84" s="566"/>
      <c r="E84" s="567"/>
      <c r="F84" s="568"/>
      <c r="G84" s="568"/>
      <c r="H84" s="568"/>
      <c r="I84" s="574" t="e">
        <f>$C72*$C76*$E$70*VLOOKUP($B84,'Standard values'!$C$9:$S$159,7, FALSE)/$E$220</f>
        <v>#N/A</v>
      </c>
      <c r="J84" s="574" t="e">
        <f>$C72*$C76*$E$70*VLOOKUP($B84,'Standard values'!$C$9:$S$159,8, FALSE)/$E$220</f>
        <v>#N/A</v>
      </c>
      <c r="K84" s="574" t="e">
        <f>$C72*$C76*$E$70*VLOOKUP($B84,'Standard values'!$C$9:$S$159,9, FALSE)/$E$220</f>
        <v>#N/A</v>
      </c>
      <c r="L84" s="575">
        <f>IF(C76&gt;0, I84*'Standard values'!$D$10+J84*'Standard values'!$D$11+K84*'Standard values'!$D$12, 0)</f>
        <v>0</v>
      </c>
      <c r="M84" s="379"/>
      <c r="N84" s="562">
        <f>+L84/$E$71</f>
        <v>0</v>
      </c>
      <c r="O84" s="379"/>
    </row>
    <row r="85" spans="1:15" ht="15.75" x14ac:dyDescent="0.3">
      <c r="A85" s="503"/>
      <c r="B85" s="577" t="s">
        <v>344</v>
      </c>
      <c r="C85" s="573">
        <f>C81*C76</f>
        <v>0</v>
      </c>
      <c r="D85" s="568" t="s">
        <v>769</v>
      </c>
      <c r="E85" s="567"/>
      <c r="F85" s="568"/>
      <c r="G85" s="568"/>
      <c r="H85" s="568"/>
      <c r="I85" s="574" t="e">
        <f>$C72*$C85*$E$70*VLOOKUP($B85,'Standard values'!$C$9:$S$162,7, FALSE)/$E$220</f>
        <v>#N/A</v>
      </c>
      <c r="J85" s="574" t="e">
        <f>$C72*$C85*$E$70*VLOOKUP($B85,'Standard values'!$C$9:$S$162,8, FALSE)/$E$220</f>
        <v>#N/A</v>
      </c>
      <c r="K85" s="574" t="e">
        <f>$C72*$C85*$E$70*VLOOKUP($B85,'Standard values'!$C$9:$S$162,9, FALSE)/$E$220</f>
        <v>#N/A</v>
      </c>
      <c r="L85" s="575">
        <f>IF(C76&gt;0, I85*'Standard values'!$D$10+J85*'Standard values'!$D$11+K85*'Standard values'!$D$12, 0)</f>
        <v>0</v>
      </c>
      <c r="M85" s="379"/>
      <c r="N85" s="562">
        <f>+L85/$E$71</f>
        <v>0</v>
      </c>
      <c r="O85" s="379"/>
    </row>
    <row r="86" spans="1:15" x14ac:dyDescent="0.2">
      <c r="A86" s="503"/>
      <c r="B86" s="580" t="s">
        <v>801</v>
      </c>
      <c r="C86" s="573"/>
      <c r="D86" s="568"/>
      <c r="E86" s="567"/>
      <c r="F86" s="568"/>
      <c r="G86" s="568"/>
      <c r="H86" s="568"/>
      <c r="I86" s="574"/>
      <c r="J86" s="574"/>
      <c r="K86" s="574"/>
      <c r="L86" s="575"/>
      <c r="M86" s="379"/>
      <c r="N86" s="562"/>
      <c r="O86" s="379"/>
    </row>
    <row r="87" spans="1:15" ht="14.25" x14ac:dyDescent="0.25">
      <c r="A87" s="503"/>
      <c r="B87" s="577" t="s">
        <v>348</v>
      </c>
      <c r="C87" s="536">
        <v>0.22220000000000001</v>
      </c>
      <c r="D87" s="568" t="s">
        <v>419</v>
      </c>
      <c r="E87" s="567"/>
      <c r="F87" s="568"/>
      <c r="G87" s="568"/>
      <c r="H87" s="568"/>
      <c r="I87" s="574"/>
      <c r="J87" s="581"/>
      <c r="K87" s="581"/>
      <c r="L87" s="575"/>
      <c r="M87" s="379"/>
      <c r="N87" s="562"/>
      <c r="O87" s="379"/>
    </row>
    <row r="88" spans="1:15" ht="15.75" x14ac:dyDescent="0.3">
      <c r="A88" s="503"/>
      <c r="B88" s="577" t="s">
        <v>771</v>
      </c>
      <c r="C88" s="573">
        <f>C87*C76</f>
        <v>0</v>
      </c>
      <c r="D88" s="568" t="s">
        <v>769</v>
      </c>
      <c r="E88" s="567" t="s">
        <v>777</v>
      </c>
      <c r="F88" s="568"/>
      <c r="G88" s="568"/>
      <c r="H88" s="568"/>
      <c r="I88" s="574"/>
      <c r="J88" s="581"/>
      <c r="K88" s="581"/>
      <c r="L88" s="575"/>
      <c r="M88" s="379"/>
      <c r="N88" s="562"/>
      <c r="O88" s="379"/>
    </row>
    <row r="89" spans="1:15" ht="27" x14ac:dyDescent="0.3">
      <c r="A89" s="503"/>
      <c r="B89" s="579" t="s">
        <v>772</v>
      </c>
      <c r="C89" s="573">
        <f>C75-C88</f>
        <v>0</v>
      </c>
      <c r="D89" s="568" t="s">
        <v>769</v>
      </c>
      <c r="E89" s="567"/>
      <c r="F89" s="568"/>
      <c r="G89" s="568"/>
      <c r="H89" s="568"/>
      <c r="I89" s="574"/>
      <c r="J89" s="581"/>
      <c r="K89" s="581"/>
      <c r="L89" s="575"/>
      <c r="M89" s="379"/>
      <c r="N89" s="562"/>
      <c r="O89" s="379"/>
    </row>
    <row r="90" spans="1:15" ht="15.75" x14ac:dyDescent="0.3">
      <c r="A90" s="503"/>
      <c r="B90" s="577" t="s">
        <v>345</v>
      </c>
      <c r="C90" s="573">
        <f>ABS(C75-C88)</f>
        <v>0</v>
      </c>
      <c r="D90" s="568" t="s">
        <v>769</v>
      </c>
      <c r="E90" s="567" t="str">
        <f>IF(C89&gt;0, "Electricity use in plant larger than generation in", "Surplus electricity. Credit must be calculated")</f>
        <v>Surplus electricity. Credit must be calculated</v>
      </c>
      <c r="F90" s="568"/>
      <c r="G90" s="568"/>
      <c r="H90" s="568"/>
      <c r="I90" s="574" t="e">
        <f>$C72*$C90*$E$70*VLOOKUP($B90,'Standard values'!$C$9:$S$162,7, FALSE)/$E$220</f>
        <v>#N/A</v>
      </c>
      <c r="J90" s="574" t="e">
        <f>$C72*$C90*$E$70*VLOOKUP($B90,'Standard values'!$C$9:$S$162,8, FALSE)/$E$220</f>
        <v>#N/A</v>
      </c>
      <c r="K90" s="574" t="e">
        <f>$C72*$C90*$E$70*VLOOKUP($B90,'Standard values'!$C$9:$S$162,9, FALSE)/$E$220</f>
        <v>#N/A</v>
      </c>
      <c r="L90" s="575">
        <f>IF(C76&gt;0, I90*'Standard values'!$D$10+J90*'Standard values'!$D$11+K90*'Standard values'!$D$12, 0)</f>
        <v>0</v>
      </c>
      <c r="M90" s="379"/>
      <c r="N90" s="562">
        <f>+L90/$E$71</f>
        <v>0</v>
      </c>
      <c r="O90" s="379"/>
    </row>
    <row r="91" spans="1:15" x14ac:dyDescent="0.2">
      <c r="A91" s="503"/>
      <c r="B91" s="582"/>
      <c r="C91" s="573"/>
      <c r="D91" s="568"/>
      <c r="E91" s="567" t="str">
        <f>IF(C89&gt;0, "   NG CHP. Therefore calculated as national electricity mix", "   following RED Annex V.C.16")</f>
        <v xml:space="preserve">   following RED Annex V.C.16</v>
      </c>
      <c r="F91" s="568"/>
      <c r="G91" s="568"/>
      <c r="H91" s="568"/>
      <c r="I91" s="574"/>
      <c r="J91" s="574"/>
      <c r="K91" s="574"/>
      <c r="L91" s="575"/>
      <c r="M91" s="379"/>
      <c r="N91" s="562"/>
      <c r="O91" s="379"/>
    </row>
    <row r="92" spans="1:15" x14ac:dyDescent="0.2">
      <c r="A92" s="503"/>
      <c r="B92" s="674"/>
      <c r="C92" s="495"/>
      <c r="D92" s="495"/>
      <c r="E92" s="503"/>
      <c r="F92" s="495"/>
      <c r="G92" s="495"/>
      <c r="H92" s="495"/>
      <c r="I92" s="544"/>
      <c r="J92" s="544"/>
      <c r="K92" s="544"/>
      <c r="L92" s="419"/>
      <c r="M92" s="379"/>
      <c r="N92" s="562"/>
      <c r="O92" s="379"/>
    </row>
    <row r="93" spans="1:15" ht="15.75" x14ac:dyDescent="0.3">
      <c r="A93" s="503"/>
      <c r="B93" s="674" t="s">
        <v>1106</v>
      </c>
      <c r="C93" s="675">
        <v>0</v>
      </c>
      <c r="D93" s="495" t="s">
        <v>644</v>
      </c>
      <c r="E93" s="503"/>
      <c r="F93" s="495"/>
      <c r="G93" s="495"/>
      <c r="H93" s="495"/>
      <c r="I93" s="544">
        <f>$C72*$C93*$E$70*VLOOKUP($B93,'Standard values'!$C$9:$S$162,7, FALSE)/$E$220</f>
        <v>0</v>
      </c>
      <c r="J93" s="544">
        <f>$C72*$C93*$E$70*VLOOKUP($B93,'Standard values'!$C$9:$S$162,8, FALSE)/$E$220</f>
        <v>0</v>
      </c>
      <c r="K93" s="544">
        <f>$C72*$C93*$E$70*VLOOKUP($B93,'Standard values'!$C$9:$S$162,9, FALSE)/$E$220</f>
        <v>0</v>
      </c>
      <c r="L93" s="419">
        <f>I93*'Standard values'!$D$10+J93*'Standard values'!$D$11+K93*'Standard values'!$D$12</f>
        <v>0</v>
      </c>
      <c r="M93" s="379"/>
      <c r="N93" s="562">
        <f>L93/$E$71</f>
        <v>0</v>
      </c>
      <c r="O93" s="379"/>
    </row>
    <row r="94" spans="1:15" x14ac:dyDescent="0.2">
      <c r="A94" s="503"/>
      <c r="B94" s="674"/>
      <c r="C94" s="716"/>
      <c r="D94" s="495"/>
      <c r="E94" s="503"/>
      <c r="F94" s="495"/>
      <c r="G94" s="495"/>
      <c r="H94" s="495"/>
      <c r="I94" s="544"/>
      <c r="J94" s="544"/>
      <c r="K94" s="544"/>
      <c r="L94" s="419"/>
      <c r="M94" s="379"/>
      <c r="N94" s="562"/>
      <c r="O94" s="379"/>
    </row>
    <row r="95" spans="1:15" ht="15.75" x14ac:dyDescent="0.3">
      <c r="A95" s="503"/>
      <c r="B95" s="492" t="s">
        <v>215</v>
      </c>
      <c r="C95" s="774">
        <v>0.94411111111111112</v>
      </c>
      <c r="D95" s="495" t="s">
        <v>212</v>
      </c>
      <c r="E95" s="503"/>
      <c r="F95" s="495"/>
      <c r="G95" s="495"/>
      <c r="H95" s="495"/>
      <c r="I95" s="544"/>
      <c r="J95" s="544">
        <f>$C72*C95*E70/$E$220</f>
        <v>1.3668154040404039</v>
      </c>
      <c r="K95" s="544"/>
      <c r="L95" s="419">
        <f>I95*'Standard values'!$D$10+J95*'Standard values'!$D$11+K95*'Standard values'!$D$12</f>
        <v>34.170385101010098</v>
      </c>
      <c r="M95" s="379"/>
      <c r="N95" s="562">
        <f>L95/$E$71</f>
        <v>1222.6238888888886</v>
      </c>
      <c r="O95" s="379"/>
    </row>
    <row r="96" spans="1:15" x14ac:dyDescent="0.2">
      <c r="A96" s="503"/>
      <c r="B96" s="492"/>
      <c r="C96" s="716"/>
      <c r="D96" s="495"/>
      <c r="E96" s="503"/>
      <c r="F96" s="495"/>
      <c r="G96" s="495"/>
      <c r="H96" s="495"/>
      <c r="I96" s="544"/>
      <c r="J96" s="544"/>
      <c r="K96" s="544"/>
      <c r="L96" s="419"/>
      <c r="M96" s="379"/>
      <c r="N96" s="562"/>
      <c r="O96" s="379"/>
    </row>
    <row r="97" spans="1:15" x14ac:dyDescent="0.2">
      <c r="A97" s="503"/>
      <c r="B97" s="495"/>
      <c r="C97" s="499"/>
      <c r="D97" s="499"/>
      <c r="E97" s="681"/>
      <c r="F97" s="495"/>
      <c r="G97" s="495"/>
      <c r="H97" s="514" t="s">
        <v>1047</v>
      </c>
      <c r="I97" s="583" t="e">
        <f>SUM(I70:I95)</f>
        <v>#N/A</v>
      </c>
      <c r="J97" s="583" t="e">
        <f>SUM(J70:J95)</f>
        <v>#N/A</v>
      </c>
      <c r="K97" s="583" t="e">
        <f>SUM(K70:K95)</f>
        <v>#N/A</v>
      </c>
      <c r="L97" s="516">
        <f>SUM(L70:L95)</f>
        <v>34.170385101010098</v>
      </c>
      <c r="M97" s="379"/>
      <c r="N97" s="1201">
        <f>+L97/E$71</f>
        <v>1222.6238888888886</v>
      </c>
      <c r="O97" s="379"/>
    </row>
    <row r="98" spans="1:15" x14ac:dyDescent="0.2">
      <c r="A98" s="503"/>
      <c r="B98" s="682"/>
      <c r="C98" s="499"/>
      <c r="D98" s="499"/>
      <c r="E98" s="503"/>
      <c r="F98" s="495"/>
      <c r="G98" s="495"/>
      <c r="H98" s="495"/>
      <c r="I98" s="495"/>
      <c r="J98" s="495"/>
      <c r="K98" s="495"/>
      <c r="L98" s="541"/>
      <c r="M98" s="379"/>
      <c r="N98" s="1203"/>
      <c r="O98" s="379"/>
    </row>
    <row r="99" spans="1:15" ht="14.25" x14ac:dyDescent="0.25">
      <c r="A99" s="519"/>
      <c r="B99" s="520"/>
      <c r="C99" s="520"/>
      <c r="D99" s="520"/>
      <c r="E99" s="519"/>
      <c r="F99" s="521"/>
      <c r="G99" s="521"/>
      <c r="H99" s="521" t="s">
        <v>534</v>
      </c>
      <c r="I99" s="520"/>
      <c r="J99" s="523" t="s">
        <v>675</v>
      </c>
      <c r="K99" s="549"/>
      <c r="L99" s="525">
        <f>N97*E$71</f>
        <v>34.170385101010098</v>
      </c>
      <c r="M99" s="379"/>
      <c r="N99" s="642"/>
      <c r="O99" s="379"/>
    </row>
    <row r="100" spans="1:15" x14ac:dyDescent="0.2">
      <c r="A100" s="390"/>
      <c r="B100" s="390"/>
      <c r="C100" s="390"/>
      <c r="D100" s="390"/>
      <c r="E100" s="390"/>
      <c r="F100" s="376"/>
      <c r="G100" s="376"/>
      <c r="H100" s="376"/>
      <c r="I100" s="390"/>
      <c r="J100" s="550"/>
      <c r="K100" s="551"/>
      <c r="L100" s="585"/>
      <c r="M100" s="379"/>
      <c r="N100" s="390"/>
      <c r="O100" s="390"/>
    </row>
    <row r="101" spans="1:15" x14ac:dyDescent="0.2">
      <c r="A101" s="390"/>
      <c r="B101" s="390"/>
      <c r="C101" s="390"/>
      <c r="D101" s="390"/>
      <c r="E101" s="390"/>
      <c r="F101" s="376"/>
      <c r="G101" s="376"/>
      <c r="H101" s="376"/>
      <c r="I101" s="390"/>
      <c r="J101" s="550"/>
      <c r="K101" s="551"/>
      <c r="L101" s="585"/>
      <c r="M101" s="379"/>
      <c r="N101" s="390"/>
      <c r="O101" s="390"/>
    </row>
    <row r="102" spans="1:15" ht="15.75" x14ac:dyDescent="0.25">
      <c r="A102" s="530" t="s">
        <v>1057</v>
      </c>
      <c r="B102" s="531"/>
      <c r="C102" s="531"/>
      <c r="D102" s="531"/>
      <c r="E102" s="608" t="s">
        <v>526</v>
      </c>
      <c r="F102" s="606"/>
      <c r="G102" s="606"/>
      <c r="H102" s="606"/>
      <c r="I102" s="607"/>
      <c r="J102" s="608" t="s">
        <v>675</v>
      </c>
      <c r="K102" s="607"/>
      <c r="L102" s="609">
        <f>L43+L53+L64+L99</f>
        <v>49.84198495140776</v>
      </c>
      <c r="M102" s="379"/>
      <c r="N102" s="535" t="s">
        <v>162</v>
      </c>
      <c r="O102" s="390"/>
    </row>
    <row r="103" spans="1:15" ht="15.75" x14ac:dyDescent="0.25">
      <c r="A103" s="610" t="s">
        <v>937</v>
      </c>
      <c r="B103" s="611"/>
      <c r="C103" s="611"/>
      <c r="D103" s="611"/>
      <c r="E103" s="613"/>
      <c r="F103" s="613"/>
      <c r="G103" s="613"/>
      <c r="H103" s="613"/>
      <c r="I103" s="613"/>
      <c r="J103" s="613"/>
      <c r="K103" s="613"/>
      <c r="L103" s="614"/>
      <c r="M103" s="379"/>
      <c r="N103" s="554" t="s">
        <v>975</v>
      </c>
      <c r="O103" s="390"/>
    </row>
    <row r="104" spans="1:15" ht="15.75" x14ac:dyDescent="0.3">
      <c r="A104" s="567"/>
      <c r="B104" s="568"/>
      <c r="C104" s="568"/>
      <c r="D104" s="683"/>
      <c r="E104" s="683"/>
      <c r="F104" s="683"/>
      <c r="G104" s="683"/>
      <c r="H104" s="683" t="s">
        <v>667</v>
      </c>
      <c r="I104" s="684">
        <f>L102</f>
        <v>49.84198495140776</v>
      </c>
      <c r="J104" s="568" t="s">
        <v>847</v>
      </c>
      <c r="K104" s="568"/>
      <c r="L104" s="685"/>
      <c r="M104" s="379"/>
      <c r="N104" s="540" t="s">
        <v>1056</v>
      </c>
      <c r="O104" s="390"/>
    </row>
    <row r="105" spans="1:15" ht="15.75" x14ac:dyDescent="0.3">
      <c r="A105" s="567"/>
      <c r="B105" s="568" t="s">
        <v>51</v>
      </c>
      <c r="C105" s="568" t="s">
        <v>1043</v>
      </c>
      <c r="D105" s="568"/>
      <c r="E105" s="683" t="s">
        <v>659</v>
      </c>
      <c r="F105" s="686">
        <v>1</v>
      </c>
      <c r="G105" s="686"/>
      <c r="H105" s="568" t="s">
        <v>501</v>
      </c>
      <c r="I105" s="574">
        <f>$I$104*F105/F$107</f>
        <v>47.440356461764864</v>
      </c>
      <c r="J105" s="568" t="s">
        <v>847</v>
      </c>
      <c r="K105" s="568"/>
      <c r="L105" s="685"/>
      <c r="M105" s="379"/>
      <c r="N105" s="541"/>
      <c r="O105" s="390"/>
    </row>
    <row r="106" spans="1:15" ht="15.75" x14ac:dyDescent="0.3">
      <c r="A106" s="567"/>
      <c r="B106" s="568" t="s">
        <v>123</v>
      </c>
      <c r="C106" s="568" t="s">
        <v>203</v>
      </c>
      <c r="D106" s="568"/>
      <c r="E106" s="683" t="s">
        <v>134</v>
      </c>
      <c r="F106" s="686">
        <f>C70/C69</f>
        <v>5.0624166190203927E-2</v>
      </c>
      <c r="G106" s="686"/>
      <c r="H106" s="568" t="s">
        <v>501</v>
      </c>
      <c r="I106" s="574">
        <f>$I$104*F106/F$107</f>
        <v>2.4016284896428992</v>
      </c>
      <c r="J106" s="568" t="s">
        <v>847</v>
      </c>
      <c r="K106" s="568"/>
      <c r="L106" s="685"/>
      <c r="M106" s="379"/>
      <c r="N106" s="562"/>
      <c r="O106" s="390"/>
    </row>
    <row r="107" spans="1:15" x14ac:dyDescent="0.2">
      <c r="A107" s="567"/>
      <c r="B107" s="568"/>
      <c r="C107" s="568"/>
      <c r="D107" s="568"/>
      <c r="E107" s="568" t="s">
        <v>533</v>
      </c>
      <c r="F107" s="686">
        <f>SUM(F105:F106)</f>
        <v>1.0506241661902038</v>
      </c>
      <c r="G107" s="686"/>
      <c r="H107" s="568" t="s">
        <v>501</v>
      </c>
      <c r="I107" s="568"/>
      <c r="J107" s="568"/>
      <c r="K107" s="568"/>
      <c r="L107" s="685"/>
      <c r="M107" s="379"/>
      <c r="N107" s="562"/>
      <c r="O107" s="390"/>
    </row>
    <row r="108" spans="1:15" ht="14.25" x14ac:dyDescent="0.25">
      <c r="A108" s="519"/>
      <c r="B108" s="520"/>
      <c r="C108" s="520"/>
      <c r="D108" s="520"/>
      <c r="E108" s="523" t="s">
        <v>1058</v>
      </c>
      <c r="F108" s="521"/>
      <c r="G108" s="521"/>
      <c r="H108" s="687"/>
      <c r="I108" s="520"/>
      <c r="J108" s="523" t="s">
        <v>675</v>
      </c>
      <c r="K108" s="687"/>
      <c r="L108" s="525">
        <f>I105</f>
        <v>47.440356461764864</v>
      </c>
      <c r="M108" s="379"/>
      <c r="N108" s="545">
        <f>L108/$E$71</f>
        <v>1697.4263806539163</v>
      </c>
      <c r="O108" s="379"/>
    </row>
    <row r="109" spans="1:15" x14ac:dyDescent="0.2">
      <c r="A109" s="379"/>
      <c r="B109" s="379"/>
      <c r="C109" s="379"/>
      <c r="D109" s="379"/>
      <c r="E109" s="717"/>
      <c r="F109" s="526"/>
      <c r="G109" s="526"/>
      <c r="H109" s="396"/>
      <c r="I109" s="379"/>
      <c r="J109" s="717"/>
      <c r="K109" s="396"/>
      <c r="L109" s="718"/>
      <c r="M109" s="379"/>
      <c r="N109" s="379"/>
      <c r="O109" s="379"/>
    </row>
    <row r="110" spans="1:15" x14ac:dyDescent="0.2">
      <c r="A110" s="379"/>
      <c r="B110" s="379"/>
      <c r="C110" s="379"/>
      <c r="D110" s="379"/>
      <c r="E110" s="717"/>
      <c r="F110" s="526"/>
      <c r="G110" s="526"/>
      <c r="H110" s="396"/>
      <c r="I110" s="379"/>
      <c r="J110" s="717"/>
      <c r="K110" s="396"/>
      <c r="L110" s="718"/>
      <c r="M110" s="379"/>
      <c r="N110" s="379"/>
      <c r="O110" s="379"/>
    </row>
    <row r="111" spans="1:15" ht="15.75" x14ac:dyDescent="0.25">
      <c r="A111" s="530" t="s">
        <v>204</v>
      </c>
      <c r="B111" s="531"/>
      <c r="C111" s="531"/>
      <c r="D111" s="531"/>
      <c r="E111" s="530" t="s">
        <v>513</v>
      </c>
      <c r="F111" s="532"/>
      <c r="G111" s="532"/>
      <c r="H111" s="531"/>
      <c r="I111" s="532" t="s">
        <v>532</v>
      </c>
      <c r="J111" s="533"/>
      <c r="K111" s="533"/>
      <c r="L111" s="534"/>
      <c r="M111" s="379"/>
      <c r="N111" s="535" t="s">
        <v>162</v>
      </c>
      <c r="O111" s="390"/>
    </row>
    <row r="112" spans="1:15" ht="15.75" x14ac:dyDescent="0.3">
      <c r="A112" s="503"/>
      <c r="B112" s="511" t="s">
        <v>1043</v>
      </c>
      <c r="C112" s="593">
        <v>1</v>
      </c>
      <c r="D112" s="495" t="s">
        <v>645</v>
      </c>
      <c r="E112" s="553">
        <f>E69*C112</f>
        <v>156318.62399999998</v>
      </c>
      <c r="F112" s="499" t="s">
        <v>654</v>
      </c>
      <c r="G112" s="499"/>
      <c r="H112" s="495"/>
      <c r="I112" s="492" t="s">
        <v>674</v>
      </c>
      <c r="J112" s="514"/>
      <c r="K112" s="514"/>
      <c r="L112" s="537"/>
      <c r="M112" s="379"/>
      <c r="N112" s="554" t="s">
        <v>975</v>
      </c>
      <c r="O112" s="390"/>
    </row>
    <row r="113" spans="1:15" ht="15.75" x14ac:dyDescent="0.3">
      <c r="A113" s="503"/>
      <c r="B113" s="495"/>
      <c r="C113" s="495"/>
      <c r="D113" s="495"/>
      <c r="E113" s="505">
        <f>E70*C112</f>
        <v>0.51939999999999997</v>
      </c>
      <c r="F113" s="506" t="s">
        <v>200</v>
      </c>
      <c r="G113" s="506"/>
      <c r="H113" s="495"/>
      <c r="I113" s="539" t="s">
        <v>1053</v>
      </c>
      <c r="J113" s="539" t="s">
        <v>1054</v>
      </c>
      <c r="K113" s="539" t="s">
        <v>1055</v>
      </c>
      <c r="L113" s="540" t="s">
        <v>1056</v>
      </c>
      <c r="M113" s="379"/>
      <c r="N113" s="501" t="s">
        <v>1056</v>
      </c>
      <c r="O113" s="390"/>
    </row>
    <row r="114" spans="1:15" x14ac:dyDescent="0.2">
      <c r="A114" s="503"/>
      <c r="B114" s="511" t="s">
        <v>498</v>
      </c>
      <c r="C114" s="495"/>
      <c r="D114" s="495"/>
      <c r="E114" s="505"/>
      <c r="F114" s="506"/>
      <c r="G114" s="506"/>
      <c r="H114" s="495"/>
      <c r="I114" s="539"/>
      <c r="J114" s="539"/>
      <c r="K114" s="539"/>
      <c r="L114" s="540"/>
      <c r="M114" s="379"/>
      <c r="N114" s="541"/>
      <c r="O114" s="390"/>
    </row>
    <row r="115" spans="1:15" ht="15.75" x14ac:dyDescent="0.3">
      <c r="A115" s="503"/>
      <c r="B115" s="495" t="s">
        <v>159</v>
      </c>
      <c r="C115" s="595">
        <v>150</v>
      </c>
      <c r="D115" s="495" t="s">
        <v>510</v>
      </c>
      <c r="E115" s="543">
        <f>(C115*E113)/(VLOOKUP($B112,'Standard values'!$C$9:$S$162,14, FALSE))/1000</f>
        <v>2.1056756756756756E-3</v>
      </c>
      <c r="F115" s="495" t="s">
        <v>245</v>
      </c>
      <c r="G115" s="495"/>
      <c r="H115" s="495"/>
      <c r="I115" s="544">
        <f>$E115*VLOOKUP($B115,'Standard values'!$C$9:$S$162,15, FALSE)*VLOOKUP(C116,'Standard values'!$C$9:$S$162,7, FALSE)/$E$220</f>
        <v>0.37034428746928749</v>
      </c>
      <c r="J115" s="544">
        <f>$E115*((VLOOKUP($B115,'Standard values'!$C$9:$S$162,15, FALSE)*VLOOKUP(C116,'Standard values'!$C$9:$S$162,8, FALSE))+VLOOKUP($B115,'Standard values'!$C$9:$S$162,16, FALSE))/$E$220</f>
        <v>2.0961302211302212E-5</v>
      </c>
      <c r="K115" s="544">
        <f>$E115*((VLOOKUP($B115,'Standard values'!$C$9:$S$162,15, FALSE)*VLOOKUP(C116,'Standard values'!$C$9:$S$162,9, FALSE))+VLOOKUP($B115,'Standard values'!$C$9:$S$162,17, FALSE))/$E$220</f>
        <v>0</v>
      </c>
      <c r="L115" s="419">
        <f>I115*'Standard values'!$D$10+J115*'Standard values'!$D$11+K115*'Standard values'!$D$12</f>
        <v>0.37086832002457004</v>
      </c>
      <c r="M115" s="379"/>
      <c r="N115" s="561">
        <f>L115/$E$71</f>
        <v>13.26975</v>
      </c>
      <c r="O115" s="390"/>
    </row>
    <row r="116" spans="1:15" x14ac:dyDescent="0.2">
      <c r="A116" s="503"/>
      <c r="B116" s="546" t="s">
        <v>54</v>
      </c>
      <c r="C116" s="673" t="s">
        <v>509</v>
      </c>
      <c r="D116" s="495"/>
      <c r="E116" s="543"/>
      <c r="F116" s="495"/>
      <c r="G116" s="495"/>
      <c r="H116" s="495"/>
      <c r="I116" s="544"/>
      <c r="J116" s="544"/>
      <c r="K116" s="544"/>
      <c r="L116" s="419"/>
      <c r="M116" s="379"/>
      <c r="N116" s="561"/>
      <c r="O116" s="390"/>
    </row>
    <row r="117" spans="1:15" ht="15.75" x14ac:dyDescent="0.3">
      <c r="A117" s="503"/>
      <c r="B117" s="495" t="s">
        <v>181</v>
      </c>
      <c r="C117" s="595">
        <v>10186</v>
      </c>
      <c r="D117" s="495" t="s">
        <v>510</v>
      </c>
      <c r="E117" s="543">
        <f>(C117*E113)/(VLOOKUP($B112,'Standard values'!$C$9:$S$162,14, FALSE))/1000</f>
        <v>0.14298941621621622</v>
      </c>
      <c r="F117" s="495" t="s">
        <v>245</v>
      </c>
      <c r="G117" s="495"/>
      <c r="H117" s="495"/>
      <c r="I117" s="544">
        <f>$E117*VLOOKUP($B117,'Standard values'!$C$9:$S$162,15, FALSE)*VLOOKUP(C118,'Standard values'!$C$9:$S$162,7, FALSE)/$E$220</f>
        <v>3.0742423161081081</v>
      </c>
      <c r="J117" s="544">
        <f>$E117*((VLOOKUP($B117,'Standard values'!$C$9:$S$162,15, FALSE)*VLOOKUP(C118,'Standard values'!$C$9:$S$162,8, FALSE))+VLOOKUP($B117,'Standard values'!$C$9:$S$162,16, FALSE))/$E$220</f>
        <v>0</v>
      </c>
      <c r="K117" s="544">
        <f>$E117*((VLOOKUP($B117,'Standard values'!$C$9:$S$162,15, FALSE)*VLOOKUP(C118,'Standard values'!$C$9:$S$162,9, FALSE))+VLOOKUP($B117,'Standard values'!$C$9:$S$162,17, FALSE))/$E$220</f>
        <v>0</v>
      </c>
      <c r="L117" s="419">
        <f>I117*'Standard values'!$D$10+J117*'Standard values'!$D$11+K117*'Standard values'!$D$12</f>
        <v>3.0742423161081081</v>
      </c>
      <c r="M117" s="379"/>
      <c r="N117" s="561">
        <f>L117/$E$71</f>
        <v>109.997065728</v>
      </c>
      <c r="O117" s="390"/>
    </row>
    <row r="118" spans="1:15" x14ac:dyDescent="0.2">
      <c r="A118" s="503"/>
      <c r="B118" s="546" t="s">
        <v>54</v>
      </c>
      <c r="C118" s="719" t="s">
        <v>627</v>
      </c>
      <c r="D118" s="719"/>
      <c r="E118" s="543"/>
      <c r="F118" s="495"/>
      <c r="G118" s="495"/>
      <c r="H118" s="495"/>
      <c r="I118" s="544"/>
      <c r="J118" s="544"/>
      <c r="K118" s="544"/>
      <c r="L118" s="419"/>
      <c r="M118" s="379"/>
      <c r="N118" s="561"/>
      <c r="O118" s="390"/>
    </row>
    <row r="119" spans="1:15" x14ac:dyDescent="0.2">
      <c r="A119" s="503"/>
      <c r="B119" s="511" t="s">
        <v>217</v>
      </c>
      <c r="C119" s="689"/>
      <c r="D119" s="495"/>
      <c r="E119" s="503"/>
      <c r="F119" s="495"/>
      <c r="G119" s="495"/>
      <c r="H119" s="495"/>
      <c r="I119" s="544"/>
      <c r="J119" s="544"/>
      <c r="K119" s="544"/>
      <c r="L119" s="562"/>
      <c r="M119" s="379"/>
      <c r="N119" s="561"/>
      <c r="O119" s="379"/>
    </row>
    <row r="120" spans="1:15" ht="15.75" x14ac:dyDescent="0.3">
      <c r="A120" s="590"/>
      <c r="B120" s="1301" t="s">
        <v>239</v>
      </c>
      <c r="C120" s="595">
        <v>8.4000000000000003E-4</v>
      </c>
      <c r="D120" s="495" t="s">
        <v>644</v>
      </c>
      <c r="E120" s="503"/>
      <c r="F120" s="495"/>
      <c r="G120" s="495"/>
      <c r="H120" s="495"/>
      <c r="I120" s="544">
        <f>$C120*$E$152*VLOOKUP($B120,'Standard values'!$C$9:$S$162,7, FALSE)/$E$220</f>
        <v>9.616319999999999E-2</v>
      </c>
      <c r="J120" s="544">
        <f>$C120*$E$152*VLOOKUP($B120,'Standard values'!$C$9:$S$162,8, FALSE)/$E$220</f>
        <v>3.0902412121212153E-4</v>
      </c>
      <c r="K120" s="544">
        <f>$C120*$E$152*VLOOKUP($B120,'Standard values'!$C$9:$S$162,9, FALSE)/$E$220</f>
        <v>4.1870606060606058E-6</v>
      </c>
      <c r="L120" s="419">
        <f>I120*'Standard values'!$D$10+J120*'Standard values'!$D$11+K120*'Standard values'!$D$12</f>
        <v>0.10513654709090908</v>
      </c>
      <c r="M120" s="379"/>
      <c r="N120" s="561">
        <f>L120/$E$71</f>
        <v>3.7618087618461531</v>
      </c>
      <c r="O120" s="379"/>
    </row>
    <row r="121" spans="1:15" x14ac:dyDescent="0.2">
      <c r="A121" s="503"/>
      <c r="B121" s="511" t="s">
        <v>216</v>
      </c>
      <c r="C121" s="495"/>
      <c r="D121" s="495"/>
      <c r="E121" s="503"/>
      <c r="F121" s="495"/>
      <c r="G121" s="495"/>
      <c r="H121" s="548"/>
      <c r="I121" s="544"/>
      <c r="J121" s="544"/>
      <c r="K121" s="544"/>
      <c r="L121" s="419"/>
      <c r="M121" s="379"/>
      <c r="N121" s="561"/>
      <c r="O121" s="390"/>
    </row>
    <row r="122" spans="1:15" ht="15.75" x14ac:dyDescent="0.3">
      <c r="A122" s="503"/>
      <c r="B122" s="1301" t="s">
        <v>49</v>
      </c>
      <c r="C122" s="542">
        <v>8.4000000000000003E-4</v>
      </c>
      <c r="D122" s="495" t="s">
        <v>644</v>
      </c>
      <c r="E122" s="503"/>
      <c r="F122" s="495"/>
      <c r="G122" s="495"/>
      <c r="H122" s="548"/>
      <c r="I122" s="544">
        <f>$C122*$E$152*VLOOKUP($B122,'Standard values'!$C$9:$S$162,7, FALSE)/$E$220</f>
        <v>0.10146737999999998</v>
      </c>
      <c r="J122" s="544">
        <f>$C122*$E$152*VLOOKUP($B122,'Standard values'!$C$9:$S$162,8, FALSE)/$E$220</f>
        <v>2.4744999999999997E-4</v>
      </c>
      <c r="K122" s="544">
        <f>$C122*$E$152*VLOOKUP($B122,'Standard values'!$C$9:$S$162,9, FALSE)/$E$220</f>
        <v>4.5966666666666661E-6</v>
      </c>
      <c r="L122" s="419">
        <f>I122*'Standard values'!$D$10+J122*'Standard values'!$D$11+K122*'Standard values'!$D$12</f>
        <v>0.10902343666666665</v>
      </c>
      <c r="M122" s="379"/>
      <c r="N122" s="561">
        <f>L122/$E$71</f>
        <v>3.9008825251282042</v>
      </c>
      <c r="O122" s="390"/>
    </row>
    <row r="123" spans="1:15" x14ac:dyDescent="0.2">
      <c r="A123" s="503"/>
      <c r="B123" s="499"/>
      <c r="C123" s="495"/>
      <c r="D123" s="495"/>
      <c r="E123" s="503"/>
      <c r="F123" s="495"/>
      <c r="G123" s="495"/>
      <c r="H123" s="514" t="s">
        <v>1047</v>
      </c>
      <c r="I123" s="583">
        <f>SUM(I115:I122)</f>
        <v>3.6422171835773951</v>
      </c>
      <c r="J123" s="583">
        <f>SUM(J115:J122)</f>
        <v>5.7743542342342377E-4</v>
      </c>
      <c r="K123" s="583">
        <f>SUM(K115:K122)</f>
        <v>8.7837272727272711E-6</v>
      </c>
      <c r="L123" s="516">
        <f>I123*'Standard values'!$D$10+J123*'Standard values'!$D$11+K123*'Standard values'!$D$12</f>
        <v>3.6592706198902532</v>
      </c>
      <c r="M123" s="379"/>
      <c r="N123" s="545">
        <f>L123/$E$71</f>
        <v>130.92950701497432</v>
      </c>
      <c r="O123" s="390"/>
    </row>
    <row r="124" spans="1:15" x14ac:dyDescent="0.2">
      <c r="A124" s="503"/>
      <c r="B124" s="495"/>
      <c r="C124" s="495"/>
      <c r="D124" s="495"/>
      <c r="E124" s="503"/>
      <c r="F124" s="495"/>
      <c r="G124" s="495"/>
      <c r="H124" s="548"/>
      <c r="I124" s="544"/>
      <c r="J124" s="544"/>
      <c r="K124" s="544"/>
      <c r="L124" s="516"/>
      <c r="M124" s="379"/>
      <c r="N124" s="390"/>
      <c r="O124" s="390"/>
    </row>
    <row r="125" spans="1:15" ht="14.25" x14ac:dyDescent="0.25">
      <c r="A125" s="519"/>
      <c r="B125" s="520"/>
      <c r="C125" s="520"/>
      <c r="D125" s="520"/>
      <c r="E125" s="519"/>
      <c r="F125" s="521"/>
      <c r="G125" s="521"/>
      <c r="H125" s="521" t="s">
        <v>534</v>
      </c>
      <c r="I125" s="520"/>
      <c r="J125" s="523" t="s">
        <v>675</v>
      </c>
      <c r="K125" s="549"/>
      <c r="L125" s="525">
        <f>L123</f>
        <v>3.6592706198902532</v>
      </c>
      <c r="M125" s="379"/>
      <c r="N125" s="390"/>
      <c r="O125" s="390"/>
    </row>
    <row r="126" spans="1:15" x14ac:dyDescent="0.2">
      <c r="A126" s="390"/>
      <c r="B126" s="390"/>
      <c r="C126" s="390"/>
      <c r="D126" s="379"/>
      <c r="E126" s="379"/>
      <c r="F126" s="551"/>
      <c r="G126" s="551"/>
      <c r="H126" s="437"/>
      <c r="I126" s="378"/>
      <c r="J126" s="379"/>
      <c r="K126" s="379"/>
      <c r="L126" s="586"/>
      <c r="M126" s="379"/>
      <c r="N126" s="379"/>
      <c r="O126" s="379"/>
    </row>
    <row r="127" spans="1:15" x14ac:dyDescent="0.2">
      <c r="A127" s="390"/>
      <c r="B127" s="390"/>
      <c r="C127" s="390"/>
      <c r="D127" s="379"/>
      <c r="E127" s="379"/>
      <c r="F127" s="551"/>
      <c r="G127" s="551"/>
      <c r="H127" s="437"/>
      <c r="I127" s="378"/>
      <c r="J127" s="379"/>
      <c r="K127" s="379"/>
      <c r="L127" s="586"/>
      <c r="M127" s="379"/>
      <c r="N127" s="379"/>
      <c r="O127" s="379"/>
    </row>
    <row r="128" spans="1:15" ht="15.75" x14ac:dyDescent="0.25">
      <c r="A128" s="530" t="s">
        <v>341</v>
      </c>
      <c r="B128" s="531"/>
      <c r="C128" s="531"/>
      <c r="D128" s="531"/>
      <c r="E128" s="530" t="s">
        <v>513</v>
      </c>
      <c r="F128" s="532"/>
      <c r="G128" s="532"/>
      <c r="H128" s="531"/>
      <c r="I128" s="532" t="s">
        <v>532</v>
      </c>
      <c r="J128" s="533"/>
      <c r="K128" s="533"/>
      <c r="L128" s="534"/>
      <c r="M128" s="379"/>
      <c r="N128" s="535" t="s">
        <v>162</v>
      </c>
      <c r="O128" s="379"/>
    </row>
    <row r="129" spans="1:15" x14ac:dyDescent="0.2">
      <c r="A129" s="503"/>
      <c r="B129" s="511" t="s">
        <v>524</v>
      </c>
      <c r="C129" s="495"/>
      <c r="D129" s="495"/>
      <c r="E129" s="553"/>
      <c r="F129" s="499"/>
      <c r="G129" s="499"/>
      <c r="H129" s="495"/>
      <c r="I129" s="492" t="s">
        <v>674</v>
      </c>
      <c r="J129" s="514"/>
      <c r="K129" s="514"/>
      <c r="L129" s="537"/>
      <c r="M129" s="379"/>
      <c r="N129" s="554" t="s">
        <v>539</v>
      </c>
      <c r="O129" s="379"/>
    </row>
    <row r="130" spans="1:15" ht="15.75" x14ac:dyDescent="0.3">
      <c r="A130" s="503"/>
      <c r="B130" s="495" t="s">
        <v>668</v>
      </c>
      <c r="C130" s="676">
        <v>0.96703296703296693</v>
      </c>
      <c r="D130" s="495" t="s">
        <v>346</v>
      </c>
      <c r="E130" s="553">
        <f>E112*C130</f>
        <v>151165.26276923073</v>
      </c>
      <c r="F130" s="499" t="s">
        <v>671</v>
      </c>
      <c r="G130" s="499"/>
      <c r="H130" s="495"/>
      <c r="I130" s="539" t="s">
        <v>1053</v>
      </c>
      <c r="J130" s="539" t="s">
        <v>1054</v>
      </c>
      <c r="K130" s="539" t="s">
        <v>1055</v>
      </c>
      <c r="L130" s="540" t="s">
        <v>1056</v>
      </c>
      <c r="M130" s="379"/>
      <c r="N130" s="540" t="s">
        <v>1056</v>
      </c>
      <c r="O130" s="379"/>
    </row>
    <row r="131" spans="1:15" ht="15.75" x14ac:dyDescent="0.3">
      <c r="A131" s="563"/>
      <c r="B131" s="495"/>
      <c r="C131" s="564"/>
      <c r="D131" s="674"/>
      <c r="E131" s="505">
        <f>E113*C130</f>
        <v>0.50227692307692295</v>
      </c>
      <c r="F131" s="506" t="s">
        <v>417</v>
      </c>
      <c r="G131" s="506"/>
      <c r="H131" s="495"/>
      <c r="I131" s="495"/>
      <c r="J131" s="495"/>
      <c r="K131" s="495"/>
      <c r="L131" s="541"/>
      <c r="M131" s="379"/>
      <c r="N131" s="541"/>
      <c r="O131" s="379"/>
    </row>
    <row r="132" spans="1:15" ht="15.75" x14ac:dyDescent="0.3">
      <c r="A132" s="563"/>
      <c r="B132" s="506"/>
      <c r="C132" s="564"/>
      <c r="D132" s="506"/>
      <c r="E132" s="557">
        <f>E130/$E$219/VLOOKUP($B130,'Standard values'!$C$9:$S$162,14, FALSE)</f>
        <v>2.2727272727272728E-2</v>
      </c>
      <c r="F132" s="499" t="s">
        <v>538</v>
      </c>
      <c r="G132" s="499"/>
      <c r="H132" s="495"/>
      <c r="I132" s="495"/>
      <c r="J132" s="495"/>
      <c r="K132" s="495"/>
      <c r="L132" s="541"/>
      <c r="M132" s="379"/>
      <c r="N132" s="562"/>
      <c r="O132" s="379"/>
    </row>
    <row r="133" spans="1:15" x14ac:dyDescent="0.2">
      <c r="A133" s="503"/>
      <c r="B133" s="511" t="s">
        <v>525</v>
      </c>
      <c r="C133" s="495"/>
      <c r="D133" s="495"/>
      <c r="E133" s="513"/>
      <c r="F133" s="495"/>
      <c r="G133" s="495"/>
      <c r="H133" s="495"/>
      <c r="I133" s="495"/>
      <c r="J133" s="495"/>
      <c r="K133" s="495"/>
      <c r="L133" s="541"/>
      <c r="M133" s="379"/>
      <c r="N133" s="562"/>
      <c r="O133" s="379"/>
    </row>
    <row r="134" spans="1:15" ht="15.75" x14ac:dyDescent="0.3">
      <c r="A134" s="503"/>
      <c r="B134" s="1301" t="s">
        <v>50</v>
      </c>
      <c r="C134" s="676">
        <f>1.4*-0.00150545454545455</f>
        <v>-2.1076363636363701E-3</v>
      </c>
      <c r="D134" s="495" t="s">
        <v>670</v>
      </c>
      <c r="E134" s="503"/>
      <c r="F134" s="495"/>
      <c r="G134" s="495"/>
      <c r="H134" s="495"/>
      <c r="I134" s="544">
        <f>$C134*$E$131*VLOOKUP($B134,'Standard values'!$C$9:$S$162,7, FALSE)/$E$220</f>
        <v>-0.25157204290909169</v>
      </c>
      <c r="J134" s="544">
        <f>$C134*$E$131*VLOOKUP($B134,'Standard values'!$C$9:$S$162,8, FALSE)/$E$220</f>
        <v>-6.1349781818182E-4</v>
      </c>
      <c r="K134" s="544">
        <f>$C134*$E$131*VLOOKUP($B134,'Standard values'!$C$9:$S$162,9, FALSE)/$E$220</f>
        <v>-1.1357818181818217E-5</v>
      </c>
      <c r="L134" s="419">
        <f>I134*'Standard values'!$D$10+J134*'Standard values'!$D$11+K134*'Standard values'!$D$12</f>
        <v>-0.27029411818181903</v>
      </c>
      <c r="M134" s="379"/>
      <c r="N134" s="561">
        <f>L134/$E$132</f>
        <v>-11.892941200000037</v>
      </c>
      <c r="O134" s="379"/>
    </row>
    <row r="135" spans="1:15" ht="15.75" x14ac:dyDescent="0.3">
      <c r="A135" s="503"/>
      <c r="B135" s="495" t="s">
        <v>827</v>
      </c>
      <c r="C135" s="676">
        <f>1.4*-0.00795454545454546</f>
        <v>-1.1136363636363644E-2</v>
      </c>
      <c r="D135" s="495" t="s">
        <v>670</v>
      </c>
      <c r="E135" s="503"/>
      <c r="F135" s="495"/>
      <c r="G135" s="495"/>
      <c r="H135" s="495"/>
      <c r="I135" s="544"/>
      <c r="J135" s="544"/>
      <c r="K135" s="544"/>
      <c r="L135" s="419"/>
      <c r="M135" s="379"/>
      <c r="N135" s="562"/>
      <c r="O135" s="379"/>
    </row>
    <row r="136" spans="1:15" x14ac:dyDescent="0.2">
      <c r="A136" s="503"/>
      <c r="B136" s="571" t="s">
        <v>729</v>
      </c>
      <c r="C136" s="566"/>
      <c r="D136" s="566"/>
      <c r="E136" s="567"/>
      <c r="F136" s="568"/>
      <c r="G136" s="568"/>
      <c r="H136" s="568"/>
      <c r="I136" s="569" t="s">
        <v>830</v>
      </c>
      <c r="J136" s="568"/>
      <c r="K136" s="568"/>
      <c r="L136" s="688"/>
      <c r="M136" s="379"/>
      <c r="N136" s="562"/>
      <c r="O136" s="379"/>
    </row>
    <row r="137" spans="1:15" ht="15.75" x14ac:dyDescent="0.3">
      <c r="A137" s="503"/>
      <c r="B137" s="679" t="s">
        <v>826</v>
      </c>
      <c r="C137" s="573"/>
      <c r="D137" s="566"/>
      <c r="E137" s="567"/>
      <c r="F137" s="568"/>
      <c r="G137" s="568"/>
      <c r="H137" s="568"/>
      <c r="I137" s="574">
        <f>$C135*$E$131*VLOOKUP($B137,'Standard values'!$C$9:$S$159,7, FALSE)/$E$220</f>
        <v>0</v>
      </c>
      <c r="J137" s="574">
        <f>$C135*$E$131*VLOOKUP($B137,'Standard values'!$C$9:$S$159,8, FALSE)/$E$220</f>
        <v>-3.0934343434343449E-5</v>
      </c>
      <c r="K137" s="574">
        <f>$C135*$E$131*VLOOKUP($B137,'Standard values'!$C$9:$S$159,9, FALSE)/$E$220</f>
        <v>-1.237373737373738E-5</v>
      </c>
      <c r="L137" s="575">
        <f>I137*'Standard values'!$D$10+J137*'Standard values'!$D$11+K137*'Standard values'!$D$12</f>
        <v>-4.4607323232323257E-3</v>
      </c>
      <c r="M137" s="379"/>
      <c r="N137" s="561">
        <f>L137/$E$132</f>
        <v>-0.19627222222222232</v>
      </c>
      <c r="O137" s="379"/>
    </row>
    <row r="138" spans="1:15" ht="14.25" x14ac:dyDescent="0.25">
      <c r="A138" s="503"/>
      <c r="B138" s="582" t="s">
        <v>828</v>
      </c>
      <c r="C138" s="536">
        <f>1/0.9</f>
        <v>1.1111111111111112</v>
      </c>
      <c r="D138" s="568" t="s">
        <v>419</v>
      </c>
      <c r="E138" s="567"/>
      <c r="F138" s="568"/>
      <c r="G138" s="568"/>
      <c r="H138" s="568"/>
      <c r="I138" s="574"/>
      <c r="J138" s="581"/>
      <c r="K138" s="581"/>
      <c r="L138" s="575"/>
      <c r="M138" s="379"/>
      <c r="N138" s="562"/>
      <c r="O138" s="379"/>
    </row>
    <row r="139" spans="1:15" ht="29.25" customHeight="1" x14ac:dyDescent="0.3">
      <c r="A139" s="503"/>
      <c r="B139" s="680" t="s">
        <v>158</v>
      </c>
      <c r="C139" s="573">
        <f>C138*C135</f>
        <v>-1.2373737373737382E-2</v>
      </c>
      <c r="D139" s="568" t="s">
        <v>670</v>
      </c>
      <c r="E139" s="567"/>
      <c r="F139" s="568"/>
      <c r="G139" s="568"/>
      <c r="H139" s="568"/>
      <c r="I139" s="574">
        <f>$C139*$E$131*VLOOKUP($B139,'Standard values'!$C$9:$S$162,7, FALSE)/$E$220</f>
        <v>-0.77910000000000035</v>
      </c>
      <c r="J139" s="574">
        <f>$C139*$E$131*VLOOKUP($B139,'Standard values'!$C$9:$S$162,8, FALSE)/$E$220</f>
        <v>-2.4517185746352425E-3</v>
      </c>
      <c r="K139" s="574">
        <f>$C139*$E$131*VLOOKUP($B139,'Standard values'!$C$9:$S$162,9, FALSE)/$E$220</f>
        <v>-2.7497194163860846E-6</v>
      </c>
      <c r="L139" s="575">
        <f>I139*'Standard values'!$D$10+J139*'Standard values'!$D$11+K139*'Standard values'!$D$12</f>
        <v>-0.84121238075196447</v>
      </c>
      <c r="M139" s="379"/>
      <c r="N139" s="561">
        <f>L139/$E$132</f>
        <v>-37.013344753086436</v>
      </c>
      <c r="O139" s="379"/>
    </row>
    <row r="140" spans="1:15" ht="14.25" x14ac:dyDescent="0.25">
      <c r="A140" s="503"/>
      <c r="B140" s="582" t="s">
        <v>829</v>
      </c>
      <c r="C140" s="536">
        <v>0.02</v>
      </c>
      <c r="D140" s="568" t="s">
        <v>419</v>
      </c>
      <c r="E140" s="567"/>
      <c r="F140" s="568"/>
      <c r="G140" s="568"/>
      <c r="H140" s="568"/>
      <c r="I140" s="574"/>
      <c r="J140" s="581"/>
      <c r="K140" s="581"/>
      <c r="L140" s="575"/>
      <c r="M140" s="379"/>
      <c r="N140" s="562"/>
      <c r="O140" s="379"/>
    </row>
    <row r="141" spans="1:15" ht="15.75" x14ac:dyDescent="0.3">
      <c r="A141" s="503"/>
      <c r="B141" s="1301" t="s">
        <v>50</v>
      </c>
      <c r="C141" s="573">
        <f>C140*C135</f>
        <v>-2.2272727272727288E-4</v>
      </c>
      <c r="D141" s="568" t="s">
        <v>670</v>
      </c>
      <c r="E141" s="567"/>
      <c r="F141" s="568"/>
      <c r="G141" s="568"/>
      <c r="H141" s="568"/>
      <c r="I141" s="574">
        <f>$C141*$E$131*VLOOKUP($B141,'Standard values'!$C$9:$S$162,7, FALSE)/$E$220</f>
        <v>-2.6585209848484861E-2</v>
      </c>
      <c r="J141" s="574">
        <f>$C141*$E$131*VLOOKUP($B141,'Standard values'!$C$9:$S$162,8, FALSE)/$E$220</f>
        <v>-6.4832196969697014E-5</v>
      </c>
      <c r="K141" s="574">
        <f>$C141*$E$131*VLOOKUP($B141,'Standard values'!$C$9:$S$162,9, FALSE)/$E$220</f>
        <v>-1.2002525252525257E-6</v>
      </c>
      <c r="L141" s="575">
        <f>I141*'Standard values'!$D$10+J141*'Standard values'!$D$11+K141*'Standard values'!$D$12</f>
        <v>-2.8563690025252539E-2</v>
      </c>
      <c r="M141" s="379"/>
      <c r="N141" s="561">
        <f>L141/$E$132</f>
        <v>-1.2568023611111117</v>
      </c>
      <c r="O141" s="379"/>
    </row>
    <row r="142" spans="1:15" x14ac:dyDescent="0.2">
      <c r="A142" s="503"/>
      <c r="B142" s="495"/>
      <c r="C142" s="499"/>
      <c r="D142" s="495"/>
      <c r="E142" s="503"/>
      <c r="F142" s="495"/>
      <c r="G142" s="495"/>
      <c r="H142" s="495"/>
      <c r="I142" s="544"/>
      <c r="J142" s="544"/>
      <c r="K142" s="544"/>
      <c r="L142" s="419"/>
      <c r="M142" s="379"/>
      <c r="N142" s="562"/>
      <c r="O142" s="379"/>
    </row>
    <row r="143" spans="1:15" x14ac:dyDescent="0.2">
      <c r="A143" s="503"/>
      <c r="B143" s="511" t="s">
        <v>641</v>
      </c>
      <c r="C143" s="499"/>
      <c r="D143" s="495"/>
      <c r="E143" s="503"/>
      <c r="F143" s="495"/>
      <c r="G143" s="495"/>
      <c r="H143" s="495"/>
      <c r="I143" s="544"/>
      <c r="J143" s="544"/>
      <c r="K143" s="544"/>
      <c r="L143" s="419"/>
      <c r="M143" s="379"/>
      <c r="N143" s="562"/>
      <c r="O143" s="379"/>
    </row>
    <row r="144" spans="1:15" ht="15.75" x14ac:dyDescent="0.3">
      <c r="A144" s="503"/>
      <c r="B144" s="674" t="s">
        <v>1109</v>
      </c>
      <c r="C144" s="676">
        <f>1.4*0.0856818181818182</f>
        <v>0.11995454545454548</v>
      </c>
      <c r="D144" s="495" t="s">
        <v>670</v>
      </c>
      <c r="E144" s="503"/>
      <c r="F144" s="495"/>
      <c r="G144" s="495"/>
      <c r="H144" s="495"/>
      <c r="I144" s="544">
        <f>$C144*$E$131*VLOOKUP($B144,'Standard values'!$C$9:$S$162,7, FALSE)/$E$220</f>
        <v>9.7005408270202018</v>
      </c>
      <c r="J144" s="544">
        <f>$C144*$E$131*VLOOKUP($B144,'Standard values'!$C$9:$S$162,8, FALSE)/$E$220</f>
        <v>3.3164099747474744E-2</v>
      </c>
      <c r="K144" s="544">
        <f>$C144*$E$131*VLOOKUP($B144,'Standard values'!$C$9:$S$162,9, FALSE)/$E$220</f>
        <v>3.6652777777777778E-5</v>
      </c>
      <c r="L144" s="419">
        <f>I144*'Standard values'!$D$10+J144*'Standard values'!$D$11+K144*'Standard values'!$D$12</f>
        <v>10.540565848484848</v>
      </c>
      <c r="M144" s="379"/>
      <c r="N144" s="561">
        <f>L144/$E$132</f>
        <v>463.78489733333328</v>
      </c>
      <c r="O144" s="379"/>
    </row>
    <row r="145" spans="1:15" x14ac:dyDescent="0.2">
      <c r="A145" s="503"/>
      <c r="B145" s="682"/>
      <c r="C145" s="499"/>
      <c r="D145" s="499"/>
      <c r="E145" s="681"/>
      <c r="F145" s="495"/>
      <c r="G145" s="495"/>
      <c r="H145" s="514" t="s">
        <v>1047</v>
      </c>
      <c r="I145" s="583">
        <f>SUM(I131:I144)</f>
        <v>8.6432835742626253</v>
      </c>
      <c r="J145" s="583">
        <f>SUM(J131:J144)</f>
        <v>3.000311681425364E-2</v>
      </c>
      <c r="K145" s="583">
        <f>SUM(K131:K144)</f>
        <v>8.9712502805835736E-6</v>
      </c>
      <c r="L145" s="516">
        <f>I145*'Standard values'!$D$10+J145*'Standard values'!$D$11+K145*'Standard values'!$D$12</f>
        <v>9.3960349272025798</v>
      </c>
      <c r="M145" s="379"/>
      <c r="N145" s="545">
        <f>L145/$E$132</f>
        <v>413.42553679691349</v>
      </c>
      <c r="O145" s="379"/>
    </row>
    <row r="146" spans="1:15" x14ac:dyDescent="0.2">
      <c r="A146" s="503"/>
      <c r="B146" s="682"/>
      <c r="C146" s="499"/>
      <c r="D146" s="499"/>
      <c r="E146" s="503"/>
      <c r="F146" s="495"/>
      <c r="G146" s="495"/>
      <c r="H146" s="495"/>
      <c r="I146" s="495"/>
      <c r="J146" s="495"/>
      <c r="K146" s="495"/>
      <c r="L146" s="541"/>
      <c r="M146" s="379"/>
      <c r="N146" s="390"/>
      <c r="O146" s="379"/>
    </row>
    <row r="147" spans="1:15" ht="14.25" x14ac:dyDescent="0.25">
      <c r="A147" s="519"/>
      <c r="B147" s="520"/>
      <c r="C147" s="520"/>
      <c r="D147" s="520"/>
      <c r="E147" s="519"/>
      <c r="F147" s="521"/>
      <c r="G147" s="521"/>
      <c r="H147" s="521" t="s">
        <v>534</v>
      </c>
      <c r="I147" s="520"/>
      <c r="J147" s="523" t="s">
        <v>675</v>
      </c>
      <c r="K147" s="549"/>
      <c r="L147" s="525">
        <f>L145</f>
        <v>9.3960349272025798</v>
      </c>
      <c r="M147" s="379"/>
      <c r="N147" s="642"/>
      <c r="O147" s="379"/>
    </row>
    <row r="148" spans="1:15" x14ac:dyDescent="0.2">
      <c r="A148" s="390"/>
      <c r="B148" s="390"/>
      <c r="C148" s="390"/>
      <c r="D148" s="379"/>
      <c r="E148" s="379"/>
      <c r="F148" s="551"/>
      <c r="G148" s="551"/>
      <c r="H148" s="437"/>
      <c r="I148" s="378"/>
      <c r="J148" s="379"/>
      <c r="K148" s="379"/>
      <c r="L148" s="586"/>
      <c r="M148" s="379"/>
      <c r="N148" s="379"/>
      <c r="O148" s="379"/>
    </row>
    <row r="149" spans="1:15" x14ac:dyDescent="0.2">
      <c r="A149" s="375"/>
      <c r="B149" s="585"/>
      <c r="C149" s="386"/>
      <c r="D149" s="390"/>
      <c r="E149" s="379"/>
      <c r="F149" s="379"/>
      <c r="G149" s="379"/>
      <c r="H149" s="379"/>
      <c r="I149" s="379"/>
      <c r="J149" s="591"/>
      <c r="K149" s="379"/>
      <c r="L149" s="379"/>
      <c r="M149" s="379"/>
      <c r="N149" s="379"/>
      <c r="O149" s="379"/>
    </row>
    <row r="150" spans="1:15" ht="15.75" x14ac:dyDescent="0.25">
      <c r="A150" s="530" t="s">
        <v>813</v>
      </c>
      <c r="B150" s="532"/>
      <c r="C150" s="531"/>
      <c r="D150" s="531"/>
      <c r="E150" s="530" t="s">
        <v>513</v>
      </c>
      <c r="F150" s="532"/>
      <c r="G150" s="532"/>
      <c r="H150" s="531"/>
      <c r="I150" s="532" t="s">
        <v>532</v>
      </c>
      <c r="J150" s="533"/>
      <c r="K150" s="533"/>
      <c r="L150" s="534"/>
      <c r="M150" s="379"/>
      <c r="N150" s="535" t="s">
        <v>162</v>
      </c>
      <c r="O150" s="379"/>
    </row>
    <row r="151" spans="1:15" ht="15.75" x14ac:dyDescent="0.3">
      <c r="A151" s="503"/>
      <c r="B151" s="511" t="s">
        <v>668</v>
      </c>
      <c r="C151" s="593">
        <v>1</v>
      </c>
      <c r="D151" s="495" t="s">
        <v>669</v>
      </c>
      <c r="E151" s="513">
        <f>E130*C151</f>
        <v>151165.26276923073</v>
      </c>
      <c r="F151" s="499" t="s">
        <v>671</v>
      </c>
      <c r="G151" s="499"/>
      <c r="H151" s="594"/>
      <c r="I151" s="492" t="s">
        <v>674</v>
      </c>
      <c r="J151" s="514"/>
      <c r="K151" s="514"/>
      <c r="L151" s="537"/>
      <c r="M151" s="379"/>
      <c r="N151" s="554" t="s">
        <v>539</v>
      </c>
      <c r="O151" s="379"/>
    </row>
    <row r="152" spans="1:15" ht="15.75" x14ac:dyDescent="0.3">
      <c r="A152" s="503"/>
      <c r="B152" s="495"/>
      <c r="C152" s="689"/>
      <c r="D152" s="495"/>
      <c r="E152" s="505">
        <f>E131*C151</f>
        <v>0.50227692307692295</v>
      </c>
      <c r="F152" s="506" t="s">
        <v>417</v>
      </c>
      <c r="G152" s="506"/>
      <c r="H152" s="594"/>
      <c r="I152" s="539" t="s">
        <v>1053</v>
      </c>
      <c r="J152" s="539" t="s">
        <v>1054</v>
      </c>
      <c r="K152" s="539" t="s">
        <v>1055</v>
      </c>
      <c r="L152" s="540" t="s">
        <v>1056</v>
      </c>
      <c r="M152" s="379"/>
      <c r="N152" s="540" t="s">
        <v>1056</v>
      </c>
      <c r="O152" s="379"/>
    </row>
    <row r="153" spans="1:15" x14ac:dyDescent="0.2">
      <c r="A153" s="503"/>
      <c r="B153" s="511" t="s">
        <v>498</v>
      </c>
      <c r="C153" s="689"/>
      <c r="D153" s="495"/>
      <c r="E153" s="513"/>
      <c r="F153" s="495"/>
      <c r="G153" s="495"/>
      <c r="H153" s="495"/>
      <c r="I153" s="495"/>
      <c r="J153" s="495"/>
      <c r="K153" s="495"/>
      <c r="L153" s="541"/>
      <c r="M153" s="379"/>
      <c r="N153" s="541"/>
      <c r="O153" s="379"/>
    </row>
    <row r="154" spans="1:15" ht="15.75" x14ac:dyDescent="0.3">
      <c r="A154" s="503"/>
      <c r="B154" s="495" t="s">
        <v>159</v>
      </c>
      <c r="C154" s="595">
        <v>150</v>
      </c>
      <c r="D154" s="495" t="s">
        <v>510</v>
      </c>
      <c r="E154" s="543">
        <f>(C154*E152/VLOOKUP($B151,'Standard values'!$C$9:$S$162,14, FALSE))/1000</f>
        <v>1.712307692307692E-3</v>
      </c>
      <c r="F154" s="495" t="s">
        <v>245</v>
      </c>
      <c r="G154" s="495"/>
      <c r="H154" s="495"/>
      <c r="I154" s="544">
        <f>$E154*VLOOKUP($B154,'Standard values'!$C$9:$S$162,15, FALSE)*VLOOKUP(C155,'Standard values'!$C$9:$S$162,7, FALSE)/$E$220</f>
        <v>0.30115909090909088</v>
      </c>
      <c r="J154" s="544">
        <f>$E154*((VLOOKUP($B154,'Standard values'!$C$9:$S$162,15, FALSE)*VLOOKUP(C155,'Standard values'!$C$9:$S$162,8, FALSE))+VLOOKUP($B154,'Standard values'!$C$9:$S$162,16, FALSE))/$E$220</f>
        <v>1.7045454545454543E-5</v>
      </c>
      <c r="K154" s="544">
        <f>$E154*((VLOOKUP($B154,'Standard values'!$C$9:$S$162,15, FALSE)*VLOOKUP(C155,'Standard values'!$C$9:$S$162,9, FALSE))+VLOOKUP($B154,'Standard values'!$C$9:$S$162,17, FALSE))/$E$220</f>
        <v>0</v>
      </c>
      <c r="L154" s="516">
        <f>I154*'Standard values'!$D$10+J154*'Standard values'!$D$11+K154*'Standard values'!$D$12</f>
        <v>0.30158522727272724</v>
      </c>
      <c r="M154" s="379"/>
      <c r="N154" s="562">
        <f>L154/$E$132</f>
        <v>13.269749999999998</v>
      </c>
      <c r="O154" s="379"/>
    </row>
    <row r="155" spans="1:15" x14ac:dyDescent="0.2">
      <c r="A155" s="503"/>
      <c r="B155" s="546" t="s">
        <v>54</v>
      </c>
      <c r="C155" s="673" t="s">
        <v>509</v>
      </c>
      <c r="D155" s="495"/>
      <c r="E155" s="503"/>
      <c r="F155" s="495"/>
      <c r="G155" s="495"/>
      <c r="H155" s="495"/>
      <c r="I155" s="544"/>
      <c r="J155" s="544"/>
      <c r="K155" s="544"/>
      <c r="L155" s="516"/>
      <c r="M155" s="379"/>
      <c r="N155" s="562"/>
      <c r="O155" s="379"/>
    </row>
    <row r="156" spans="1:15" x14ac:dyDescent="0.2">
      <c r="A156" s="503"/>
      <c r="B156" s="495"/>
      <c r="C156" s="689"/>
      <c r="D156" s="495"/>
      <c r="E156" s="543"/>
      <c r="F156" s="495"/>
      <c r="G156" s="495"/>
      <c r="H156" s="495"/>
      <c r="I156" s="544"/>
      <c r="J156" s="544"/>
      <c r="K156" s="544"/>
      <c r="L156" s="516"/>
      <c r="M156" s="379"/>
      <c r="N156" s="562"/>
      <c r="O156" s="379"/>
    </row>
    <row r="157" spans="1:15" x14ac:dyDescent="0.2">
      <c r="A157" s="503"/>
      <c r="B157" s="511" t="s">
        <v>444</v>
      </c>
      <c r="C157" s="689"/>
      <c r="D157" s="495"/>
      <c r="E157" s="503"/>
      <c r="F157" s="495"/>
      <c r="G157" s="495"/>
      <c r="H157" s="495"/>
      <c r="I157" s="544"/>
      <c r="J157" s="544"/>
      <c r="K157" s="544"/>
      <c r="L157" s="584"/>
      <c r="M157" s="379"/>
      <c r="N157" s="562"/>
      <c r="O157" s="379"/>
    </row>
    <row r="158" spans="1:15" ht="15.75" x14ac:dyDescent="0.3">
      <c r="A158" s="590"/>
      <c r="B158" s="1301" t="s">
        <v>49</v>
      </c>
      <c r="C158" s="542">
        <v>8.4000000000000003E-4</v>
      </c>
      <c r="D158" s="495" t="s">
        <v>848</v>
      </c>
      <c r="E158" s="503"/>
      <c r="F158" s="495"/>
      <c r="G158" s="495"/>
      <c r="H158" s="495"/>
      <c r="I158" s="544">
        <f>$C158*$E$152*VLOOKUP($B158,'Standard values'!$C$9:$S$162,7, FALSE)/$E$220</f>
        <v>0.10146737999999998</v>
      </c>
      <c r="J158" s="544">
        <f>$C158*$E$152*VLOOKUP($B158,'Standard values'!$C$9:$S$162,8, FALSE)/$E$220</f>
        <v>2.4744999999999997E-4</v>
      </c>
      <c r="K158" s="544">
        <f>$C158*$E$152*VLOOKUP($B158,'Standard values'!$C$9:$S$162,9, FALSE)/$E$220</f>
        <v>4.5966666666666661E-6</v>
      </c>
      <c r="L158" s="516">
        <f>I158*'Standard values'!$D$10+J158*'Standard values'!$D$11+K158*'Standard values'!$D$12</f>
        <v>0.10902343666666665</v>
      </c>
      <c r="M158" s="379"/>
      <c r="N158" s="562">
        <f>L158/$E$132</f>
        <v>4.7970312133333328</v>
      </c>
      <c r="O158" s="379"/>
    </row>
    <row r="159" spans="1:15" ht="14.25" x14ac:dyDescent="0.25">
      <c r="A159" s="519"/>
      <c r="B159" s="520"/>
      <c r="C159" s="520"/>
      <c r="D159" s="520"/>
      <c r="E159" s="519"/>
      <c r="F159" s="521"/>
      <c r="G159" s="521"/>
      <c r="H159" s="521" t="s">
        <v>534</v>
      </c>
      <c r="I159" s="520"/>
      <c r="J159" s="523" t="s">
        <v>675</v>
      </c>
      <c r="K159" s="549"/>
      <c r="L159" s="525">
        <f>L158+L154</f>
        <v>0.41060866393939388</v>
      </c>
      <c r="M159" s="379"/>
      <c r="N159" s="545">
        <f>L159/$E$132</f>
        <v>18.066781213333329</v>
      </c>
      <c r="O159" s="379"/>
    </row>
    <row r="160" spans="1:15" x14ac:dyDescent="0.2">
      <c r="A160" s="390"/>
      <c r="B160" s="390"/>
      <c r="C160" s="390"/>
      <c r="D160" s="390"/>
      <c r="E160" s="390"/>
      <c r="F160" s="376"/>
      <c r="G160" s="376"/>
      <c r="H160" s="376"/>
      <c r="I160" s="390"/>
      <c r="J160" s="550"/>
      <c r="K160" s="551"/>
      <c r="L160" s="552"/>
      <c r="M160" s="379"/>
      <c r="N160" s="379"/>
      <c r="O160" s="379"/>
    </row>
    <row r="161" spans="1:15" x14ac:dyDescent="0.2">
      <c r="A161" s="390"/>
      <c r="B161" s="390"/>
      <c r="C161" s="390"/>
      <c r="D161" s="390"/>
      <c r="E161" s="390"/>
      <c r="F161" s="376"/>
      <c r="G161" s="376"/>
      <c r="H161" s="376"/>
      <c r="I161" s="390"/>
      <c r="J161" s="550"/>
      <c r="K161" s="551"/>
      <c r="L161" s="552"/>
      <c r="M161" s="379"/>
      <c r="N161" s="379"/>
      <c r="O161" s="379"/>
    </row>
    <row r="162" spans="1:15" ht="15.75" x14ac:dyDescent="0.25">
      <c r="A162" s="530" t="s">
        <v>810</v>
      </c>
      <c r="B162" s="531"/>
      <c r="C162" s="531"/>
      <c r="D162" s="531"/>
      <c r="E162" s="530" t="s">
        <v>513</v>
      </c>
      <c r="F162" s="531"/>
      <c r="G162" s="531"/>
      <c r="H162" s="531"/>
      <c r="I162" s="531"/>
      <c r="J162" s="531"/>
      <c r="K162" s="531"/>
      <c r="L162" s="596"/>
      <c r="M162" s="379"/>
      <c r="N162" s="535" t="s">
        <v>162</v>
      </c>
      <c r="O162" s="379"/>
    </row>
    <row r="163" spans="1:15" ht="15.75" x14ac:dyDescent="0.3">
      <c r="A163" s="503"/>
      <c r="B163" s="511" t="s">
        <v>668</v>
      </c>
      <c r="C163" s="593">
        <v>1</v>
      </c>
      <c r="D163" s="495" t="s">
        <v>669</v>
      </c>
      <c r="E163" s="513">
        <f>E151*C163</f>
        <v>151165.26276923073</v>
      </c>
      <c r="F163" s="499" t="s">
        <v>671</v>
      </c>
      <c r="G163" s="499"/>
      <c r="H163" s="495"/>
      <c r="I163" s="492" t="s">
        <v>674</v>
      </c>
      <c r="J163" s="514"/>
      <c r="K163" s="514"/>
      <c r="L163" s="537"/>
      <c r="M163" s="379"/>
      <c r="N163" s="554" t="s">
        <v>539</v>
      </c>
      <c r="O163" s="379"/>
    </row>
    <row r="164" spans="1:15" ht="15.75" x14ac:dyDescent="0.3">
      <c r="A164" s="503"/>
      <c r="B164" s="495"/>
      <c r="C164" s="689"/>
      <c r="D164" s="495"/>
      <c r="E164" s="505">
        <f>E152*C163</f>
        <v>0.50227692307692295</v>
      </c>
      <c r="F164" s="506" t="s">
        <v>417</v>
      </c>
      <c r="G164" s="506"/>
      <c r="H164" s="495"/>
      <c r="I164" s="539" t="s">
        <v>1053</v>
      </c>
      <c r="J164" s="539" t="s">
        <v>1054</v>
      </c>
      <c r="K164" s="539" t="s">
        <v>1055</v>
      </c>
      <c r="L164" s="540" t="s">
        <v>1056</v>
      </c>
      <c r="M164" s="379"/>
      <c r="N164" s="540" t="s">
        <v>1056</v>
      </c>
      <c r="O164" s="379"/>
    </row>
    <row r="165" spans="1:15" x14ac:dyDescent="0.2">
      <c r="A165" s="503"/>
      <c r="B165" s="511" t="s">
        <v>498</v>
      </c>
      <c r="C165" s="689"/>
      <c r="D165" s="495"/>
      <c r="E165" s="513"/>
      <c r="F165" s="495"/>
      <c r="G165" s="495"/>
      <c r="H165" s="495"/>
      <c r="I165" s="495"/>
      <c r="J165" s="495"/>
      <c r="K165" s="495"/>
      <c r="L165" s="541"/>
      <c r="M165" s="379"/>
      <c r="N165" s="541"/>
      <c r="O165" s="379"/>
    </row>
    <row r="166" spans="1:15" ht="15.75" x14ac:dyDescent="0.3">
      <c r="A166" s="503"/>
      <c r="B166" s="495" t="s">
        <v>159</v>
      </c>
      <c r="C166" s="595">
        <v>150</v>
      </c>
      <c r="D166" s="495" t="s">
        <v>510</v>
      </c>
      <c r="E166" s="543">
        <f>(C166*E164/VLOOKUP($B163,'Standard values'!$C$9:$S$162,14, FALSE))/1000</f>
        <v>1.712307692307692E-3</v>
      </c>
      <c r="F166" s="495" t="s">
        <v>245</v>
      </c>
      <c r="G166" s="495"/>
      <c r="H166" s="495"/>
      <c r="I166" s="544">
        <f>$E166*VLOOKUP($B166,'Standard values'!$C$9:$S$162,15, FALSE)*VLOOKUP(C167,'Standard values'!$C$9:$S$162,7, FALSE)/$E$220</f>
        <v>0.30115909090909088</v>
      </c>
      <c r="J166" s="544">
        <f>$E166*((VLOOKUP($B166,'Standard values'!$C$9:$S$162,15, FALSE)*VLOOKUP(C167,'Standard values'!$C$9:$S$162,8, FALSE))+VLOOKUP($B166,'Standard values'!$C$9:$S$162,16, FALSE))/$E$220</f>
        <v>1.7045454545454543E-5</v>
      </c>
      <c r="K166" s="544">
        <f>$E166*((VLOOKUP($B166,'Standard values'!$C$9:$S$162,15, FALSE)*VLOOKUP(C167,'Standard values'!$C$9:$S$162,9, FALSE))+VLOOKUP($B166,'Standard values'!$C$9:$S$162,17, FALSE))/$E$220</f>
        <v>0</v>
      </c>
      <c r="L166" s="516">
        <f>I166*'Standard values'!$D$10+J166*'Standard values'!$D$11+K166*'Standard values'!$D$12</f>
        <v>0.30158522727272724</v>
      </c>
      <c r="M166" s="379"/>
      <c r="N166" s="562">
        <f>L166/$E$132</f>
        <v>13.269749999999998</v>
      </c>
      <c r="O166" s="379"/>
    </row>
    <row r="167" spans="1:15" x14ac:dyDescent="0.2">
      <c r="A167" s="503"/>
      <c r="B167" s="546" t="s">
        <v>54</v>
      </c>
      <c r="C167" s="673" t="s">
        <v>509</v>
      </c>
      <c r="D167" s="495"/>
      <c r="E167" s="503"/>
      <c r="F167" s="495"/>
      <c r="G167" s="495"/>
      <c r="H167" s="495"/>
      <c r="I167" s="544"/>
      <c r="J167" s="544"/>
      <c r="K167" s="544"/>
      <c r="L167" s="516"/>
      <c r="M167" s="379"/>
      <c r="N167" s="562"/>
      <c r="O167" s="379"/>
    </row>
    <row r="168" spans="1:15" x14ac:dyDescent="0.2">
      <c r="A168" s="503"/>
      <c r="B168" s="495"/>
      <c r="C168" s="689"/>
      <c r="D168" s="495"/>
      <c r="E168" s="505"/>
      <c r="F168" s="506"/>
      <c r="G168" s="506"/>
      <c r="H168" s="495"/>
      <c r="I168" s="539"/>
      <c r="J168" s="539"/>
      <c r="K168" s="539"/>
      <c r="L168" s="690"/>
      <c r="M168" s="379"/>
      <c r="N168" s="540"/>
      <c r="O168" s="379"/>
    </row>
    <row r="169" spans="1:15" x14ac:dyDescent="0.2">
      <c r="A169" s="503"/>
      <c r="B169" s="511" t="s">
        <v>441</v>
      </c>
      <c r="C169" s="689"/>
      <c r="D169" s="495"/>
      <c r="E169" s="503"/>
      <c r="F169" s="495"/>
      <c r="G169" s="495"/>
      <c r="H169" s="495"/>
      <c r="I169" s="544"/>
      <c r="J169" s="544"/>
      <c r="K169" s="544"/>
      <c r="L169" s="584"/>
      <c r="M169" s="379"/>
      <c r="N169" s="541"/>
      <c r="O169" s="379"/>
    </row>
    <row r="170" spans="1:15" ht="15.75" x14ac:dyDescent="0.3">
      <c r="A170" s="503"/>
      <c r="B170" s="1301" t="s">
        <v>49</v>
      </c>
      <c r="C170" s="542">
        <v>3.3999999999999998E-3</v>
      </c>
      <c r="D170" s="495" t="s">
        <v>848</v>
      </c>
      <c r="E170" s="503"/>
      <c r="F170" s="495"/>
      <c r="G170" s="495"/>
      <c r="H170" s="495"/>
      <c r="I170" s="544">
        <f>$C170*$E$164*VLOOKUP($B170,'Standard values'!$C$9:$S$162,7, FALSE)/$E$220</f>
        <v>0.41070129999999988</v>
      </c>
      <c r="J170" s="544">
        <f>$C170*$E$164*VLOOKUP($B170,'Standard values'!$C$9:$S$162,8, FALSE)/$E$220</f>
        <v>1.0015833333333331E-3</v>
      </c>
      <c r="K170" s="544">
        <f>$C170*$E$164*VLOOKUP($B170,'Standard values'!$C$9:$S$162,9, FALSE)/$E$220</f>
        <v>1.8605555555555551E-5</v>
      </c>
      <c r="L170" s="516">
        <f>I170*'Standard values'!$D$10+J170*'Standard values'!$D$11+K170*'Standard values'!$D$12</f>
        <v>0.44128533888888877</v>
      </c>
      <c r="M170" s="379"/>
      <c r="N170" s="562">
        <f>L170/$E$132</f>
        <v>19.416554911111106</v>
      </c>
      <c r="O170" s="379"/>
    </row>
    <row r="171" spans="1:15" ht="14.25" x14ac:dyDescent="0.25">
      <c r="A171" s="519"/>
      <c r="B171" s="520"/>
      <c r="C171" s="520"/>
      <c r="D171" s="520"/>
      <c r="E171" s="519"/>
      <c r="F171" s="521"/>
      <c r="G171" s="521"/>
      <c r="H171" s="521" t="s">
        <v>534</v>
      </c>
      <c r="I171" s="520"/>
      <c r="J171" s="523" t="s">
        <v>675</v>
      </c>
      <c r="K171" s="549"/>
      <c r="L171" s="525">
        <f>L166+L170</f>
        <v>0.74287056616161595</v>
      </c>
      <c r="M171" s="379"/>
      <c r="N171" s="545">
        <f>L171/$E$132</f>
        <v>32.686304911111101</v>
      </c>
      <c r="O171" s="379"/>
    </row>
    <row r="172" spans="1:15" x14ac:dyDescent="0.2">
      <c r="A172" s="390"/>
      <c r="B172" s="390"/>
      <c r="C172" s="390"/>
      <c r="D172" s="390"/>
      <c r="E172" s="390"/>
      <c r="F172" s="376"/>
      <c r="G172" s="376"/>
      <c r="H172" s="376"/>
      <c r="I172" s="390"/>
      <c r="J172" s="550"/>
      <c r="K172" s="551"/>
      <c r="L172" s="597"/>
      <c r="M172" s="379"/>
      <c r="N172" s="642"/>
      <c r="O172" s="379"/>
    </row>
    <row r="173" spans="1:15" x14ac:dyDescent="0.2">
      <c r="A173" s="390"/>
      <c r="B173" s="390"/>
      <c r="C173" s="390"/>
      <c r="D173" s="390"/>
      <c r="E173" s="390"/>
      <c r="F173" s="376"/>
      <c r="G173" s="376"/>
      <c r="H173" s="376"/>
      <c r="I173" s="390"/>
      <c r="J173" s="550"/>
      <c r="K173" s="551"/>
      <c r="L173" s="597"/>
      <c r="M173" s="379"/>
      <c r="N173" s="379"/>
      <c r="O173" s="379"/>
    </row>
    <row r="174" spans="1:15" ht="15.75" x14ac:dyDescent="0.25">
      <c r="A174" s="530" t="s">
        <v>546</v>
      </c>
      <c r="B174" s="598"/>
      <c r="C174" s="599"/>
      <c r="D174" s="531"/>
      <c r="E174" s="600"/>
      <c r="F174" s="531"/>
      <c r="G174" s="531"/>
      <c r="H174" s="531"/>
      <c r="I174" s="531"/>
      <c r="J174" s="531"/>
      <c r="K174" s="531"/>
      <c r="L174" s="601"/>
      <c r="M174" s="379"/>
      <c r="N174" s="379"/>
      <c r="O174" s="379"/>
    </row>
    <row r="175" spans="1:15" ht="15.75" x14ac:dyDescent="0.25">
      <c r="A175" s="602"/>
      <c r="B175" s="603" t="s">
        <v>549</v>
      </c>
      <c r="C175" s="511" t="s">
        <v>908</v>
      </c>
      <c r="D175" s="495"/>
      <c r="E175" s="503"/>
      <c r="F175" s="495"/>
      <c r="G175" s="495"/>
      <c r="H175" s="495"/>
      <c r="I175" s="495"/>
      <c r="J175" s="495"/>
      <c r="K175" s="495"/>
      <c r="L175" s="537"/>
      <c r="M175" s="379"/>
      <c r="N175" s="379"/>
      <c r="O175" s="390"/>
    </row>
    <row r="176" spans="1:15" ht="15.75" customHeight="1" x14ac:dyDescent="0.25">
      <c r="A176" s="602"/>
      <c r="B176" s="511"/>
      <c r="C176" s="668"/>
      <c r="D176" s="691" t="s">
        <v>431</v>
      </c>
      <c r="E176" s="692" t="str">
        <f>IF(D178="Yes","From :  ", " ")</f>
        <v xml:space="preserve"> </v>
      </c>
      <c r="F176" s="1422" t="str">
        <f>IF(D178="Yes",LUC!H$35 &amp; " ; " &amp; LUC!H$36 &amp; " ; " &amp; LUC!H$39 &amp; " ; " &amp; LUC!H$40 &amp; " ; " &amp; LUC!H$45 &amp; " ; " &amp; LUC!H$46 &amp; " ; " &amp; LUC!H$47, " ")</f>
        <v xml:space="preserve"> </v>
      </c>
      <c r="G176" s="1422"/>
      <c r="H176" s="1422"/>
      <c r="I176" s="1422"/>
      <c r="J176" s="1422"/>
      <c r="K176" s="1422"/>
      <c r="L176" s="1423"/>
      <c r="M176" s="379"/>
      <c r="N176" s="379"/>
      <c r="O176" s="390"/>
    </row>
    <row r="177" spans="1:15" ht="15.75" x14ac:dyDescent="0.25">
      <c r="A177" s="602"/>
      <c r="B177" s="539" t="s">
        <v>450</v>
      </c>
      <c r="C177" s="693" t="s">
        <v>431</v>
      </c>
      <c r="D177" s="691" t="s">
        <v>432</v>
      </c>
      <c r="E177" s="513"/>
      <c r="F177" s="1422"/>
      <c r="G177" s="1422"/>
      <c r="H177" s="1422"/>
      <c r="I177" s="1422"/>
      <c r="J177" s="1422"/>
      <c r="K177" s="1422"/>
      <c r="L177" s="1423"/>
      <c r="M177" s="379"/>
      <c r="N177" s="379"/>
      <c r="O177" s="390"/>
    </row>
    <row r="178" spans="1:15" ht="15.75" customHeight="1" x14ac:dyDescent="0.25">
      <c r="A178" s="602"/>
      <c r="B178" s="511"/>
      <c r="C178" s="670" t="str">
        <f>IF(D178="Yes","Go to", " ")</f>
        <v xml:space="preserve"> </v>
      </c>
      <c r="D178" s="691" t="s">
        <v>432</v>
      </c>
      <c r="E178" s="692" t="str">
        <f>IF(D178="Yes","To    :   ", " ")</f>
        <v xml:space="preserve"> </v>
      </c>
      <c r="F178" s="1424" t="str">
        <f>IF(D178="Yes", LUC!D$35 &amp; " ; " &amp; LUC!D$36 &amp; " ; " &amp; LUC!D$39 &amp; " ; " &amp; LUC!D$40 &amp; " ; " &amp; LUC!D$45 &amp; " ; " &amp; LUC!D$46 &amp; " ; " &amp; LUC!D$47, " ")</f>
        <v xml:space="preserve"> </v>
      </c>
      <c r="G178" s="1424"/>
      <c r="H178" s="1424"/>
      <c r="I178" s="1424"/>
      <c r="J178" s="1424"/>
      <c r="K178" s="1424"/>
      <c r="L178" s="1425"/>
      <c r="M178" s="379"/>
      <c r="N178" s="379"/>
      <c r="O178" s="390"/>
    </row>
    <row r="179" spans="1:15" ht="15.75" x14ac:dyDescent="0.25">
      <c r="A179" s="602"/>
      <c r="B179" s="416"/>
      <c r="C179" s="671" t="str">
        <f>IF(D178="Yes","sheet 'LUC' ", " ")</f>
        <v xml:space="preserve"> </v>
      </c>
      <c r="D179" s="495"/>
      <c r="E179" s="696"/>
      <c r="F179" s="1424"/>
      <c r="G179" s="1424"/>
      <c r="H179" s="1424"/>
      <c r="I179" s="1424"/>
      <c r="J179" s="1424"/>
      <c r="K179" s="1424"/>
      <c r="L179" s="1425"/>
      <c r="M179" s="379"/>
      <c r="N179" s="379"/>
      <c r="O179" s="390"/>
    </row>
    <row r="180" spans="1:15" ht="15.75" x14ac:dyDescent="0.25">
      <c r="A180" s="602"/>
      <c r="B180" s="416"/>
      <c r="C180" s="670" t="str">
        <f>IF(D178="Yes","to calculate the land use change", " ")</f>
        <v xml:space="preserve"> </v>
      </c>
      <c r="D180" s="495"/>
      <c r="E180" s="696"/>
      <c r="F180" s="694"/>
      <c r="G180" s="694"/>
      <c r="H180" s="694"/>
      <c r="I180" s="492" t="s">
        <v>674</v>
      </c>
      <c r="J180" s="514"/>
      <c r="K180" s="694"/>
      <c r="L180" s="695"/>
      <c r="M180" s="379"/>
      <c r="N180" s="379"/>
      <c r="O180" s="390"/>
    </row>
    <row r="181" spans="1:15" ht="16.5" x14ac:dyDescent="0.3">
      <c r="A181" s="602"/>
      <c r="B181" s="416"/>
      <c r="C181" s="670"/>
      <c r="D181" s="495"/>
      <c r="E181" s="696"/>
      <c r="F181" s="694"/>
      <c r="G181" s="694"/>
      <c r="H181" s="694"/>
      <c r="I181" s="539" t="s">
        <v>1053</v>
      </c>
      <c r="J181" s="539" t="s">
        <v>1054</v>
      </c>
      <c r="K181" s="539" t="s">
        <v>1055</v>
      </c>
      <c r="L181" s="540" t="s">
        <v>1056</v>
      </c>
      <c r="M181" s="379"/>
      <c r="N181" s="379"/>
      <c r="O181" s="390"/>
    </row>
    <row r="182" spans="1:15" ht="16.5" x14ac:dyDescent="0.3">
      <c r="A182" s="602"/>
      <c r="B182" s="507" t="s">
        <v>451</v>
      </c>
      <c r="C182" s="697">
        <f>IF(D178="Yes",LUC!$J$86,0)</f>
        <v>0</v>
      </c>
      <c r="D182" s="497" t="s">
        <v>449</v>
      </c>
      <c r="E182" s="503"/>
      <c r="F182" s="495"/>
      <c r="G182" s="495"/>
      <c r="H182" s="495"/>
      <c r="I182" s="544">
        <f>$C182*1000000/$E$219</f>
        <v>0</v>
      </c>
      <c r="J182" s="544">
        <v>0</v>
      </c>
      <c r="K182" s="544">
        <v>0</v>
      </c>
      <c r="L182" s="419">
        <f>I182*'Standard values'!$D$10+J182*'Standard values'!$D$11+K182*'Standard values'!$D$12</f>
        <v>0</v>
      </c>
      <c r="M182" s="379"/>
      <c r="N182" s="379"/>
      <c r="O182" s="390"/>
    </row>
    <row r="183" spans="1:15" ht="15.75" x14ac:dyDescent="0.25">
      <c r="A183" s="602"/>
      <c r="B183" s="507"/>
      <c r="C183" s="698"/>
      <c r="D183" s="497"/>
      <c r="E183" s="503"/>
      <c r="F183" s="495"/>
      <c r="G183" s="495"/>
      <c r="H183" s="495"/>
      <c r="I183" s="544"/>
      <c r="J183" s="544"/>
      <c r="K183" s="544"/>
      <c r="L183" s="516">
        <f>SUM(L182:L182)</f>
        <v>0</v>
      </c>
      <c r="M183" s="379"/>
      <c r="N183" s="379"/>
      <c r="O183" s="390"/>
    </row>
    <row r="184" spans="1:15" ht="15.75" x14ac:dyDescent="0.25">
      <c r="A184" s="602"/>
      <c r="B184" s="416"/>
      <c r="C184" s="492"/>
      <c r="D184" s="495"/>
      <c r="E184" s="503"/>
      <c r="F184" s="495"/>
      <c r="G184" s="495"/>
      <c r="H184" s="495"/>
      <c r="I184" s="544"/>
      <c r="J184" s="544"/>
      <c r="K184" s="544"/>
      <c r="L184" s="516"/>
      <c r="M184" s="379"/>
      <c r="N184" s="379"/>
      <c r="O184" s="390"/>
    </row>
    <row r="185" spans="1:15" ht="15.75" x14ac:dyDescent="0.3">
      <c r="A185" s="503"/>
      <c r="B185" s="539" t="s">
        <v>452</v>
      </c>
      <c r="C185" s="595">
        <v>0</v>
      </c>
      <c r="D185" s="605" t="s">
        <v>673</v>
      </c>
      <c r="E185" s="699"/>
      <c r="F185" s="495"/>
      <c r="G185" s="495"/>
      <c r="H185" s="495"/>
      <c r="I185" s="544">
        <f>-C185</f>
        <v>0</v>
      </c>
      <c r="J185" s="544">
        <v>0</v>
      </c>
      <c r="K185" s="544">
        <v>0</v>
      </c>
      <c r="L185" s="419">
        <f>I185*'Standard values'!$D$10+J185*'Standard values'!$D$11+K185*'Standard values'!$D$12</f>
        <v>0</v>
      </c>
      <c r="M185" s="379"/>
      <c r="N185" s="379"/>
      <c r="O185" s="390"/>
    </row>
    <row r="186" spans="1:15" x14ac:dyDescent="0.2">
      <c r="A186" s="503"/>
      <c r="B186" s="539" t="str">
        <f>IF(C185=-29,"Year of conversion:","")</f>
        <v/>
      </c>
      <c r="C186" s="539" t="str">
        <f>IF(D185=-29,"Year of conversion:","")</f>
        <v/>
      </c>
      <c r="D186" s="605" t="str">
        <f>IF(C185=-29,"Fill in the year of conversion","")</f>
        <v/>
      </c>
      <c r="E186" s="503"/>
      <c r="F186" s="495"/>
      <c r="G186" s="495"/>
      <c r="H186" s="495"/>
      <c r="I186" s="495"/>
      <c r="J186" s="495"/>
      <c r="K186" s="544"/>
      <c r="L186" s="516">
        <f>SUM(L185:L185)</f>
        <v>0</v>
      </c>
      <c r="M186" s="379"/>
      <c r="N186" s="379"/>
      <c r="O186" s="390"/>
    </row>
    <row r="187" spans="1:15" x14ac:dyDescent="0.2">
      <c r="A187" s="503"/>
      <c r="B187" s="539"/>
      <c r="C187" s="539"/>
      <c r="D187" s="605"/>
      <c r="E187" s="503"/>
      <c r="F187" s="495"/>
      <c r="G187" s="495"/>
      <c r="H187" s="495"/>
      <c r="I187" s="495"/>
      <c r="J187" s="495"/>
      <c r="K187" s="544"/>
      <c r="L187" s="700"/>
      <c r="M187" s="379"/>
      <c r="N187" s="379"/>
      <c r="O187" s="390"/>
    </row>
    <row r="188" spans="1:15" ht="14.25" x14ac:dyDescent="0.25">
      <c r="A188" s="519"/>
      <c r="B188" s="520"/>
      <c r="C188" s="520"/>
      <c r="D188" s="520"/>
      <c r="E188" s="519"/>
      <c r="F188" s="521"/>
      <c r="G188" s="521"/>
      <c r="H188" s="521" t="s">
        <v>534</v>
      </c>
      <c r="I188" s="520"/>
      <c r="J188" s="523" t="s">
        <v>675</v>
      </c>
      <c r="K188" s="549"/>
      <c r="L188" s="525">
        <f>L183+L186</f>
        <v>0</v>
      </c>
      <c r="M188" s="379"/>
      <c r="N188" s="379"/>
      <c r="O188" s="390"/>
    </row>
    <row r="189" spans="1:15" x14ac:dyDescent="0.2">
      <c r="A189" s="390"/>
      <c r="B189" s="390"/>
      <c r="C189" s="390"/>
      <c r="D189" s="390"/>
      <c r="E189" s="390"/>
      <c r="F189" s="376"/>
      <c r="G189" s="376"/>
      <c r="H189" s="376"/>
      <c r="I189" s="390"/>
      <c r="J189" s="550"/>
      <c r="K189" s="551"/>
      <c r="L189" s="604"/>
      <c r="M189" s="379"/>
      <c r="N189" s="379"/>
      <c r="O189" s="390"/>
    </row>
    <row r="190" spans="1:15" x14ac:dyDescent="0.2">
      <c r="A190" s="390"/>
      <c r="B190" s="390"/>
      <c r="C190" s="390"/>
      <c r="D190" s="390"/>
      <c r="E190" s="390"/>
      <c r="F190" s="376"/>
      <c r="G190" s="376"/>
      <c r="H190" s="376"/>
      <c r="I190" s="390"/>
      <c r="J190" s="550"/>
      <c r="K190" s="551"/>
      <c r="L190" s="604"/>
      <c r="M190" s="379"/>
      <c r="N190" s="379"/>
      <c r="O190" s="390"/>
    </row>
    <row r="191" spans="1:15" ht="15.75" x14ac:dyDescent="0.25">
      <c r="A191" s="530" t="s">
        <v>547</v>
      </c>
      <c r="B191" s="598"/>
      <c r="C191" s="599"/>
      <c r="D191" s="531"/>
      <c r="E191" s="600"/>
      <c r="F191" s="531"/>
      <c r="G191" s="531"/>
      <c r="H191" s="531"/>
      <c r="I191" s="531"/>
      <c r="J191" s="531"/>
      <c r="K191" s="531"/>
      <c r="L191" s="601"/>
      <c r="M191" s="379"/>
      <c r="N191" s="390"/>
      <c r="O191" s="390"/>
    </row>
    <row r="192" spans="1:15" ht="15.75" x14ac:dyDescent="0.25">
      <c r="A192" s="602"/>
      <c r="B192" s="416" t="s">
        <v>548</v>
      </c>
      <c r="C192" s="492" t="s">
        <v>429</v>
      </c>
      <c r="D192" s="616"/>
      <c r="E192" s="503"/>
      <c r="F192" s="495"/>
      <c r="G192" s="495"/>
      <c r="H192" s="495"/>
      <c r="I192" s="492" t="s">
        <v>674</v>
      </c>
      <c r="J192" s="514"/>
      <c r="K192" s="514"/>
      <c r="L192" s="537"/>
      <c r="M192" s="379"/>
      <c r="N192" s="390"/>
      <c r="O192" s="390"/>
    </row>
    <row r="193" spans="1:15" ht="15.75" customHeight="1" x14ac:dyDescent="0.25">
      <c r="A193" s="602"/>
      <c r="B193" s="511"/>
      <c r="C193" s="668"/>
      <c r="D193" s="691" t="s">
        <v>431</v>
      </c>
      <c r="E193" s="692" t="str">
        <f>IF(D195="Yes","From :  ", " ")</f>
        <v xml:space="preserve"> </v>
      </c>
      <c r="F193" s="1422" t="str">
        <f>IF(D195="Yes",Esca!H$42 &amp; ", " &amp; Esca!H$43 &amp; " input ","")</f>
        <v/>
      </c>
      <c r="G193" s="1422"/>
      <c r="H193" s="1422"/>
      <c r="I193" s="1422"/>
      <c r="J193" s="1422"/>
      <c r="K193" s="1422"/>
      <c r="L193" s="1423"/>
      <c r="M193" s="379"/>
      <c r="N193" s="390"/>
      <c r="O193" s="390"/>
    </row>
    <row r="194" spans="1:15" ht="15.75" x14ac:dyDescent="0.25">
      <c r="A194" s="602"/>
      <c r="B194" s="539" t="s">
        <v>430</v>
      </c>
      <c r="C194" s="668"/>
      <c r="D194" s="691" t="s">
        <v>432</v>
      </c>
      <c r="E194" s="513"/>
      <c r="F194" s="1422"/>
      <c r="G194" s="1422"/>
      <c r="H194" s="1422"/>
      <c r="I194" s="1422"/>
      <c r="J194" s="1422"/>
      <c r="K194" s="1422"/>
      <c r="L194" s="1423"/>
      <c r="M194" s="379"/>
      <c r="N194" s="390"/>
      <c r="O194" s="390"/>
    </row>
    <row r="195" spans="1:15" ht="15.75" customHeight="1" x14ac:dyDescent="0.25">
      <c r="A195" s="602"/>
      <c r="B195" s="511"/>
      <c r="C195" s="670" t="str">
        <f>IF(D195="Yes","Go to", " ")</f>
        <v xml:space="preserve"> </v>
      </c>
      <c r="D195" s="691" t="s">
        <v>432</v>
      </c>
      <c r="E195" s="692" t="str">
        <f>IF(D195="Yes","To    :   ", " ")</f>
        <v xml:space="preserve"> </v>
      </c>
      <c r="F195" s="1422" t="str">
        <f>IF(D195="Yes",Esca!D$42 &amp; ", " &amp; Esca!D$43 &amp; " input ","")</f>
        <v/>
      </c>
      <c r="G195" s="1422"/>
      <c r="H195" s="1422"/>
      <c r="I195" s="1422"/>
      <c r="J195" s="1422"/>
      <c r="K195" s="1422"/>
      <c r="L195" s="1423"/>
      <c r="M195" s="379"/>
      <c r="N195" s="390"/>
      <c r="O195" s="390"/>
    </row>
    <row r="196" spans="1:15" ht="15.75" x14ac:dyDescent="0.25">
      <c r="A196" s="602"/>
      <c r="B196" s="416"/>
      <c r="C196" s="671" t="str">
        <f>IF(D195="Yes","sheet 'Esca' ", " ")</f>
        <v xml:space="preserve"> </v>
      </c>
      <c r="D196" s="495"/>
      <c r="E196" s="696"/>
      <c r="F196" s="1422"/>
      <c r="G196" s="1422"/>
      <c r="H196" s="1422"/>
      <c r="I196" s="1422"/>
      <c r="J196" s="1422"/>
      <c r="K196" s="1422"/>
      <c r="L196" s="1423"/>
      <c r="M196" s="379"/>
      <c r="N196" s="390"/>
      <c r="O196" s="390"/>
    </row>
    <row r="197" spans="1:15" ht="15.75" x14ac:dyDescent="0.25">
      <c r="A197" s="602"/>
      <c r="B197" s="416"/>
      <c r="C197" s="670" t="str">
        <f>IF(D195="Yes","to calculate the soil carbon accumulation", " ")</f>
        <v xml:space="preserve"> </v>
      </c>
      <c r="D197" s="495"/>
      <c r="E197" s="696"/>
      <c r="F197" s="694"/>
      <c r="G197" s="694"/>
      <c r="H197" s="694"/>
      <c r="I197" s="492" t="s">
        <v>674</v>
      </c>
      <c r="J197" s="514"/>
      <c r="K197" s="694"/>
      <c r="L197" s="695"/>
      <c r="M197" s="379"/>
      <c r="N197" s="390"/>
      <c r="O197" s="390"/>
    </row>
    <row r="198" spans="1:15" ht="16.5" x14ac:dyDescent="0.3">
      <c r="A198" s="602"/>
      <c r="B198" s="416"/>
      <c r="C198" s="670"/>
      <c r="D198" s="495"/>
      <c r="E198" s="696"/>
      <c r="F198" s="694"/>
      <c r="G198" s="694"/>
      <c r="H198" s="694"/>
      <c r="I198" s="539" t="s">
        <v>1053</v>
      </c>
      <c r="J198" s="539" t="s">
        <v>1054</v>
      </c>
      <c r="K198" s="539" t="s">
        <v>1055</v>
      </c>
      <c r="L198" s="540" t="s">
        <v>1056</v>
      </c>
      <c r="M198" s="379"/>
      <c r="N198" s="390"/>
      <c r="O198" s="390"/>
    </row>
    <row r="199" spans="1:15" ht="16.5" x14ac:dyDescent="0.3">
      <c r="A199" s="602"/>
      <c r="B199" s="507" t="s">
        <v>807</v>
      </c>
      <c r="C199" s="697">
        <f>IF(D195="yes",Esca!$J$81,0)</f>
        <v>0</v>
      </c>
      <c r="D199" s="497" t="s">
        <v>449</v>
      </c>
      <c r="E199" s="503"/>
      <c r="F199" s="495"/>
      <c r="G199" s="495"/>
      <c r="H199" s="495"/>
      <c r="I199" s="544">
        <f>$C199*1000000/$E$219</f>
        <v>0</v>
      </c>
      <c r="J199" s="544">
        <v>0</v>
      </c>
      <c r="K199" s="544">
        <v>0</v>
      </c>
      <c r="L199" s="419">
        <f>I199*'Standard values'!$D$10+J199*'Standard values'!$D$11+K199*'Standard values'!$D$12</f>
        <v>0</v>
      </c>
      <c r="M199" s="379"/>
      <c r="N199" s="390"/>
      <c r="O199" s="390"/>
    </row>
    <row r="200" spans="1:15" x14ac:dyDescent="0.2">
      <c r="A200" s="503"/>
      <c r="B200" s="539"/>
      <c r="C200" s="539"/>
      <c r="D200" s="605"/>
      <c r="E200" s="503"/>
      <c r="F200" s="495"/>
      <c r="G200" s="495"/>
      <c r="H200" s="495"/>
      <c r="I200" s="495"/>
      <c r="J200" s="495"/>
      <c r="K200" s="544"/>
      <c r="L200" s="516">
        <f>SUM(L199:L199)</f>
        <v>0</v>
      </c>
      <c r="M200" s="379"/>
      <c r="N200" s="390"/>
      <c r="O200" s="390"/>
    </row>
    <row r="201" spans="1:15" x14ac:dyDescent="0.2">
      <c r="A201" s="503"/>
      <c r="B201" s="539"/>
      <c r="C201" s="539"/>
      <c r="D201" s="605"/>
      <c r="E201" s="503"/>
      <c r="F201" s="495"/>
      <c r="G201" s="495"/>
      <c r="H201" s="495"/>
      <c r="I201" s="495"/>
      <c r="J201" s="495"/>
      <c r="K201" s="544"/>
      <c r="L201" s="700"/>
      <c r="M201" s="379"/>
      <c r="N201" s="390"/>
      <c r="O201" s="390"/>
    </row>
    <row r="202" spans="1:15" ht="14.25" x14ac:dyDescent="0.25">
      <c r="A202" s="519"/>
      <c r="B202" s="520"/>
      <c r="C202" s="520"/>
      <c r="D202" s="520"/>
      <c r="E202" s="519"/>
      <c r="F202" s="521"/>
      <c r="G202" s="521"/>
      <c r="H202" s="521" t="s">
        <v>534</v>
      </c>
      <c r="I202" s="520"/>
      <c r="J202" s="523" t="s">
        <v>675</v>
      </c>
      <c r="K202" s="549"/>
      <c r="L202" s="525">
        <f>L200</f>
        <v>0</v>
      </c>
      <c r="M202" s="379"/>
      <c r="N202" s="390"/>
      <c r="O202" s="390"/>
    </row>
    <row r="203" spans="1:15" x14ac:dyDescent="0.2">
      <c r="A203" s="390"/>
      <c r="B203" s="390"/>
      <c r="C203" s="390"/>
      <c r="D203" s="390"/>
      <c r="E203" s="390"/>
      <c r="F203" s="376"/>
      <c r="G203" s="376"/>
      <c r="H203" s="376"/>
      <c r="I203" s="390"/>
      <c r="J203" s="550"/>
      <c r="K203" s="551"/>
      <c r="L203" s="604"/>
      <c r="M203" s="379"/>
      <c r="N203" s="390"/>
      <c r="O203" s="390"/>
    </row>
    <row r="204" spans="1:15" x14ac:dyDescent="0.2">
      <c r="A204" s="390"/>
      <c r="B204" s="390"/>
      <c r="C204" s="390"/>
      <c r="D204" s="390"/>
      <c r="E204" s="390"/>
      <c r="F204" s="376"/>
      <c r="G204" s="376"/>
      <c r="H204" s="376"/>
      <c r="I204" s="390"/>
      <c r="J204" s="550"/>
      <c r="K204" s="551"/>
      <c r="L204" s="604"/>
      <c r="M204" s="379"/>
      <c r="N204" s="390"/>
      <c r="O204" s="390"/>
    </row>
    <row r="205" spans="1:15" ht="18.75" x14ac:dyDescent="0.35">
      <c r="A205" s="530" t="s">
        <v>168</v>
      </c>
      <c r="B205" s="598"/>
      <c r="C205" s="599"/>
      <c r="D205" s="531"/>
      <c r="E205" s="600"/>
      <c r="F205" s="531"/>
      <c r="G205" s="531"/>
      <c r="H205" s="531"/>
      <c r="I205" s="531"/>
      <c r="J205" s="531"/>
      <c r="K205" s="531"/>
      <c r="L205" s="601"/>
      <c r="M205" s="379"/>
      <c r="N205" s="390"/>
      <c r="O205" s="390"/>
    </row>
    <row r="206" spans="1:15" ht="15.75" x14ac:dyDescent="0.25">
      <c r="A206" s="602"/>
      <c r="B206" s="416" t="s">
        <v>166</v>
      </c>
      <c r="C206" s="492"/>
      <c r="D206" s="495"/>
      <c r="E206" s="503"/>
      <c r="F206" s="495"/>
      <c r="G206" s="495"/>
      <c r="H206" s="495"/>
      <c r="I206" s="492" t="s">
        <v>674</v>
      </c>
      <c r="J206" s="514"/>
      <c r="K206" s="514"/>
      <c r="L206" s="537"/>
      <c r="M206" s="379"/>
      <c r="N206" s="390"/>
      <c r="O206" s="390"/>
    </row>
    <row r="207" spans="1:15" ht="15.75" x14ac:dyDescent="0.3">
      <c r="A207" s="503"/>
      <c r="B207" s="539"/>
      <c r="C207" s="595">
        <v>0</v>
      </c>
      <c r="D207" s="605" t="s">
        <v>673</v>
      </c>
      <c r="E207" s="503"/>
      <c r="F207" s="495"/>
      <c r="G207" s="495"/>
      <c r="H207" s="495"/>
      <c r="I207" s="495"/>
      <c r="J207" s="495"/>
      <c r="K207" s="544"/>
      <c r="L207" s="516">
        <f>C207</f>
        <v>0</v>
      </c>
      <c r="M207" s="379"/>
      <c r="N207" s="390"/>
      <c r="O207" s="390"/>
    </row>
    <row r="208" spans="1:15" ht="14.25" x14ac:dyDescent="0.25">
      <c r="A208" s="519"/>
      <c r="B208" s="520"/>
      <c r="C208" s="701"/>
      <c r="D208" s="520"/>
      <c r="E208" s="519"/>
      <c r="F208" s="521"/>
      <c r="G208" s="521"/>
      <c r="H208" s="521" t="s">
        <v>534</v>
      </c>
      <c r="I208" s="520"/>
      <c r="J208" s="523" t="s">
        <v>675</v>
      </c>
      <c r="K208" s="549"/>
      <c r="L208" s="525">
        <f>C207</f>
        <v>0</v>
      </c>
      <c r="M208" s="379"/>
      <c r="N208" s="390"/>
      <c r="O208" s="390"/>
    </row>
    <row r="209" spans="1:15" x14ac:dyDescent="0.2">
      <c r="A209" s="390"/>
      <c r="B209" s="390"/>
      <c r="C209" s="390"/>
      <c r="D209" s="390"/>
      <c r="E209" s="390"/>
      <c r="F209" s="376"/>
      <c r="G209" s="376"/>
      <c r="H209" s="376"/>
      <c r="I209" s="390"/>
      <c r="J209" s="550"/>
      <c r="K209" s="551"/>
      <c r="L209" s="604"/>
      <c r="M209" s="379"/>
      <c r="N209" s="390"/>
      <c r="O209" s="390"/>
    </row>
    <row r="210" spans="1:15" x14ac:dyDescent="0.2">
      <c r="A210" s="390"/>
      <c r="B210" s="390"/>
      <c r="C210" s="390"/>
      <c r="D210" s="390"/>
      <c r="E210" s="390"/>
      <c r="F210" s="376"/>
      <c r="G210" s="376"/>
      <c r="H210" s="376"/>
      <c r="I210" s="390"/>
      <c r="J210" s="550"/>
      <c r="K210" s="551"/>
      <c r="L210" s="604"/>
      <c r="M210" s="379"/>
      <c r="N210" s="390"/>
      <c r="O210" s="390"/>
    </row>
    <row r="211" spans="1:15" ht="18.75" x14ac:dyDescent="0.35">
      <c r="A211" s="530" t="s">
        <v>169</v>
      </c>
      <c r="B211" s="598"/>
      <c r="C211" s="599"/>
      <c r="D211" s="531"/>
      <c r="E211" s="600"/>
      <c r="F211" s="531"/>
      <c r="G211" s="531"/>
      <c r="H211" s="531"/>
      <c r="I211" s="531"/>
      <c r="J211" s="531"/>
      <c r="K211" s="531"/>
      <c r="L211" s="601"/>
      <c r="M211" s="379"/>
      <c r="N211" s="390"/>
      <c r="O211" s="390"/>
    </row>
    <row r="212" spans="1:15" ht="15.75" x14ac:dyDescent="0.25">
      <c r="A212" s="602"/>
      <c r="B212" s="416" t="s">
        <v>167</v>
      </c>
      <c r="C212" s="492"/>
      <c r="D212" s="495"/>
      <c r="E212" s="503"/>
      <c r="F212" s="495"/>
      <c r="G212" s="495"/>
      <c r="H212" s="495"/>
      <c r="I212" s="492" t="s">
        <v>674</v>
      </c>
      <c r="J212" s="514"/>
      <c r="K212" s="514"/>
      <c r="L212" s="537"/>
      <c r="M212" s="379"/>
      <c r="N212" s="390"/>
      <c r="O212" s="390"/>
    </row>
    <row r="213" spans="1:15" ht="15.75" x14ac:dyDescent="0.3">
      <c r="A213" s="503"/>
      <c r="B213" s="539"/>
      <c r="C213" s="595">
        <v>0</v>
      </c>
      <c r="D213" s="605" t="s">
        <v>673</v>
      </c>
      <c r="E213" s="503"/>
      <c r="F213" s="495"/>
      <c r="G213" s="495"/>
      <c r="H213" s="495"/>
      <c r="I213" s="495"/>
      <c r="J213" s="495"/>
      <c r="K213" s="544"/>
      <c r="L213" s="516">
        <f>C213</f>
        <v>0</v>
      </c>
      <c r="M213" s="379"/>
      <c r="N213" s="390"/>
      <c r="O213" s="390"/>
    </row>
    <row r="214" spans="1:15" ht="14.25" x14ac:dyDescent="0.25">
      <c r="A214" s="519"/>
      <c r="B214" s="520"/>
      <c r="C214" s="520"/>
      <c r="D214" s="520"/>
      <c r="E214" s="519"/>
      <c r="F214" s="521"/>
      <c r="G214" s="521"/>
      <c r="H214" s="521" t="s">
        <v>534</v>
      </c>
      <c r="I214" s="520"/>
      <c r="J214" s="523" t="s">
        <v>675</v>
      </c>
      <c r="K214" s="549"/>
      <c r="L214" s="525">
        <f>C213</f>
        <v>0</v>
      </c>
      <c r="M214" s="379"/>
      <c r="N214" s="390"/>
      <c r="O214" s="390"/>
    </row>
    <row r="215" spans="1:15" x14ac:dyDescent="0.2">
      <c r="A215" s="390"/>
      <c r="B215" s="390"/>
      <c r="C215" s="390"/>
      <c r="D215" s="390"/>
      <c r="E215" s="390"/>
      <c r="F215" s="376"/>
      <c r="G215" s="376"/>
      <c r="H215" s="376"/>
      <c r="I215" s="390"/>
      <c r="J215" s="550"/>
      <c r="K215" s="551"/>
      <c r="L215" s="604"/>
      <c r="M215" s="379"/>
      <c r="N215" s="390"/>
      <c r="O215" s="390"/>
    </row>
    <row r="216" spans="1:15" x14ac:dyDescent="0.2">
      <c r="A216" s="390"/>
      <c r="B216" s="390"/>
      <c r="C216" s="390"/>
      <c r="D216" s="390"/>
      <c r="E216" s="390"/>
      <c r="F216" s="376"/>
      <c r="G216" s="376"/>
      <c r="H216" s="376"/>
      <c r="I216" s="390"/>
      <c r="J216" s="550"/>
      <c r="K216" s="551"/>
      <c r="L216" s="604"/>
      <c r="M216" s="379"/>
      <c r="N216" s="390"/>
      <c r="O216" s="390"/>
    </row>
    <row r="217" spans="1:15" ht="15.75" x14ac:dyDescent="0.25">
      <c r="A217" s="530" t="s">
        <v>457</v>
      </c>
      <c r="B217" s="531"/>
      <c r="C217" s="531"/>
      <c r="D217" s="531"/>
      <c r="E217" s="532"/>
      <c r="F217" s="606"/>
      <c r="G217" s="606"/>
      <c r="H217" s="606"/>
      <c r="I217" s="607"/>
      <c r="J217" s="608"/>
      <c r="K217" s="607"/>
      <c r="L217" s="609"/>
      <c r="M217" s="379"/>
      <c r="N217" s="390"/>
      <c r="O217" s="390"/>
    </row>
    <row r="218" spans="1:15" ht="15.75" x14ac:dyDescent="0.25">
      <c r="A218" s="610"/>
      <c r="B218" s="611"/>
      <c r="C218" s="611"/>
      <c r="D218" s="611"/>
      <c r="E218" s="612"/>
      <c r="F218" s="613"/>
      <c r="G218" s="613"/>
      <c r="H218" s="613"/>
      <c r="I218" s="613"/>
      <c r="J218" s="613"/>
      <c r="K218" s="613"/>
      <c r="L218" s="614"/>
      <c r="M218" s="379"/>
      <c r="N218" s="390"/>
      <c r="O218" s="390"/>
    </row>
    <row r="219" spans="1:15" ht="15.75" x14ac:dyDescent="0.3">
      <c r="A219" s="503"/>
      <c r="B219" s="495"/>
      <c r="C219" s="495"/>
      <c r="D219" s="546" t="s">
        <v>300</v>
      </c>
      <c r="E219" s="702">
        <f>E25*C57*C47*C69*C130*C151*C163</f>
        <v>151165.26276923073</v>
      </c>
      <c r="F219" s="499" t="s">
        <v>671</v>
      </c>
      <c r="G219" s="499"/>
      <c r="H219" s="495"/>
      <c r="I219" s="495"/>
      <c r="J219" s="495"/>
      <c r="K219" s="495"/>
      <c r="L219" s="616"/>
      <c r="M219" s="379"/>
      <c r="N219" s="390"/>
      <c r="O219" s="390"/>
    </row>
    <row r="220" spans="1:15" ht="15.75" x14ac:dyDescent="0.3">
      <c r="A220" s="503"/>
      <c r="B220" s="495"/>
      <c r="C220" s="495"/>
      <c r="D220" s="546" t="s">
        <v>299</v>
      </c>
      <c r="E220" s="615">
        <f>E219/E25</f>
        <v>0.50227692307692307</v>
      </c>
      <c r="F220" s="495" t="s">
        <v>849</v>
      </c>
      <c r="G220" s="495"/>
      <c r="H220" s="495"/>
      <c r="I220" s="544"/>
      <c r="J220" s="495"/>
      <c r="K220" s="495"/>
      <c r="L220" s="616"/>
      <c r="M220" s="379"/>
      <c r="N220" s="390"/>
      <c r="O220" s="390"/>
    </row>
    <row r="221" spans="1:15" x14ac:dyDescent="0.2">
      <c r="A221" s="503"/>
      <c r="B221" s="495"/>
      <c r="C221" s="495"/>
      <c r="D221" s="495"/>
      <c r="E221" s="495"/>
      <c r="F221" s="617"/>
      <c r="G221" s="617"/>
      <c r="H221" s="495"/>
      <c r="I221" s="544"/>
      <c r="J221" s="495"/>
      <c r="K221" s="495"/>
      <c r="L221" s="616"/>
      <c r="M221" s="379"/>
      <c r="N221" s="390"/>
      <c r="O221" s="390"/>
    </row>
    <row r="222" spans="1:15" x14ac:dyDescent="0.2">
      <c r="A222" s="503"/>
      <c r="B222" s="495"/>
      <c r="C222" s="495"/>
      <c r="D222" s="495"/>
      <c r="E222" s="495"/>
      <c r="F222" s="617"/>
      <c r="G222" s="617"/>
      <c r="H222" s="495"/>
      <c r="I222" s="495"/>
      <c r="J222" s="495"/>
      <c r="K222" s="495"/>
      <c r="L222" s="616"/>
      <c r="M222" s="379"/>
      <c r="N222" s="390"/>
      <c r="O222" s="390"/>
    </row>
    <row r="223" spans="1:15" ht="14.25" x14ac:dyDescent="0.25">
      <c r="A223" s="703"/>
      <c r="B223" s="404"/>
      <c r="C223" s="404"/>
      <c r="D223" s="404"/>
      <c r="E223" s="704" t="s">
        <v>1059</v>
      </c>
      <c r="F223" s="705"/>
      <c r="G223" s="705"/>
      <c r="H223" s="423"/>
      <c r="I223" s="404"/>
      <c r="J223" s="704" t="s">
        <v>675</v>
      </c>
      <c r="K223" s="423"/>
      <c r="L223" s="706">
        <f>L43+L53+L64+L99+L125+L147+L159+L171+L188-L202-L208-L214</f>
        <v>64.050769728601594</v>
      </c>
      <c r="M223" s="379"/>
      <c r="N223" s="390"/>
      <c r="O223" s="390"/>
    </row>
    <row r="224" spans="1:15" ht="14.25" x14ac:dyDescent="0.25">
      <c r="A224" s="707"/>
      <c r="B224" s="708"/>
      <c r="C224" s="709"/>
      <c r="D224" s="404"/>
      <c r="E224" s="704" t="s">
        <v>1060</v>
      </c>
      <c r="F224" s="404"/>
      <c r="G224" s="404"/>
      <c r="H224" s="404"/>
      <c r="I224" s="404"/>
      <c r="J224" s="704" t="s">
        <v>675</v>
      </c>
      <c r="K224" s="404"/>
      <c r="L224" s="710">
        <f>L108+L125+L147+L159+L171+(L183*J6)+L186-L202-L208-L214</f>
        <v>61.649141238958698</v>
      </c>
      <c r="M224" s="379"/>
      <c r="N224" s="390"/>
      <c r="O224" s="390"/>
    </row>
    <row r="225" spans="1:15" x14ac:dyDescent="0.2">
      <c r="A225" s="703"/>
      <c r="B225" s="404"/>
      <c r="C225" s="404"/>
      <c r="D225" s="404"/>
      <c r="E225" s="404"/>
      <c r="F225" s="711"/>
      <c r="G225" s="711"/>
      <c r="H225" s="404"/>
      <c r="I225" s="404"/>
      <c r="J225" s="404"/>
      <c r="K225" s="404"/>
      <c r="L225" s="712"/>
      <c r="M225" s="379"/>
      <c r="N225" s="390"/>
      <c r="O225" s="390"/>
    </row>
    <row r="226" spans="1:15" x14ac:dyDescent="0.2">
      <c r="A226" s="519"/>
      <c r="B226" s="520"/>
      <c r="C226" s="520"/>
      <c r="D226" s="520"/>
      <c r="E226" s="713" t="s">
        <v>1061</v>
      </c>
      <c r="F226" s="632"/>
      <c r="G226" s="632"/>
      <c r="H226" s="632"/>
      <c r="I226" s="632"/>
      <c r="J226" s="632"/>
      <c r="K226" s="632"/>
      <c r="L226" s="633">
        <f>(83.8-L224)/83.8</f>
        <v>0.2643300568143353</v>
      </c>
      <c r="M226" s="379"/>
      <c r="N226" s="390"/>
      <c r="O226" s="390"/>
    </row>
    <row r="227" spans="1:15" x14ac:dyDescent="0.2">
      <c r="M227" s="361"/>
    </row>
    <row r="228" spans="1:15" x14ac:dyDescent="0.2">
      <c r="E228" s="634"/>
      <c r="F228" s="634"/>
      <c r="G228" s="634"/>
      <c r="H228" s="635"/>
      <c r="I228" s="634"/>
      <c r="J228" s="634"/>
      <c r="K228" s="634"/>
      <c r="L228" s="636"/>
      <c r="M228" s="361"/>
    </row>
    <row r="229" spans="1:15" x14ac:dyDescent="0.2">
      <c r="F229" s="634"/>
      <c r="G229" s="634"/>
      <c r="H229" s="634"/>
      <c r="I229" s="637"/>
      <c r="J229" s="634"/>
      <c r="K229" s="634"/>
      <c r="L229" s="638"/>
      <c r="M229" s="639"/>
      <c r="N229" s="361"/>
    </row>
    <row r="230" spans="1:15" x14ac:dyDescent="0.2">
      <c r="F230" s="634"/>
      <c r="G230" s="634"/>
      <c r="H230" s="634"/>
      <c r="I230" s="637"/>
      <c r="J230" s="634"/>
      <c r="K230" s="634"/>
      <c r="L230" s="638"/>
      <c r="M230" s="639"/>
      <c r="N230" s="361"/>
    </row>
    <row r="231" spans="1:15" ht="15.75" x14ac:dyDescent="0.25">
      <c r="F231" s="640"/>
      <c r="G231" s="640"/>
      <c r="H231" s="634"/>
      <c r="I231" s="634"/>
      <c r="J231" s="634"/>
      <c r="K231" s="634"/>
      <c r="L231" s="634"/>
      <c r="M231" s="634"/>
      <c r="N231" s="361"/>
    </row>
    <row r="232" spans="1:15" x14ac:dyDescent="0.2">
      <c r="F232" s="634"/>
      <c r="G232" s="634"/>
      <c r="H232" s="637"/>
      <c r="I232" s="634"/>
      <c r="J232" s="634"/>
      <c r="K232" s="634"/>
      <c r="L232" s="634"/>
      <c r="M232" s="634"/>
      <c r="N232" s="634"/>
    </row>
    <row r="233" spans="1:15" x14ac:dyDescent="0.2">
      <c r="F233" s="637"/>
      <c r="G233" s="637"/>
      <c r="H233" s="634"/>
      <c r="I233" s="641"/>
      <c r="J233" s="634"/>
      <c r="K233" s="634"/>
      <c r="L233" s="634"/>
      <c r="M233" s="634"/>
      <c r="N233" s="634"/>
    </row>
    <row r="234" spans="1:15" x14ac:dyDescent="0.2">
      <c r="F234" s="637"/>
      <c r="G234" s="637"/>
      <c r="H234" s="634"/>
      <c r="I234" s="641"/>
      <c r="J234" s="634"/>
      <c r="K234" s="634"/>
      <c r="L234" s="634"/>
      <c r="M234" s="634"/>
      <c r="N234" s="634"/>
    </row>
    <row r="235" spans="1:15" x14ac:dyDescent="0.2">
      <c r="F235" s="634"/>
      <c r="G235" s="634"/>
      <c r="H235" s="639"/>
      <c r="I235" s="634"/>
      <c r="J235" s="634"/>
      <c r="K235" s="634"/>
      <c r="L235" s="634"/>
      <c r="M235" s="634"/>
      <c r="N235" s="634"/>
    </row>
    <row r="236" spans="1:15" x14ac:dyDescent="0.2">
      <c r="F236" s="634"/>
      <c r="G236" s="634"/>
      <c r="H236" s="634"/>
      <c r="I236" s="634"/>
      <c r="J236" s="634"/>
      <c r="K236" s="634"/>
      <c r="L236" s="634"/>
      <c r="M236" s="634"/>
      <c r="N236" s="634"/>
    </row>
    <row r="237" spans="1:15" x14ac:dyDescent="0.2">
      <c r="F237" s="634"/>
      <c r="G237" s="634"/>
      <c r="H237" s="634"/>
      <c r="I237" s="634"/>
      <c r="J237" s="634"/>
      <c r="K237" s="634"/>
      <c r="L237" s="634"/>
      <c r="M237" s="634"/>
      <c r="N237" s="634"/>
    </row>
    <row r="238" spans="1:15" x14ac:dyDescent="0.2">
      <c r="F238" s="634"/>
      <c r="G238" s="634"/>
      <c r="H238" s="634"/>
      <c r="I238" s="634"/>
      <c r="J238" s="634"/>
      <c r="K238" s="634"/>
      <c r="L238" s="634"/>
      <c r="M238" s="634"/>
      <c r="N238" s="634"/>
    </row>
    <row r="239" spans="1:15" x14ac:dyDescent="0.2">
      <c r="F239" s="634"/>
      <c r="G239" s="634"/>
      <c r="H239" s="634"/>
      <c r="I239" s="634"/>
      <c r="J239" s="634"/>
      <c r="K239" s="634"/>
      <c r="L239" s="634"/>
      <c r="M239" s="634"/>
      <c r="N239" s="634"/>
    </row>
    <row r="240" spans="1:15" x14ac:dyDescent="0.2">
      <c r="F240" s="634"/>
      <c r="G240" s="634"/>
      <c r="H240" s="634"/>
      <c r="I240" s="634"/>
      <c r="J240" s="634"/>
      <c r="K240" s="634"/>
      <c r="L240" s="634"/>
      <c r="M240" s="634"/>
      <c r="N240" s="634"/>
    </row>
    <row r="241" spans="6:14" x14ac:dyDescent="0.2">
      <c r="F241" s="634"/>
      <c r="G241" s="634"/>
      <c r="H241" s="634"/>
      <c r="I241" s="634"/>
      <c r="J241" s="634"/>
      <c r="K241" s="634"/>
      <c r="L241" s="634"/>
      <c r="M241" s="634"/>
      <c r="N241" s="634"/>
    </row>
    <row r="242" spans="6:14" x14ac:dyDescent="0.2">
      <c r="F242" s="634"/>
      <c r="G242" s="634"/>
      <c r="H242" s="634"/>
      <c r="I242" s="634"/>
      <c r="J242" s="634"/>
      <c r="K242" s="634"/>
      <c r="L242" s="634"/>
      <c r="M242" s="634"/>
      <c r="N242" s="634"/>
    </row>
    <row r="243" spans="6:14" x14ac:dyDescent="0.2">
      <c r="F243" s="634"/>
      <c r="G243" s="634"/>
      <c r="H243" s="634"/>
      <c r="I243" s="634"/>
      <c r="J243" s="634"/>
      <c r="K243" s="634"/>
      <c r="L243" s="634"/>
      <c r="M243" s="634"/>
      <c r="N243" s="634"/>
    </row>
    <row r="244" spans="6:14" x14ac:dyDescent="0.2">
      <c r="F244" s="634"/>
      <c r="G244" s="634"/>
      <c r="H244" s="634"/>
      <c r="I244" s="634"/>
      <c r="J244" s="634"/>
      <c r="K244" s="634"/>
      <c r="L244" s="634"/>
      <c r="M244" s="634"/>
      <c r="N244" s="634"/>
    </row>
    <row r="245" spans="6:14" x14ac:dyDescent="0.2">
      <c r="F245" s="634"/>
      <c r="G245" s="634"/>
      <c r="H245" s="634"/>
      <c r="I245" s="634"/>
      <c r="J245" s="634"/>
      <c r="K245" s="634"/>
      <c r="L245" s="634"/>
      <c r="M245" s="634"/>
      <c r="N245" s="634"/>
    </row>
    <row r="246" spans="6:14" x14ac:dyDescent="0.2">
      <c r="F246" s="634"/>
      <c r="G246" s="634"/>
      <c r="H246" s="634"/>
      <c r="I246" s="634"/>
      <c r="J246" s="634"/>
      <c r="K246" s="634"/>
      <c r="L246" s="634"/>
      <c r="M246" s="634"/>
      <c r="N246" s="634"/>
    </row>
    <row r="247" spans="6:14" x14ac:dyDescent="0.2">
      <c r="F247" s="634"/>
      <c r="G247" s="634"/>
      <c r="H247" s="634"/>
      <c r="I247" s="634"/>
      <c r="J247" s="634"/>
      <c r="K247" s="634"/>
      <c r="L247" s="634"/>
      <c r="M247" s="634"/>
      <c r="N247" s="634"/>
    </row>
  </sheetData>
  <sheetProtection insertColumns="0" insertRows="0" deleteColumns="0" deleteRows="0"/>
  <customSheetViews>
    <customSheetView guid="{AD88818B-9F97-4B1E-9426-0DECE603685E}" scale="80" showGridLines="0" fitToPage="1" showRuler="0">
      <pane ySplit="21" topLeftCell="A22" activePane="bottomLeft" state="frozen"/>
      <selection pane="bottomLeft" activeCell="E3" sqref="E3"/>
      <pageMargins left="0.75" right="0.75" top="1" bottom="1" header="0.5" footer="0.5"/>
      <pageSetup paperSize="8" fitToHeight="0" orientation="landscape"/>
      <headerFooter alignWithMargins="0">
        <oddFooter>&amp;L&amp;8&amp;F&amp;C&amp;8&amp;A&amp;R&amp;8page&amp;P</oddFooter>
      </headerFooter>
    </customSheetView>
    <customSheetView guid="{7EB5D807-CE20-46E2-AEE6-2C193E010EA4}" scale="80" showGridLines="0" fitToPage="1" showRuler="0">
      <pane ySplit="21" topLeftCell="A22" activePane="bottomLeft" state="frozen"/>
      <selection pane="bottomLeft" activeCell="E3" sqref="E3"/>
      <pageMargins left="0.75" right="0.75" top="1" bottom="1" header="0.5" footer="0.5"/>
      <pageSetup paperSize="8" fitToHeight="0" orientation="landscape"/>
      <headerFooter alignWithMargins="0">
        <oddFooter>&amp;L&amp;8&amp;F&amp;C&amp;8&amp;A&amp;R&amp;8page&amp;P</oddFooter>
      </headerFooter>
    </customSheetView>
  </customSheetViews>
  <mergeCells count="4">
    <mergeCell ref="F176:L177"/>
    <mergeCell ref="F178:L179"/>
    <mergeCell ref="F193:L194"/>
    <mergeCell ref="F195:L196"/>
  </mergeCells>
  <phoneticPr fontId="0" type="noConversion"/>
  <conditionalFormatting sqref="O9:O21">
    <cfRule type="cellIs" dxfId="29" priority="1" stopIfTrue="1" operator="notBetween">
      <formula>-0.05</formula>
      <formula>0.05</formula>
    </cfRule>
  </conditionalFormatting>
  <conditionalFormatting sqref="E17">
    <cfRule type="expression" dxfId="28" priority="3" stopIfTrue="1">
      <formula>($E17="Combined result of previous calculation")</formula>
    </cfRule>
  </conditionalFormatting>
  <conditionalFormatting sqref="A17:D17 F17:G17">
    <cfRule type="expression" dxfId="27" priority="4" stopIfTrue="1">
      <formula>($E17="Combined result of previous calculation")</formula>
    </cfRule>
  </conditionalFormatting>
  <conditionalFormatting sqref="A10:G10 A7:G8 A13:G14">
    <cfRule type="expression" dxfId="26" priority="5" stopIfTrue="1">
      <formula>($E7&lt;&gt;"")</formula>
    </cfRule>
  </conditionalFormatting>
  <conditionalFormatting sqref="A18:D18 F18:G18">
    <cfRule type="expression" dxfId="25" priority="6" stopIfTrue="1">
      <formula>($E18="Esca included in combined result of previous calculation")</formula>
    </cfRule>
  </conditionalFormatting>
  <conditionalFormatting sqref="E18">
    <cfRule type="expression" dxfId="24" priority="7" stopIfTrue="1">
      <formula>($E18="Esca included in combined result of previous calculation")</formula>
    </cfRule>
  </conditionalFormatting>
  <dataValidations count="9">
    <dataValidation type="list" allowBlank="1" showInputMessage="1" showErrorMessage="1" sqref="F6 F9 F12" xr:uid="{00000000-0002-0000-1900-000000000000}">
      <formula1>"A,D"</formula1>
    </dataValidation>
    <dataValidation type="list" showDropDown="1" showInputMessage="1" showErrorMessage="1" errorTitle="Wrong input" error="Only values &quot;0&quot; and &quot;29&quot; are allowed_x000a_" sqref="C185" xr:uid="{00000000-0002-0000-1900-000001000000}">
      <formula1>"0,29"</formula1>
    </dataValidation>
    <dataValidation allowBlank="1" showInputMessage="1" showErrorMessage="1" promptTitle="Input value for manure" prompt="Use of manure will not lead to direct GHG emissions as the emission coeffient is 0 g CO2,eq/MJ._x000a_Use of manure will indirectly lead to GHG emissions. When using actual inputs, field N2O emissions must be calculated which increase due to use of manure." sqref="C33" xr:uid="{00000000-0002-0000-1900-000002000000}"/>
    <dataValidation type="list" allowBlank="1" showInputMessage="1" showErrorMessage="1" sqref="E17" xr:uid="{00000000-0002-0000-1900-000003000000}">
      <formula1>"- , Combined result of previous calculation"</formula1>
    </dataValidation>
    <dataValidation type="list" allowBlank="1" showInputMessage="1" showErrorMessage="1" sqref="E7:E8 E10 E13:E14" xr:uid="{00000000-0002-0000-1900-000004000000}">
      <formula1>"- ,Individual result of previous calculation, Combined result of previous calculation"</formula1>
    </dataValidation>
    <dataValidation type="list" allowBlank="1" showInputMessage="1" showErrorMessage="1" sqref="E18" xr:uid="{00000000-0002-0000-1900-000005000000}">
      <formula1>"- , Esca included in combined result of previous calculation"</formula1>
    </dataValidation>
    <dataValidation allowBlank="1" showInputMessage="1" showErrorMessage="1" promptTitle="Please note !" prompt="When changing the value in this cell, you must indicate in column E under &quot;overview results&quot; that you have used the result of a previous calculation. Please refer to paragraph 4.2 of the user manual for further instructions and examples." sqref="N41 N50 N62 N97" xr:uid="{00000000-0002-0000-1900-000006000000}"/>
    <dataValidation allowBlank="1" showInputMessage="1" showErrorMessage="1" promptTitle="Electricity mix" sqref="B170 B158 B61 B120 B122 B134 B141" xr:uid="{00000000-0002-0000-1900-000007000000}"/>
    <dataValidation type="list" allowBlank="1" showInputMessage="1" showErrorMessage="1" sqref="C72" xr:uid="{00000000-0002-0000-1900-000008000000}">
      <mc:AlternateContent xmlns:x12ac="http://schemas.microsoft.com/office/spreadsheetml/2011/1/ac" xmlns:mc="http://schemas.openxmlformats.org/markup-compatibility/2006">
        <mc:Choice Requires="x12ac">
          <x12ac:list>1,"1,4"</x12ac:list>
        </mc:Choice>
        <mc:Fallback>
          <formula1>"1,1,4"</formula1>
        </mc:Fallback>
      </mc:AlternateContent>
    </dataValidation>
  </dataValidations>
  <hyperlinks>
    <hyperlink ref="O49" location="Menu!A6" display="Back to menu" xr:uid="{00000000-0004-0000-1900-000000000000}"/>
    <hyperlink ref="O152" location="Menu!A6" display="Back to menu" xr:uid="{00000000-0004-0000-1900-000001000000}"/>
    <hyperlink ref="O48" location="Menu!A6" display="Back to menu" xr:uid="{00000000-0004-0000-1900-000002000000}"/>
    <hyperlink ref="O151" location="Menu!A6" display="Back to menu" xr:uid="{00000000-0004-0000-1900-000003000000}"/>
    <hyperlink ref="O114" location="Menu!A6" display="Back to menu" xr:uid="{00000000-0004-0000-1900-000004000000}"/>
    <hyperlink ref="O113" location="Menu!A6" display="Back to menu" xr:uid="{00000000-0004-0000-1900-000005000000}"/>
    <hyperlink ref="C196" location="Esca!A1" display="Esca!A1" xr:uid="{00000000-0004-0000-1900-000006000000}"/>
    <hyperlink ref="C179" location="LUC!A1" display="LUC!A1" xr:uid="{00000000-0004-0000-1900-000007000000}"/>
    <hyperlink ref="C42" location="'N2O emissions IPCC '!A1" display="N2O emissions IPCC" xr:uid="{00000000-0004-0000-1900-000008000000}"/>
  </hyperlinks>
  <pageMargins left="0.75" right="0.75" top="1" bottom="1" header="0.5" footer="0.5"/>
  <pageSetup paperSize="8" fitToHeight="0" orientation="landscape"/>
  <headerFooter alignWithMargins="0">
    <oddFooter>&amp;L&amp;8&amp;F&amp;C&amp;8&amp;A&amp;R&amp;8page&amp;P</oddFooter>
  </headerFooter>
  <drawing r:id="rId1"/>
  <legacyDrawing r:id="rId2"/>
  <controls>
    <mc:AlternateContent xmlns:mc="http://schemas.openxmlformats.org/markup-compatibility/2006">
      <mc:Choice Requires="x14">
        <control shapeId="31747" r:id="rId3" name="CheckBox2">
          <controlPr autoLine="0" linkedCell="About!N86" r:id="rId4">
            <anchor moveWithCells="1">
              <from>
                <xdr:col>9</xdr:col>
                <xdr:colOff>38100</xdr:colOff>
                <xdr:row>16</xdr:row>
                <xdr:rowOff>47625</xdr:rowOff>
              </from>
              <to>
                <xdr:col>13</xdr:col>
                <xdr:colOff>885825</xdr:colOff>
                <xdr:row>18</xdr:row>
                <xdr:rowOff>85725</xdr:rowOff>
              </to>
            </anchor>
          </controlPr>
        </control>
      </mc:Choice>
      <mc:Fallback>
        <control shapeId="31747" r:id="rId3" name="CheckBox2"/>
      </mc:Fallback>
    </mc:AlternateContent>
    <mc:AlternateContent xmlns:mc="http://schemas.openxmlformats.org/markup-compatibility/2006">
      <mc:Choice Requires="x14">
        <control shapeId="31748" r:id="rId5" name="CheckBox1">
          <controlPr autoLine="0" linkedCell="About!N88" r:id="rId6">
            <anchor moveWithCells="1">
              <from>
                <xdr:col>9</xdr:col>
                <xdr:colOff>38100</xdr:colOff>
                <xdr:row>14</xdr:row>
                <xdr:rowOff>0</xdr:rowOff>
              </from>
              <to>
                <xdr:col>13</xdr:col>
                <xdr:colOff>866775</xdr:colOff>
                <xdr:row>16</xdr:row>
                <xdr:rowOff>171450</xdr:rowOff>
              </to>
            </anchor>
          </controlPr>
        </control>
      </mc:Choice>
      <mc:Fallback>
        <control shapeId="31748" r:id="rId5" name="CheckBox1"/>
      </mc:Fallback>
    </mc:AlternateContent>
    <mc:AlternateContent xmlns:mc="http://schemas.openxmlformats.org/markup-compatibility/2006">
      <mc:Choice Requires="x14">
        <control shapeId="31767" r:id="rId7" name="ComboBox1">
          <controlPr locked="0" defaultSize="0" autoLine="0" linkedCell="D178" listFillRange="D176:D177" r:id="rId8">
            <anchor moveWithCells="1">
              <from>
                <xdr:col>2</xdr:col>
                <xdr:colOff>0</xdr:colOff>
                <xdr:row>176</xdr:row>
                <xdr:rowOff>0</xdr:rowOff>
              </from>
              <to>
                <xdr:col>3</xdr:col>
                <xdr:colOff>38100</xdr:colOff>
                <xdr:row>177</xdr:row>
                <xdr:rowOff>28575</xdr:rowOff>
              </to>
            </anchor>
          </controlPr>
        </control>
      </mc:Choice>
      <mc:Fallback>
        <control shapeId="31767" r:id="rId7" name="ComboBox1"/>
      </mc:Fallback>
    </mc:AlternateContent>
    <mc:AlternateContent xmlns:mc="http://schemas.openxmlformats.org/markup-compatibility/2006">
      <mc:Choice Requires="x14">
        <control shapeId="32132" r:id="rId9" name="ComboBox2">
          <controlPr locked="0" defaultSize="0" autoLine="0" linkedCell="D195" listFillRange="D193:D194" r:id="rId10">
            <anchor moveWithCells="1">
              <from>
                <xdr:col>2</xdr:col>
                <xdr:colOff>28575</xdr:colOff>
                <xdr:row>192</xdr:row>
                <xdr:rowOff>190500</xdr:rowOff>
              </from>
              <to>
                <xdr:col>3</xdr:col>
                <xdr:colOff>38100</xdr:colOff>
                <xdr:row>194</xdr:row>
                <xdr:rowOff>0</xdr:rowOff>
              </to>
            </anchor>
          </controlPr>
        </control>
      </mc:Choice>
      <mc:Fallback>
        <control shapeId="32132" r:id="rId9" name="ComboBox2"/>
      </mc:Fallback>
    </mc:AlternateContent>
    <mc:AlternateContent xmlns:mc="http://schemas.openxmlformats.org/markup-compatibility/2006">
      <mc:Choice Requires="x14">
        <control shapeId="32460" r:id="rId11" name="cmdTrackChanges">
          <controlPr defaultSize="0" autoLine="0" r:id="rId12">
            <anchor moveWithCells="1">
              <from>
                <xdr:col>1</xdr:col>
                <xdr:colOff>1247775</xdr:colOff>
                <xdr:row>20</xdr:row>
                <xdr:rowOff>85725</xdr:rowOff>
              </from>
              <to>
                <xdr:col>3</xdr:col>
                <xdr:colOff>419100</xdr:colOff>
                <xdr:row>21</xdr:row>
                <xdr:rowOff>209550</xdr:rowOff>
              </to>
            </anchor>
          </controlPr>
        </control>
      </mc:Choice>
      <mc:Fallback>
        <control shapeId="32460" r:id="rId11" name="cmdTrackChanges"/>
      </mc:Fallback>
    </mc:AlternateContent>
    <mc:AlternateContent xmlns:mc="http://schemas.openxmlformats.org/markup-compatibility/2006">
      <mc:Choice Requires="x14">
        <control shapeId="32537" r:id="rId13" name="Label 793">
          <controlPr defaultSize="0" autoFill="0" autoLine="0" autoPict="0" macro="[0]!GoToAbout">
            <anchor moveWithCells="1" sizeWithCells="1">
              <from>
                <xdr:col>10</xdr:col>
                <xdr:colOff>438150</xdr:colOff>
                <xdr:row>0</xdr:row>
                <xdr:rowOff>800100</xdr:rowOff>
              </from>
              <to>
                <xdr:col>12</xdr:col>
                <xdr:colOff>85725</xdr:colOff>
                <xdr:row>1</xdr:row>
                <xdr:rowOff>0</xdr:rowOff>
              </to>
            </anchor>
          </controlPr>
        </control>
      </mc:Choice>
    </mc:AlternateContent>
    <mc:AlternateContent xmlns:mc="http://schemas.openxmlformats.org/markup-compatibility/2006">
      <mc:Choice Requires="x14">
        <control shapeId="32538" r:id="rId14" name="Label 794">
          <controlPr defaultSize="0" autoFill="0" autoLine="0" autoPict="0" macro="[0]!GoToDirectory">
            <anchor moveWithCells="1" sizeWithCells="1">
              <from>
                <xdr:col>12</xdr:col>
                <xdr:colOff>152400</xdr:colOff>
                <xdr:row>0</xdr:row>
                <xdr:rowOff>800100</xdr:rowOff>
              </from>
              <to>
                <xdr:col>13</xdr:col>
                <xdr:colOff>981075</xdr:colOff>
                <xdr:row>1</xdr:row>
                <xdr:rowOff>0</xdr:rowOff>
              </to>
            </anchor>
          </controlPr>
        </control>
      </mc:Choice>
    </mc:AlternateContent>
  </control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H4">
    <pageSetUpPr fitToPage="1"/>
  </sheetPr>
  <dimension ref="A1:R245"/>
  <sheetViews>
    <sheetView showGridLines="0" zoomScale="80" workbookViewId="0">
      <selection activeCell="A2" sqref="A2"/>
    </sheetView>
  </sheetViews>
  <sheetFormatPr baseColWidth="10" defaultColWidth="8.85546875" defaultRowHeight="12.75" x14ac:dyDescent="0.2"/>
  <cols>
    <col min="1" max="1" width="22.5703125" style="360" customWidth="1"/>
    <col min="2" max="2" width="25.85546875" style="360" customWidth="1"/>
    <col min="3" max="3" width="9.7109375" style="360" customWidth="1"/>
    <col min="4" max="4" width="20.140625" style="360" customWidth="1"/>
    <col min="5" max="5" width="14.85546875" style="360" customWidth="1"/>
    <col min="6" max="6" width="8.5703125" style="360" customWidth="1"/>
    <col min="7" max="7" width="2.85546875" style="360" customWidth="1"/>
    <col min="8" max="8" width="19.5703125" style="360" customWidth="1"/>
    <col min="9" max="12" width="9.140625" style="360" customWidth="1"/>
    <col min="13" max="13" width="2.5703125" style="360" customWidth="1"/>
    <col min="14" max="14" width="16.7109375" style="360" customWidth="1"/>
    <col min="15" max="15" width="13.7109375" style="360" customWidth="1"/>
    <col min="16" max="16384" width="8.85546875" style="361"/>
  </cols>
  <sheetData>
    <row r="1" spans="1:18" ht="102" customHeight="1" x14ac:dyDescent="0.2"/>
    <row r="2" spans="1:18" ht="27.75" customHeight="1" x14ac:dyDescent="0.25">
      <c r="A2" s="362" t="s">
        <v>376</v>
      </c>
      <c r="B2" s="363"/>
      <c r="C2" s="364"/>
      <c r="D2" s="364"/>
      <c r="E2" s="364"/>
      <c r="F2" s="365"/>
      <c r="G2" s="365"/>
      <c r="H2" s="366"/>
      <c r="I2" s="367"/>
      <c r="J2" s="368"/>
      <c r="K2" s="369"/>
      <c r="L2" s="370"/>
      <c r="M2" s="367"/>
      <c r="N2" s="367"/>
      <c r="O2" s="371" t="str">
        <f>About!D2</f>
        <v>Version 4d for Testing</v>
      </c>
    </row>
    <row r="3" spans="1:18" ht="27.75" customHeight="1" x14ac:dyDescent="0.25">
      <c r="A3" s="372" t="s">
        <v>1050</v>
      </c>
      <c r="B3" s="373"/>
      <c r="C3" s="374"/>
      <c r="D3" s="374"/>
      <c r="E3" s="373"/>
      <c r="F3" s="373"/>
      <c r="G3" s="373"/>
      <c r="H3" s="375"/>
      <c r="I3" s="376"/>
      <c r="J3" s="377"/>
      <c r="K3" s="378"/>
      <c r="L3" s="377"/>
      <c r="M3" s="377"/>
      <c r="N3" s="379"/>
      <c r="O3" s="378"/>
    </row>
    <row r="4" spans="1:18" ht="16.5" customHeight="1" x14ac:dyDescent="0.25">
      <c r="A4" s="380" t="s">
        <v>861</v>
      </c>
      <c r="B4" s="381" t="s">
        <v>854</v>
      </c>
      <c r="C4" s="381" t="s">
        <v>1057</v>
      </c>
      <c r="D4" s="381" t="s">
        <v>852</v>
      </c>
      <c r="E4" s="382" t="s">
        <v>1047</v>
      </c>
      <c r="F4" s="383" t="s">
        <v>1125</v>
      </c>
      <c r="G4" s="384"/>
      <c r="H4" s="385" t="s">
        <v>869</v>
      </c>
      <c r="I4" s="386"/>
      <c r="J4" s="387" t="s">
        <v>1063</v>
      </c>
      <c r="K4" s="388"/>
      <c r="L4" s="389"/>
      <c r="M4" s="390"/>
      <c r="N4" s="387" t="s">
        <v>391</v>
      </c>
      <c r="O4" s="391"/>
    </row>
    <row r="5" spans="1:18" ht="16.5" customHeight="1" x14ac:dyDescent="0.25">
      <c r="A5" s="392" t="s">
        <v>864</v>
      </c>
      <c r="B5" s="393" t="s">
        <v>853</v>
      </c>
      <c r="C5" s="393" t="s">
        <v>1062</v>
      </c>
      <c r="D5" s="393" t="s">
        <v>853</v>
      </c>
      <c r="E5" s="394"/>
      <c r="F5" s="395" t="s">
        <v>1126</v>
      </c>
      <c r="G5" s="396"/>
      <c r="H5" s="397" t="s">
        <v>866</v>
      </c>
      <c r="I5" s="390"/>
      <c r="J5" s="398" t="str">
        <f>A67</f>
        <v>Extraction of oil</v>
      </c>
      <c r="K5" s="399"/>
      <c r="L5" s="400"/>
      <c r="M5" s="390"/>
      <c r="N5" s="398" t="s">
        <v>395</v>
      </c>
      <c r="O5" s="400"/>
    </row>
    <row r="6" spans="1:18" ht="16.5" customHeight="1" x14ac:dyDescent="0.35">
      <c r="A6" s="401" t="s">
        <v>170</v>
      </c>
      <c r="B6" s="402"/>
      <c r="C6" s="403"/>
      <c r="D6" s="404"/>
      <c r="E6" s="405">
        <f>IF(F6="A",D7+D8,H6)</f>
        <v>14.719895748355242</v>
      </c>
      <c r="F6" s="406" t="s">
        <v>1127</v>
      </c>
      <c r="G6" s="407"/>
      <c r="H6" s="408">
        <v>15</v>
      </c>
      <c r="I6" s="390"/>
      <c r="J6" s="409">
        <f>F103/F105</f>
        <v>0.95181515158386443</v>
      </c>
      <c r="K6" s="410" t="s">
        <v>213</v>
      </c>
      <c r="L6" s="411"/>
      <c r="M6" s="390"/>
      <c r="N6" s="412">
        <v>83.8</v>
      </c>
      <c r="O6" s="413" t="s">
        <v>394</v>
      </c>
    </row>
    <row r="7" spans="1:18" ht="12" customHeight="1" x14ac:dyDescent="0.2">
      <c r="A7" s="398" t="str">
        <f>A23</f>
        <v>Cultivation of FFBs</v>
      </c>
      <c r="B7" s="414">
        <f>L43</f>
        <v>15.465078197022452</v>
      </c>
      <c r="C7" s="415">
        <f>J6</f>
        <v>0.95181515158386443</v>
      </c>
      <c r="D7" s="416">
        <f>C7*B7</f>
        <v>14.719895748355242</v>
      </c>
      <c r="E7" s="1215"/>
      <c r="F7" s="418"/>
      <c r="G7" s="418"/>
      <c r="H7" s="419">
        <v>14.7</v>
      </c>
      <c r="I7" s="390"/>
      <c r="J7" s="420">
        <f>1-J6</f>
        <v>4.8184848416135573E-2</v>
      </c>
      <c r="K7" s="421" t="s">
        <v>214</v>
      </c>
      <c r="L7" s="422"/>
      <c r="M7" s="390"/>
      <c r="N7" s="398" t="s">
        <v>393</v>
      </c>
      <c r="O7" s="400"/>
    </row>
    <row r="8" spans="1:18" ht="12" customHeight="1" x14ac:dyDescent="0.2">
      <c r="A8" s="398" t="str">
        <f>A56</f>
        <v>Storage of FFB</v>
      </c>
      <c r="B8" s="414">
        <f>L64</f>
        <v>0</v>
      </c>
      <c r="C8" s="415">
        <f>J6</f>
        <v>0.95181515158386443</v>
      </c>
      <c r="D8" s="416">
        <f>C8*B8</f>
        <v>0</v>
      </c>
      <c r="E8" s="1215"/>
      <c r="F8" s="418"/>
      <c r="G8" s="418"/>
      <c r="H8" s="419">
        <v>0</v>
      </c>
      <c r="I8" s="390"/>
      <c r="J8" s="390"/>
      <c r="K8" s="390"/>
      <c r="L8" s="390"/>
      <c r="M8" s="390"/>
      <c r="N8" s="426">
        <f>(N6-E20)/N6</f>
        <v>0.65244330591453747</v>
      </c>
      <c r="O8" s="427"/>
    </row>
    <row r="9" spans="1:18" ht="16.5" customHeight="1" x14ac:dyDescent="0.35">
      <c r="A9" s="401" t="s">
        <v>544</v>
      </c>
      <c r="B9" s="423"/>
      <c r="C9" s="423"/>
      <c r="D9" s="424"/>
      <c r="E9" s="425">
        <f>IF(F9="A",D10+D11,H9)</f>
        <v>9.3960349272025798</v>
      </c>
      <c r="F9" s="406" t="s">
        <v>1127</v>
      </c>
      <c r="G9" s="407"/>
      <c r="H9" s="408">
        <v>9</v>
      </c>
      <c r="I9" s="390"/>
      <c r="J9" s="390"/>
      <c r="K9" s="390"/>
      <c r="L9" s="390"/>
      <c r="M9" s="390"/>
      <c r="N9" s="390"/>
      <c r="O9" s="430"/>
    </row>
    <row r="10" spans="1:18" ht="12" customHeight="1" x14ac:dyDescent="0.2">
      <c r="A10" s="398" t="str">
        <f>A67</f>
        <v>Extraction of oil</v>
      </c>
      <c r="B10" s="414">
        <f>L97</f>
        <v>0</v>
      </c>
      <c r="C10" s="415">
        <f>J6</f>
        <v>0.95181515158386443</v>
      </c>
      <c r="D10" s="416">
        <f>C10*B10</f>
        <v>0</v>
      </c>
      <c r="E10" s="1215"/>
      <c r="F10" s="418"/>
      <c r="G10" s="418"/>
      <c r="H10" s="419">
        <v>0</v>
      </c>
      <c r="I10" s="390"/>
      <c r="J10" s="390"/>
      <c r="K10" s="390"/>
      <c r="L10" s="390"/>
      <c r="M10" s="390"/>
      <c r="N10" s="390"/>
      <c r="O10" s="441"/>
    </row>
    <row r="11" spans="1:18" x14ac:dyDescent="0.2">
      <c r="A11" s="398" t="str">
        <f>A126</f>
        <v>Hydrogenation of veg. oil</v>
      </c>
      <c r="B11" s="414">
        <f>L145</f>
        <v>9.3960349272025798</v>
      </c>
      <c r="C11" s="415">
        <v>1</v>
      </c>
      <c r="D11" s="416">
        <f>C11*B11</f>
        <v>9.3960349272025798</v>
      </c>
      <c r="E11" s="417"/>
      <c r="F11" s="418"/>
      <c r="G11" s="418"/>
      <c r="H11" s="419">
        <f>1.4*6.69</f>
        <v>9.3659999999999997</v>
      </c>
      <c r="I11" s="390"/>
      <c r="J11" s="390"/>
      <c r="K11" s="390"/>
      <c r="L11" s="390"/>
      <c r="M11" s="390"/>
      <c r="N11" s="390"/>
      <c r="O11" s="435"/>
      <c r="Q11" s="429"/>
      <c r="R11" s="429"/>
    </row>
    <row r="12" spans="1:18" ht="16.5" customHeight="1" thickBot="1" x14ac:dyDescent="0.4">
      <c r="A12" s="401" t="s">
        <v>545</v>
      </c>
      <c r="B12" s="423"/>
      <c r="C12" s="423"/>
      <c r="D12" s="424"/>
      <c r="E12" s="425">
        <f>IF(F12="A",D13+D14+D15+D16, H12)</f>
        <v>5.0093202888039414</v>
      </c>
      <c r="F12" s="406" t="s">
        <v>1127</v>
      </c>
      <c r="G12" s="407"/>
      <c r="H12" s="648">
        <v>5</v>
      </c>
      <c r="I12" s="390"/>
      <c r="J12" s="390"/>
      <c r="K12" s="390"/>
      <c r="L12" s="390"/>
      <c r="M12" s="390"/>
      <c r="N12" s="390"/>
      <c r="O12" s="430"/>
    </row>
    <row r="13" spans="1:18" ht="12" customHeight="1" x14ac:dyDescent="0.2">
      <c r="A13" s="398" t="str">
        <f>A46</f>
        <v>Transport of FFB</v>
      </c>
      <c r="B13" s="414">
        <f>L53</f>
        <v>0.20652165337521258</v>
      </c>
      <c r="C13" s="415">
        <f>J6</f>
        <v>0.95181515158386443</v>
      </c>
      <c r="D13" s="416">
        <f t="shared" ref="D13:D19" si="0">C13*B13</f>
        <v>0.19657043881267827</v>
      </c>
      <c r="E13" s="1215"/>
      <c r="F13" s="418"/>
      <c r="G13" s="418"/>
      <c r="H13" s="419">
        <v>0.19</v>
      </c>
      <c r="I13" s="390"/>
      <c r="J13" s="432" t="s">
        <v>140</v>
      </c>
      <c r="K13" s="433"/>
      <c r="L13" s="433"/>
      <c r="M13" s="433"/>
      <c r="N13" s="434"/>
      <c r="O13" s="441"/>
    </row>
    <row r="14" spans="1:18" ht="12" customHeight="1" x14ac:dyDescent="0.2">
      <c r="A14" s="398" t="s">
        <v>211</v>
      </c>
      <c r="B14" s="414">
        <f>L123</f>
        <v>3.6592706198902532</v>
      </c>
      <c r="C14" s="415">
        <v>1</v>
      </c>
      <c r="D14" s="416">
        <f t="shared" si="0"/>
        <v>3.6592706198902532</v>
      </c>
      <c r="E14" s="1215"/>
      <c r="F14" s="418"/>
      <c r="G14" s="418"/>
      <c r="H14" s="419">
        <v>3.66</v>
      </c>
      <c r="I14" s="390"/>
      <c r="J14" s="714"/>
      <c r="K14" s="439"/>
      <c r="L14" s="439"/>
      <c r="M14" s="439"/>
      <c r="N14" s="440"/>
      <c r="O14" s="441"/>
    </row>
    <row r="15" spans="1:18" ht="12" customHeight="1" x14ac:dyDescent="0.2">
      <c r="A15" s="398" t="str">
        <f>A148</f>
        <v>Transport of HVO to depot</v>
      </c>
      <c r="B15" s="414">
        <f>L157</f>
        <v>0.41060866393939388</v>
      </c>
      <c r="C15" s="415">
        <v>1</v>
      </c>
      <c r="D15" s="416">
        <f t="shared" si="0"/>
        <v>0.41060866393939388</v>
      </c>
      <c r="E15" s="436"/>
      <c r="F15" s="437"/>
      <c r="G15" s="437"/>
      <c r="H15" s="419">
        <v>0.71</v>
      </c>
      <c r="I15" s="379"/>
      <c r="J15" s="438"/>
      <c r="K15" s="439"/>
      <c r="L15" s="439"/>
      <c r="M15" s="439"/>
      <c r="N15" s="440"/>
      <c r="O15" s="441"/>
    </row>
    <row r="16" spans="1:18" ht="12" customHeight="1" x14ac:dyDescent="0.2">
      <c r="A16" s="398" t="str">
        <f>A160</f>
        <v>Transport to filling station</v>
      </c>
      <c r="B16" s="414">
        <f>L169</f>
        <v>0.74287056616161595</v>
      </c>
      <c r="C16" s="415">
        <v>1</v>
      </c>
      <c r="D16" s="416">
        <f t="shared" si="0"/>
        <v>0.74287056616161595</v>
      </c>
      <c r="E16" s="436"/>
      <c r="F16" s="437"/>
      <c r="G16" s="437"/>
      <c r="H16" s="419">
        <v>0.44</v>
      </c>
      <c r="I16" s="379"/>
      <c r="J16" s="438"/>
      <c r="K16" s="439"/>
      <c r="L16" s="439"/>
      <c r="M16" s="442"/>
      <c r="N16" s="443"/>
      <c r="O16" s="441"/>
    </row>
    <row r="17" spans="1:17" ht="17.25" customHeight="1" x14ac:dyDescent="0.35">
      <c r="A17" s="444" t="s">
        <v>551</v>
      </c>
      <c r="B17" s="445">
        <f>L181</f>
        <v>0</v>
      </c>
      <c r="C17" s="446">
        <f>J6</f>
        <v>0.95181515158386443</v>
      </c>
      <c r="D17" s="445">
        <f t="shared" si="0"/>
        <v>0</v>
      </c>
      <c r="E17" s="425">
        <f>D17</f>
        <v>0</v>
      </c>
      <c r="F17" s="451"/>
      <c r="G17" s="451"/>
      <c r="H17" s="447">
        <v>0</v>
      </c>
      <c r="I17" s="379"/>
      <c r="J17" s="438"/>
      <c r="K17" s="439"/>
      <c r="L17" s="439"/>
      <c r="M17" s="448"/>
      <c r="N17" s="449"/>
      <c r="O17" s="649"/>
      <c r="Q17" s="429"/>
    </row>
    <row r="18" spans="1:17" ht="16.5" customHeight="1" x14ac:dyDescent="0.35">
      <c r="A18" s="444" t="s">
        <v>724</v>
      </c>
      <c r="B18" s="445">
        <f>L200-L184</f>
        <v>0</v>
      </c>
      <c r="C18" s="446">
        <v>1</v>
      </c>
      <c r="D18" s="445">
        <f t="shared" si="0"/>
        <v>0</v>
      </c>
      <c r="E18" s="425">
        <f>D18</f>
        <v>0</v>
      </c>
      <c r="F18" s="451"/>
      <c r="G18" s="451"/>
      <c r="H18" s="447">
        <v>0</v>
      </c>
      <c r="I18" s="390"/>
      <c r="J18" s="438"/>
      <c r="K18" s="439"/>
      <c r="L18" s="439"/>
      <c r="M18" s="448"/>
      <c r="N18" s="449"/>
      <c r="O18" s="649"/>
    </row>
    <row r="19" spans="1:17" ht="16.5" customHeight="1" thickBot="1" x14ac:dyDescent="0.4">
      <c r="A19" s="444" t="s">
        <v>725</v>
      </c>
      <c r="B19" s="445">
        <f>L206+L212</f>
        <v>0</v>
      </c>
      <c r="C19" s="446">
        <v>1</v>
      </c>
      <c r="D19" s="445">
        <f t="shared" si="0"/>
        <v>0</v>
      </c>
      <c r="E19" s="425">
        <f>D19</f>
        <v>0</v>
      </c>
      <c r="F19" s="451"/>
      <c r="G19" s="451"/>
      <c r="H19" s="447">
        <v>0</v>
      </c>
      <c r="I19" s="390"/>
      <c r="J19" s="459" t="s">
        <v>1</v>
      </c>
      <c r="K19" s="460"/>
      <c r="L19" s="460"/>
      <c r="M19" s="461"/>
      <c r="N19" s="462"/>
      <c r="O19" s="649"/>
    </row>
    <row r="20" spans="1:17" ht="16.5" customHeight="1" thickBot="1" x14ac:dyDescent="0.3">
      <c r="A20" s="452" t="s">
        <v>1049</v>
      </c>
      <c r="B20" s="453">
        <f>SUM(B7:B17)-SUM(B18:B19)</f>
        <v>29.880384627591507</v>
      </c>
      <c r="C20" s="454"/>
      <c r="D20" s="454"/>
      <c r="E20" s="456">
        <f>SUM(E6:E17)-SUM(E18:E19)</f>
        <v>29.125250964361761</v>
      </c>
      <c r="F20" s="457"/>
      <c r="G20" s="457"/>
      <c r="H20" s="458">
        <v>29</v>
      </c>
      <c r="I20" s="379"/>
      <c r="J20" s="650"/>
      <c r="K20" s="651"/>
      <c r="L20" s="651"/>
      <c r="M20" s="652"/>
      <c r="N20" s="652"/>
      <c r="O20" s="463"/>
    </row>
    <row r="21" spans="1:17" ht="16.5" customHeight="1" x14ac:dyDescent="0.25">
      <c r="A21" s="464"/>
      <c r="B21" s="465"/>
      <c r="E21" s="466" t="s">
        <v>859</v>
      </c>
      <c r="F21" s="467"/>
      <c r="G21" s="467"/>
      <c r="H21" s="468"/>
      <c r="I21" s="469"/>
      <c r="J21" s="470"/>
      <c r="K21" s="433"/>
      <c r="L21" s="471"/>
      <c r="M21" s="433"/>
      <c r="N21" s="433"/>
      <c r="O21" s="472"/>
    </row>
    <row r="22" spans="1:17" ht="22.5" customHeight="1" thickBot="1" x14ac:dyDescent="0.25">
      <c r="A22" s="473" t="s">
        <v>1051</v>
      </c>
      <c r="B22" s="379"/>
      <c r="E22" s="474" t="s">
        <v>860</v>
      </c>
      <c r="F22" s="442"/>
      <c r="G22" s="442"/>
      <c r="H22" s="442"/>
      <c r="I22" s="439"/>
      <c r="J22" s="475"/>
      <c r="K22" s="475"/>
      <c r="L22" s="476"/>
      <c r="M22" s="477"/>
      <c r="N22" s="477"/>
      <c r="O22" s="478"/>
    </row>
    <row r="23" spans="1:17" ht="15.75" x14ac:dyDescent="0.25">
      <c r="A23" s="479" t="s">
        <v>206</v>
      </c>
      <c r="B23" s="480"/>
      <c r="C23" s="480"/>
      <c r="D23" s="480"/>
      <c r="E23" s="479" t="s">
        <v>513</v>
      </c>
      <c r="F23" s="481"/>
      <c r="G23" s="481"/>
      <c r="H23" s="480"/>
      <c r="I23" s="482" t="s">
        <v>532</v>
      </c>
      <c r="J23" s="481"/>
      <c r="K23" s="481"/>
      <c r="L23" s="483"/>
      <c r="M23" s="715"/>
      <c r="N23" s="610" t="s">
        <v>162</v>
      </c>
      <c r="O23" s="653"/>
    </row>
    <row r="24" spans="1:17" ht="15.75" x14ac:dyDescent="0.25">
      <c r="A24" s="486"/>
      <c r="B24" s="487" t="s">
        <v>524</v>
      </c>
      <c r="C24" s="488"/>
      <c r="D24" s="488"/>
      <c r="E24" s="489" t="s">
        <v>524</v>
      </c>
      <c r="F24" s="490"/>
      <c r="G24" s="490"/>
      <c r="H24" s="491"/>
      <c r="I24" s="492" t="s">
        <v>674</v>
      </c>
      <c r="J24" s="490"/>
      <c r="K24" s="490"/>
      <c r="L24" s="493"/>
      <c r="M24" s="484"/>
      <c r="N24" s="538" t="s">
        <v>208</v>
      </c>
      <c r="O24" s="654" t="s">
        <v>139</v>
      </c>
    </row>
    <row r="25" spans="1:17" ht="16.5" x14ac:dyDescent="0.3">
      <c r="A25" s="494"/>
      <c r="B25" s="495" t="s">
        <v>1042</v>
      </c>
      <c r="C25" s="655">
        <v>19000</v>
      </c>
      <c r="D25" s="497" t="s">
        <v>527</v>
      </c>
      <c r="E25" s="656">
        <f>C25*(1-C26)*VLOOKUP($B25,'Standard values'!$C$9:$S$162,14, FALSE)</f>
        <v>300959.99999999994</v>
      </c>
      <c r="F25" s="499" t="s">
        <v>199</v>
      </c>
      <c r="G25" s="499"/>
      <c r="H25" s="499"/>
      <c r="I25" s="500" t="s">
        <v>1053</v>
      </c>
      <c r="J25" s="500" t="s">
        <v>1054</v>
      </c>
      <c r="K25" s="500" t="s">
        <v>1055</v>
      </c>
      <c r="L25" s="501" t="s">
        <v>1056</v>
      </c>
      <c r="M25" s="379"/>
      <c r="N25" s="540" t="s">
        <v>1056</v>
      </c>
      <c r="O25" s="657" t="s">
        <v>550</v>
      </c>
    </row>
    <row r="26" spans="1:17" ht="15.75" x14ac:dyDescent="0.3">
      <c r="A26" s="503"/>
      <c r="B26" s="495" t="s">
        <v>521</v>
      </c>
      <c r="C26" s="658">
        <v>0.34</v>
      </c>
      <c r="D26" s="497"/>
      <c r="E26" s="505">
        <v>1</v>
      </c>
      <c r="F26" s="506" t="s">
        <v>200</v>
      </c>
      <c r="G26" s="506"/>
      <c r="H26" s="495"/>
      <c r="I26" s="507"/>
      <c r="J26" s="508"/>
      <c r="K26" s="508"/>
      <c r="L26" s="509"/>
      <c r="M26" s="379"/>
      <c r="N26" s="541"/>
      <c r="O26" s="616"/>
    </row>
    <row r="27" spans="1:17" ht="15.75" x14ac:dyDescent="0.3">
      <c r="A27" s="503"/>
      <c r="B27" s="495"/>
      <c r="C27" s="660"/>
      <c r="D27" s="497"/>
      <c r="E27" s="510">
        <f>+C25/E217</f>
        <v>0.12569025219110985</v>
      </c>
      <c r="F27" s="506" t="s">
        <v>846</v>
      </c>
      <c r="G27" s="506"/>
      <c r="H27" s="495"/>
      <c r="I27" s="546"/>
      <c r="J27" s="546"/>
      <c r="K27" s="546"/>
      <c r="L27" s="661"/>
      <c r="M27" s="379"/>
      <c r="N27" s="541"/>
      <c r="O27" s="616"/>
    </row>
    <row r="28" spans="1:17" x14ac:dyDescent="0.2">
      <c r="A28" s="503"/>
      <c r="B28" s="511" t="s">
        <v>525</v>
      </c>
      <c r="C28" s="660"/>
      <c r="D28" s="497"/>
      <c r="E28" s="503"/>
      <c r="F28" s="495"/>
      <c r="G28" s="495"/>
      <c r="H28" s="495"/>
      <c r="I28" s="546"/>
      <c r="J28" s="546"/>
      <c r="K28" s="546"/>
      <c r="L28" s="661"/>
      <c r="M28" s="379"/>
      <c r="N28" s="541"/>
      <c r="O28" s="616"/>
    </row>
    <row r="29" spans="1:17" ht="14.25" x14ac:dyDescent="0.2">
      <c r="A29" s="503"/>
      <c r="B29" s="495" t="s">
        <v>509</v>
      </c>
      <c r="C29" s="662">
        <v>2064.5855999999999</v>
      </c>
      <c r="D29" s="497" t="s">
        <v>528</v>
      </c>
      <c r="E29" s="513"/>
      <c r="F29" s="495"/>
      <c r="G29" s="495"/>
      <c r="H29" s="495"/>
      <c r="I29" s="508">
        <f>$C29*VLOOKUP($B29,'Standard values'!$C$9:$S$162,7, FALSE)/$E$217</f>
        <v>1.196954807509053</v>
      </c>
      <c r="J29" s="508">
        <f>$C29*VLOOKUP($B29,'Standard values'!$C$9:$S$162,8, FALSE)/$E$217</f>
        <v>0</v>
      </c>
      <c r="K29" s="508">
        <f>$C29*VLOOKUP($B29,'Standard values'!$C$9:$S$162,9, FALSE)/$E$217</f>
        <v>0</v>
      </c>
      <c r="L29" s="509">
        <f>I29*'Standard values'!$D$10+J29*'Standard values'!$D$11+K29*'Standard values'!$D$12</f>
        <v>1.196954807509053</v>
      </c>
      <c r="M29" s="379"/>
      <c r="N29" s="562">
        <f>+L29/$E$27</f>
        <v>9.5230519999999999</v>
      </c>
      <c r="O29" s="663">
        <f>L29*$E$217/1000</f>
        <v>180.93798799999999</v>
      </c>
    </row>
    <row r="30" spans="1:17" x14ac:dyDescent="0.2">
      <c r="A30" s="503"/>
      <c r="B30" s="495"/>
      <c r="C30" s="660"/>
      <c r="D30" s="497"/>
      <c r="E30" s="513"/>
      <c r="F30" s="495"/>
      <c r="G30" s="495"/>
      <c r="H30" s="495"/>
      <c r="I30" s="508"/>
      <c r="J30" s="508"/>
      <c r="K30" s="508"/>
      <c r="L30" s="509"/>
      <c r="M30" s="379"/>
      <c r="N30" s="562"/>
      <c r="O30" s="663"/>
    </row>
    <row r="31" spans="1:17" x14ac:dyDescent="0.2">
      <c r="A31" s="503"/>
      <c r="B31" s="511" t="s">
        <v>1045</v>
      </c>
      <c r="C31" s="660"/>
      <c r="D31" s="497"/>
      <c r="E31" s="513"/>
      <c r="F31" s="495"/>
      <c r="G31" s="495"/>
      <c r="H31" s="495"/>
      <c r="I31" s="508"/>
      <c r="J31" s="508"/>
      <c r="K31" s="508"/>
      <c r="L31" s="509"/>
      <c r="M31" s="379"/>
      <c r="N31" s="562"/>
      <c r="O31" s="663"/>
    </row>
    <row r="32" spans="1:17" ht="14.25" x14ac:dyDescent="0.2">
      <c r="A32" s="503"/>
      <c r="B32" s="495" t="s">
        <v>231</v>
      </c>
      <c r="C32" s="664">
        <v>127.90799999999999</v>
      </c>
      <c r="D32" s="497" t="s">
        <v>529</v>
      </c>
      <c r="E32" s="513"/>
      <c r="F32" s="495"/>
      <c r="G32" s="495"/>
      <c r="H32" s="495"/>
      <c r="I32" s="508">
        <f>$C32*VLOOKUP($B32,'Standard values'!$C$9:$S$162,3, FALSE)/$E$217</f>
        <v>2.3920610868200201</v>
      </c>
      <c r="J32" s="508">
        <f>$C32*VLOOKUP($B32,'Standard values'!$C$9:$S$162,4, FALSE)/$E$217</f>
        <v>7.3435386547414869E-3</v>
      </c>
      <c r="K32" s="508">
        <f>$C32*VLOOKUP($B32,'Standard values'!$C$9:$S$162,5, FALSE)/$E$217</f>
        <v>8.1583780017152659E-3</v>
      </c>
      <c r="L32" s="509">
        <f>I32*'Standard values'!$D$10+J32*'Standard values'!$D$11+K32*'Standard values'!$D$12</f>
        <v>5.0068461976997067</v>
      </c>
      <c r="M32" s="379"/>
      <c r="N32" s="562">
        <f t="shared" ref="N32:N38" si="1">+L32/$E$27</f>
        <v>39.834801111599994</v>
      </c>
      <c r="O32" s="663">
        <f t="shared" ref="O32:O38" si="2">L32*$E$217/1000</f>
        <v>756.86122112039993</v>
      </c>
    </row>
    <row r="33" spans="1:15" ht="14.25" x14ac:dyDescent="0.2">
      <c r="A33" s="503"/>
      <c r="B33" s="495" t="s">
        <v>504</v>
      </c>
      <c r="C33" s="556">
        <v>0</v>
      </c>
      <c r="D33" s="497" t="s">
        <v>529</v>
      </c>
      <c r="E33" s="513"/>
      <c r="F33" s="495"/>
      <c r="G33" s="495"/>
      <c r="H33" s="495"/>
      <c r="I33" s="508">
        <f>$C33*VLOOKUP($B33,'Standard values'!$C$9:$S$162,3, FALSE)/$E$217</f>
        <v>0</v>
      </c>
      <c r="J33" s="508">
        <f>$C33*VLOOKUP($B33,'Standard values'!$C$9:$S$162,4, FALSE)/$E$217</f>
        <v>0</v>
      </c>
      <c r="K33" s="508">
        <f>$C33*VLOOKUP($B33,'Standard values'!$C$9:$S$162,5, FALSE)/$E$217</f>
        <v>0</v>
      </c>
      <c r="L33" s="509">
        <f>I33*'Standard values'!$D$10+J33*'Standard values'!$D$11+K33*'Standard values'!$D$12</f>
        <v>0</v>
      </c>
      <c r="M33" s="379"/>
      <c r="N33" s="562">
        <f>+L33/$E$27</f>
        <v>0</v>
      </c>
      <c r="O33" s="663">
        <f>L33*$E$217/1000</f>
        <v>0</v>
      </c>
    </row>
    <row r="34" spans="1:15" ht="14.25" x14ac:dyDescent="0.2">
      <c r="A34" s="503"/>
      <c r="B34" s="495" t="s">
        <v>234</v>
      </c>
      <c r="C34" s="664">
        <v>0</v>
      </c>
      <c r="D34" s="497" t="s">
        <v>745</v>
      </c>
      <c r="E34" s="513"/>
      <c r="F34" s="495"/>
      <c r="G34" s="495"/>
      <c r="H34" s="495"/>
      <c r="I34" s="508">
        <f>$C34*VLOOKUP($B34,'Standard values'!$C$9:$S$162,3, FALSE)/$E$217</f>
        <v>0</v>
      </c>
      <c r="J34" s="508">
        <f>$C34*VLOOKUP($B34,'Standard values'!$C$9:$S$162,4, FALSE)/$E$217</f>
        <v>0</v>
      </c>
      <c r="K34" s="508">
        <f>$C34*VLOOKUP($B34,'Standard values'!$C$9:$S$162,5, FALSE)/$E$217</f>
        <v>0</v>
      </c>
      <c r="L34" s="509">
        <f>I34*'Standard values'!$D$10+J34*'Standard values'!$D$11+K34*'Standard values'!$D$12</f>
        <v>0</v>
      </c>
      <c r="M34" s="379"/>
      <c r="N34" s="562">
        <f t="shared" si="1"/>
        <v>0</v>
      </c>
      <c r="O34" s="663">
        <f t="shared" si="2"/>
        <v>0</v>
      </c>
    </row>
    <row r="35" spans="1:15" ht="15.75" x14ac:dyDescent="0.3">
      <c r="A35" s="503"/>
      <c r="B35" s="495" t="s">
        <v>233</v>
      </c>
      <c r="C35" s="664">
        <v>199.804</v>
      </c>
      <c r="D35" s="497" t="s">
        <v>530</v>
      </c>
      <c r="E35" s="513"/>
      <c r="F35" s="495"/>
      <c r="G35" s="495"/>
      <c r="H35" s="495"/>
      <c r="I35" s="508">
        <f>$C35*VLOOKUP($B35,'Standard values'!$C$9:$S$162,3, FALSE)/$E$217</f>
        <v>0.70887359371171288</v>
      </c>
      <c r="J35" s="508">
        <f>$C35*VLOOKUP($B35,'Standard values'!$C$9:$S$162,4, FALSE)/$E$217</f>
        <v>2.0763507293283241E-3</v>
      </c>
      <c r="K35" s="508">
        <f>$C35*VLOOKUP($B35,'Standard values'!$C$9:$S$162,5, FALSE)/$E$217</f>
        <v>1.625763191211305E-5</v>
      </c>
      <c r="L35" s="509">
        <f>I35*'Standard values'!$D$10+J35*'Standard values'!$D$11+K35*'Standard values'!$D$12</f>
        <v>0.76562713625473067</v>
      </c>
      <c r="M35" s="379"/>
      <c r="N35" s="562">
        <f t="shared" si="1"/>
        <v>6.0913803807999995</v>
      </c>
      <c r="O35" s="663">
        <f t="shared" si="2"/>
        <v>115.73622723519999</v>
      </c>
    </row>
    <row r="36" spans="1:15" ht="15.75" x14ac:dyDescent="0.3">
      <c r="A36" s="503"/>
      <c r="B36" s="495" t="s">
        <v>232</v>
      </c>
      <c r="C36" s="664">
        <v>143.792</v>
      </c>
      <c r="D36" s="497" t="s">
        <v>531</v>
      </c>
      <c r="E36" s="513"/>
      <c r="F36" s="495"/>
      <c r="G36" s="495"/>
      <c r="H36" s="495"/>
      <c r="I36" s="508">
        <f>$C36*VLOOKUP($B36,'Standard values'!$C$9:$S$162,3, FALSE)/$E$217</f>
        <v>0.91782303067739412</v>
      </c>
      <c r="J36" s="508">
        <f>$C36*VLOOKUP($B36,'Standard values'!$C$9:$S$162,4, FALSE)/$E$217</f>
        <v>1.2660789158430671E-3</v>
      </c>
      <c r="K36" s="508">
        <f>$C36*VLOOKUP($B36,'Standard values'!$C$9:$S$162,5, FALSE)/$E$217</f>
        <v>4.898802717198945E-5</v>
      </c>
      <c r="L36" s="509">
        <f>I36*'Standard values'!$D$10+J36*'Standard values'!$D$11+K36*'Standard values'!$D$12</f>
        <v>0.96407343567072368</v>
      </c>
      <c r="M36" s="379"/>
      <c r="N36" s="562">
        <f t="shared" si="1"/>
        <v>7.670232328</v>
      </c>
      <c r="O36" s="663">
        <f t="shared" si="2"/>
        <v>145.73441423200001</v>
      </c>
    </row>
    <row r="37" spans="1:15" ht="14.25" x14ac:dyDescent="0.2">
      <c r="A37" s="503"/>
      <c r="B37" s="495" t="s">
        <v>1081</v>
      </c>
      <c r="C37" s="664">
        <v>585.91452991452979</v>
      </c>
      <c r="D37" s="497" t="s">
        <v>103</v>
      </c>
      <c r="E37" s="513"/>
      <c r="F37" s="495"/>
      <c r="G37" s="495"/>
      <c r="H37" s="495"/>
      <c r="I37" s="508">
        <f>$C37*VLOOKUP($B37,'Standard values'!$C$9:$S$162,3, FALSE)/$E$217</f>
        <v>0</v>
      </c>
      <c r="J37" s="508">
        <f>$C37*VLOOKUP($B37,'Standard values'!$C$9:$S$162,4, FALSE)/$E$217</f>
        <v>0</v>
      </c>
      <c r="K37" s="508">
        <f>$C37*VLOOKUP($B37,'Standard values'!$C$9:$S$162,5, FALSE)/$E$217</f>
        <v>0</v>
      </c>
      <c r="L37" s="509">
        <f>I37*'Standard values'!$D$10+J37*'Standard values'!$D$11+K37*'Standard values'!$D$12</f>
        <v>0</v>
      </c>
      <c r="M37" s="379"/>
      <c r="N37" s="562">
        <f t="shared" si="1"/>
        <v>0</v>
      </c>
      <c r="O37" s="663">
        <f t="shared" si="2"/>
        <v>0</v>
      </c>
    </row>
    <row r="38" spans="1:15" ht="14.25" x14ac:dyDescent="0.2">
      <c r="A38" s="503"/>
      <c r="B38" s="495" t="s">
        <v>502</v>
      </c>
      <c r="C38" s="664">
        <v>8.36</v>
      </c>
      <c r="D38" s="497" t="s">
        <v>527</v>
      </c>
      <c r="E38" s="513"/>
      <c r="F38" s="665"/>
      <c r="G38" s="665"/>
      <c r="H38" s="665"/>
      <c r="I38" s="508">
        <f>$C38*VLOOKUP($B38,'Standard values'!$C$9:$S$162,3, FALSE)/$E$217</f>
        <v>0.54676024905388132</v>
      </c>
      <c r="J38" s="508">
        <f>$C38*VLOOKUP($B38,'Standard values'!$C$9:$S$162,4, FALSE)/$E$217</f>
        <v>1.4117433601513794E-3</v>
      </c>
      <c r="K38" s="508">
        <f>$C38*VLOOKUP($B38,'Standard values'!$C$9:$S$162,5, FALSE)/$E$217</f>
        <v>9.2987659615018119E-5</v>
      </c>
      <c r="L38" s="509">
        <f>I38*'Standard values'!$D$10+J38*'Standard values'!$D$11+K38*'Standard values'!$D$12</f>
        <v>0.60976415562294117</v>
      </c>
      <c r="M38" s="379"/>
      <c r="N38" s="562">
        <f t="shared" si="1"/>
        <v>4.8513241480000007</v>
      </c>
      <c r="O38" s="663">
        <f t="shared" si="2"/>
        <v>92.175158811999992</v>
      </c>
    </row>
    <row r="39" spans="1:15" x14ac:dyDescent="0.2">
      <c r="A39" s="503"/>
      <c r="B39" s="495"/>
      <c r="C39" s="666"/>
      <c r="D39" s="497"/>
      <c r="E39" s="513"/>
      <c r="F39" s="665"/>
      <c r="G39" s="665"/>
      <c r="H39" s="665"/>
      <c r="I39" s="508"/>
      <c r="J39" s="508"/>
      <c r="K39" s="508"/>
      <c r="L39" s="509"/>
      <c r="M39" s="379"/>
      <c r="N39" s="562"/>
      <c r="O39" s="663"/>
    </row>
    <row r="40" spans="1:15" ht="15" x14ac:dyDescent="0.25">
      <c r="A40" s="503"/>
      <c r="B40" s="511" t="s">
        <v>1046</v>
      </c>
      <c r="C40" s="669">
        <v>3.5112000000000001</v>
      </c>
      <c r="D40" s="497" t="s">
        <v>527</v>
      </c>
      <c r="E40" s="513"/>
      <c r="F40" s="495"/>
      <c r="G40" s="495"/>
      <c r="H40" s="495"/>
      <c r="I40" s="508">
        <v>0</v>
      </c>
      <c r="J40" s="508">
        <v>0</v>
      </c>
      <c r="K40" s="508">
        <f>1000*$C40/$E$217</f>
        <v>2.3227558604917105E-2</v>
      </c>
      <c r="L40" s="509">
        <f>I40*'Standard values'!$D$10+J40*'Standard values'!$D$11+K40*'Standard values'!$D$12</f>
        <v>6.9218124642652974</v>
      </c>
      <c r="M40" s="379"/>
      <c r="N40" s="562">
        <f>+L40/$E$27</f>
        <v>55.070400000000014</v>
      </c>
      <c r="O40" s="750">
        <f>L40*$E$217/1000</f>
        <v>1046.3376000000003</v>
      </c>
    </row>
    <row r="41" spans="1:15" ht="15.75" x14ac:dyDescent="0.3">
      <c r="A41" s="503"/>
      <c r="B41" s="511"/>
      <c r="C41" s="670" t="s">
        <v>664</v>
      </c>
      <c r="D41" s="495"/>
      <c r="E41" s="513"/>
      <c r="F41" s="514"/>
      <c r="G41" s="514"/>
      <c r="H41" s="514" t="s">
        <v>1047</v>
      </c>
      <c r="I41" s="515">
        <f>SUM(I26:I40)</f>
        <v>5.7624727677720617</v>
      </c>
      <c r="J41" s="515">
        <f>SUM(J26:J40)</f>
        <v>1.2097711660064257E-2</v>
      </c>
      <c r="K41" s="515">
        <f>SUM(K26:K40)</f>
        <v>3.1544169925331489E-2</v>
      </c>
      <c r="L41" s="516">
        <f>I41*'Standard values'!$D$10+J41*'Standard values'!$D$11+K41*'Standard values'!$D$12</f>
        <v>15.465078197022452</v>
      </c>
      <c r="M41" s="379"/>
      <c r="N41" s="1201">
        <f>+L41/E$27</f>
        <v>123.0411899684</v>
      </c>
      <c r="O41" s="1202">
        <f>L41*$E$217/1000</f>
        <v>2337.7826093996</v>
      </c>
    </row>
    <row r="42" spans="1:15" x14ac:dyDescent="0.2">
      <c r="A42" s="503"/>
      <c r="B42" s="511"/>
      <c r="C42" s="671" t="s">
        <v>665</v>
      </c>
      <c r="D42" s="495"/>
      <c r="E42" s="513"/>
      <c r="F42" s="514"/>
      <c r="G42" s="514"/>
      <c r="H42" s="514"/>
      <c r="I42" s="416"/>
      <c r="J42" s="416"/>
      <c r="K42" s="416"/>
      <c r="L42" s="436"/>
      <c r="M42" s="379"/>
      <c r="N42" s="1203"/>
      <c r="O42" s="1204"/>
    </row>
    <row r="43" spans="1:15" ht="14.25" x14ac:dyDescent="0.25">
      <c r="A43" s="519"/>
      <c r="B43" s="520"/>
      <c r="C43" s="520"/>
      <c r="D43" s="520"/>
      <c r="E43" s="519"/>
      <c r="F43" s="521"/>
      <c r="G43" s="521"/>
      <c r="H43" s="521" t="s">
        <v>534</v>
      </c>
      <c r="I43" s="522"/>
      <c r="J43" s="523" t="s">
        <v>675</v>
      </c>
      <c r="K43" s="524"/>
      <c r="L43" s="525">
        <f>N41*E$27</f>
        <v>15.465078197022452</v>
      </c>
      <c r="M43" s="379"/>
      <c r="N43" s="390"/>
      <c r="O43" s="390"/>
    </row>
    <row r="44" spans="1:15" x14ac:dyDescent="0.2">
      <c r="A44" s="379"/>
      <c r="B44" s="379"/>
      <c r="C44" s="379"/>
      <c r="D44" s="379"/>
      <c r="E44" s="379"/>
      <c r="F44" s="526"/>
      <c r="G44" s="526"/>
      <c r="H44" s="526"/>
      <c r="I44" s="527"/>
      <c r="J44" s="528"/>
      <c r="K44" s="484"/>
      <c r="L44" s="430"/>
      <c r="M44" s="379"/>
      <c r="N44" s="390"/>
      <c r="O44" s="390"/>
    </row>
    <row r="45" spans="1:15" x14ac:dyDescent="0.2">
      <c r="A45" s="390"/>
      <c r="B45" s="390"/>
      <c r="C45" s="390"/>
      <c r="D45" s="390"/>
      <c r="E45" s="390"/>
      <c r="F45" s="390"/>
      <c r="G45" s="390"/>
      <c r="H45" s="390"/>
      <c r="I45" s="529"/>
      <c r="J45" s="529"/>
      <c r="K45" s="529"/>
      <c r="L45" s="529"/>
      <c r="M45" s="379"/>
      <c r="N45" s="390"/>
      <c r="O45" s="390"/>
    </row>
    <row r="46" spans="1:15" ht="15.75" x14ac:dyDescent="0.25">
      <c r="A46" s="530" t="s">
        <v>202</v>
      </c>
      <c r="B46" s="531"/>
      <c r="C46" s="531"/>
      <c r="D46" s="531"/>
      <c r="E46" s="530" t="s">
        <v>513</v>
      </c>
      <c r="F46" s="532"/>
      <c r="G46" s="532"/>
      <c r="H46" s="531"/>
      <c r="I46" s="532" t="s">
        <v>532</v>
      </c>
      <c r="J46" s="533"/>
      <c r="K46" s="533"/>
      <c r="L46" s="534"/>
      <c r="M46" s="379"/>
      <c r="N46" s="535" t="s">
        <v>162</v>
      </c>
      <c r="O46" s="390"/>
    </row>
    <row r="47" spans="1:15" ht="15.75" x14ac:dyDescent="0.3">
      <c r="A47" s="503"/>
      <c r="B47" s="511" t="s">
        <v>1042</v>
      </c>
      <c r="C47" s="593">
        <v>1</v>
      </c>
      <c r="D47" s="495" t="s">
        <v>205</v>
      </c>
      <c r="E47" s="553">
        <f>E25*C47</f>
        <v>300959.99999999994</v>
      </c>
      <c r="F47" s="499" t="s">
        <v>199</v>
      </c>
      <c r="G47" s="499"/>
      <c r="H47" s="495"/>
      <c r="I47" s="492" t="s">
        <v>674</v>
      </c>
      <c r="J47" s="514"/>
      <c r="K47" s="514"/>
      <c r="L47" s="537"/>
      <c r="M47" s="379"/>
      <c r="N47" s="554" t="s">
        <v>208</v>
      </c>
      <c r="O47" s="390"/>
    </row>
    <row r="48" spans="1:15" ht="15.75" x14ac:dyDescent="0.3">
      <c r="A48" s="503"/>
      <c r="B48" s="495"/>
      <c r="C48" s="495"/>
      <c r="D48" s="495"/>
      <c r="E48" s="505">
        <f>E26*C47</f>
        <v>1</v>
      </c>
      <c r="F48" s="506" t="s">
        <v>200</v>
      </c>
      <c r="G48" s="506"/>
      <c r="H48" s="495"/>
      <c r="I48" s="539" t="s">
        <v>1053</v>
      </c>
      <c r="J48" s="539" t="s">
        <v>1054</v>
      </c>
      <c r="K48" s="539" t="s">
        <v>1055</v>
      </c>
      <c r="L48" s="540" t="s">
        <v>1056</v>
      </c>
      <c r="M48" s="379"/>
      <c r="N48" s="540" t="s">
        <v>1056</v>
      </c>
      <c r="O48" s="390"/>
    </row>
    <row r="49" spans="1:15" x14ac:dyDescent="0.2">
      <c r="A49" s="503"/>
      <c r="B49" s="511" t="s">
        <v>498</v>
      </c>
      <c r="C49" s="495"/>
      <c r="D49" s="495"/>
      <c r="E49" s="505"/>
      <c r="F49" s="506"/>
      <c r="G49" s="506"/>
      <c r="H49" s="495"/>
      <c r="I49" s="539"/>
      <c r="J49" s="539"/>
      <c r="K49" s="539"/>
      <c r="L49" s="540"/>
      <c r="M49" s="379"/>
      <c r="N49" s="541"/>
      <c r="O49" s="390"/>
    </row>
    <row r="50" spans="1:15" ht="15.75" x14ac:dyDescent="0.3">
      <c r="A50" s="503"/>
      <c r="B50" s="495" t="s">
        <v>1111</v>
      </c>
      <c r="C50" s="595">
        <v>20</v>
      </c>
      <c r="D50" s="495" t="s">
        <v>510</v>
      </c>
      <c r="E50" s="543">
        <f>(C50*E48)/(VLOOKUP($B47,'Standard values'!$C$9:$S$162,14, FALSE))/(1-$C$26)/1000</f>
        <v>1.2626262626262627E-3</v>
      </c>
      <c r="F50" s="495" t="s">
        <v>245</v>
      </c>
      <c r="G50" s="495"/>
      <c r="H50" s="495"/>
      <c r="I50" s="544">
        <f>$E50*VLOOKUP($B50,'Standard values'!$C$9:$S$162,15, FALSE)*VLOOKUP(C51,'Standard values'!$C$9:$S$162,7, FALSE)/$E$218</f>
        <v>0.2062074277447348</v>
      </c>
      <c r="J50" s="544">
        <f>$E50*((VLOOKUP($B50,'Standard values'!$C$9:$S$162,15, FALSE)*VLOOKUP(C51,'Standard values'!$C$9:$S$162,8, FALSE))+VLOOKUP($B50,'Standard values'!$C$9:$S$162,16, FALSE))/$E$218</f>
        <v>1.2569025219110984E-5</v>
      </c>
      <c r="K50" s="544">
        <f>$E50*((VLOOKUP($B50,'Standard values'!$C$9:$S$162,15, FALSE)*VLOOKUP(C51,'Standard values'!$C$9:$S$162,9, FALSE))+VLOOKUP($B50,'Standard values'!$C$9:$S$162,17, FALSE))/$E$218</f>
        <v>0</v>
      </c>
      <c r="L50" s="516">
        <f>I50*'Standard values'!$D$10+J50*'Standard values'!$D$11+K50*'Standard values'!$D$12</f>
        <v>0.20652165337521258</v>
      </c>
      <c r="M50" s="379"/>
      <c r="N50" s="1201">
        <f>+L50/E$27</f>
        <v>1.6430999999999998</v>
      </c>
      <c r="O50" s="390"/>
    </row>
    <row r="51" spans="1:15" x14ac:dyDescent="0.2">
      <c r="A51" s="503"/>
      <c r="B51" s="546" t="s">
        <v>54</v>
      </c>
      <c r="C51" s="673" t="s">
        <v>509</v>
      </c>
      <c r="D51" s="495"/>
      <c r="E51" s="543"/>
      <c r="F51" s="495"/>
      <c r="G51" s="495"/>
      <c r="H51" s="495"/>
      <c r="I51" s="544"/>
      <c r="J51" s="544"/>
      <c r="K51" s="544"/>
      <c r="L51" s="516"/>
      <c r="M51" s="379"/>
      <c r="N51" s="1203"/>
      <c r="O51" s="390"/>
    </row>
    <row r="52" spans="1:15" x14ac:dyDescent="0.2">
      <c r="A52" s="503"/>
      <c r="B52" s="495"/>
      <c r="C52" s="495"/>
      <c r="D52" s="495"/>
      <c r="E52" s="503"/>
      <c r="F52" s="495"/>
      <c r="G52" s="495"/>
      <c r="H52" s="548"/>
      <c r="I52" s="544"/>
      <c r="J52" s="544"/>
      <c r="K52" s="544"/>
      <c r="L52" s="516"/>
      <c r="M52" s="379"/>
      <c r="N52" s="390"/>
      <c r="O52" s="390"/>
    </row>
    <row r="53" spans="1:15" ht="14.25" x14ac:dyDescent="0.25">
      <c r="A53" s="519"/>
      <c r="B53" s="520"/>
      <c r="C53" s="520"/>
      <c r="D53" s="520"/>
      <c r="E53" s="519"/>
      <c r="F53" s="521"/>
      <c r="G53" s="521"/>
      <c r="H53" s="521" t="s">
        <v>534</v>
      </c>
      <c r="I53" s="520"/>
      <c r="J53" s="523" t="s">
        <v>675</v>
      </c>
      <c r="K53" s="549"/>
      <c r="L53" s="525">
        <f>N50*E$27</f>
        <v>0.20652165337521258</v>
      </c>
      <c r="M53" s="379"/>
      <c r="N53" s="390"/>
      <c r="O53" s="390"/>
    </row>
    <row r="54" spans="1:15" x14ac:dyDescent="0.2">
      <c r="A54" s="390"/>
      <c r="B54" s="390"/>
      <c r="C54" s="390"/>
      <c r="D54" s="390"/>
      <c r="E54" s="390"/>
      <c r="F54" s="376"/>
      <c r="G54" s="376"/>
      <c r="H54" s="376"/>
      <c r="I54" s="390"/>
      <c r="J54" s="550"/>
      <c r="K54" s="551"/>
      <c r="L54" s="552"/>
      <c r="M54" s="379"/>
      <c r="N54" s="379"/>
      <c r="O54" s="379"/>
    </row>
    <row r="55" spans="1:15" x14ac:dyDescent="0.2">
      <c r="A55" s="390"/>
      <c r="B55" s="390"/>
      <c r="C55" s="390"/>
      <c r="D55" s="390"/>
      <c r="E55" s="390"/>
      <c r="F55" s="376"/>
      <c r="G55" s="376"/>
      <c r="H55" s="376"/>
      <c r="I55" s="390"/>
      <c r="J55" s="550"/>
      <c r="K55" s="551"/>
      <c r="L55" s="552"/>
      <c r="M55" s="379"/>
      <c r="N55" s="379"/>
      <c r="O55" s="379"/>
    </row>
    <row r="56" spans="1:15" ht="15.75" x14ac:dyDescent="0.25">
      <c r="A56" s="530" t="s">
        <v>104</v>
      </c>
      <c r="B56" s="531"/>
      <c r="C56" s="531"/>
      <c r="D56" s="531"/>
      <c r="E56" s="530" t="s">
        <v>513</v>
      </c>
      <c r="F56" s="532"/>
      <c r="G56" s="532"/>
      <c r="H56" s="531"/>
      <c r="I56" s="532" t="s">
        <v>532</v>
      </c>
      <c r="J56" s="533"/>
      <c r="K56" s="533"/>
      <c r="L56" s="534"/>
      <c r="M56" s="379"/>
      <c r="N56" s="535" t="s">
        <v>162</v>
      </c>
      <c r="O56" s="379"/>
    </row>
    <row r="57" spans="1:15" ht="15.75" x14ac:dyDescent="0.3">
      <c r="A57" s="587"/>
      <c r="B57" s="511" t="s">
        <v>1042</v>
      </c>
      <c r="C57" s="593">
        <v>0.98</v>
      </c>
      <c r="D57" s="495" t="s">
        <v>205</v>
      </c>
      <c r="E57" s="588">
        <f>E47*C57</f>
        <v>294940.79999999993</v>
      </c>
      <c r="F57" s="499" t="s">
        <v>199</v>
      </c>
      <c r="G57" s="499"/>
      <c r="H57" s="495"/>
      <c r="I57" s="492" t="s">
        <v>674</v>
      </c>
      <c r="J57" s="514"/>
      <c r="K57" s="514"/>
      <c r="L57" s="537"/>
      <c r="M57" s="379"/>
      <c r="N57" s="554" t="s">
        <v>208</v>
      </c>
      <c r="O57" s="379"/>
    </row>
    <row r="58" spans="1:15" ht="15.75" x14ac:dyDescent="0.3">
      <c r="A58" s="587"/>
      <c r="B58" s="495"/>
      <c r="C58" s="512"/>
      <c r="D58" s="495"/>
      <c r="E58" s="505">
        <f>E48*C57</f>
        <v>0.98</v>
      </c>
      <c r="F58" s="506" t="s">
        <v>200</v>
      </c>
      <c r="G58" s="506"/>
      <c r="H58" s="495"/>
      <c r="I58" s="539" t="s">
        <v>1053</v>
      </c>
      <c r="J58" s="539" t="s">
        <v>1054</v>
      </c>
      <c r="K58" s="539" t="s">
        <v>1055</v>
      </c>
      <c r="L58" s="540" t="s">
        <v>1056</v>
      </c>
      <c r="M58" s="379"/>
      <c r="N58" s="540" t="s">
        <v>1056</v>
      </c>
      <c r="O58" s="379"/>
    </row>
    <row r="59" spans="1:15" x14ac:dyDescent="0.2">
      <c r="A59" s="503"/>
      <c r="B59" s="511" t="s">
        <v>525</v>
      </c>
      <c r="C59" s="495"/>
      <c r="D59" s="495"/>
      <c r="E59" s="503"/>
      <c r="F59" s="495"/>
      <c r="G59" s="495"/>
      <c r="H59" s="495"/>
      <c r="I59" s="495"/>
      <c r="J59" s="495"/>
      <c r="K59" s="495"/>
      <c r="L59" s="541"/>
      <c r="M59" s="379"/>
      <c r="N59" s="541"/>
      <c r="O59" s="379"/>
    </row>
    <row r="60" spans="1:15" ht="15.75" x14ac:dyDescent="0.3">
      <c r="A60" s="503"/>
      <c r="B60" s="499" t="s">
        <v>509</v>
      </c>
      <c r="C60" s="672">
        <v>0</v>
      </c>
      <c r="D60" s="495" t="s">
        <v>207</v>
      </c>
      <c r="E60" s="503"/>
      <c r="F60" s="495"/>
      <c r="G60" s="495"/>
      <c r="H60" s="495"/>
      <c r="I60" s="544">
        <f>$C60*$E$58*VLOOKUP($B60,'Standard values'!$C$9:$S$162,7, FALSE)/$E$218</f>
        <v>0</v>
      </c>
      <c r="J60" s="544">
        <f>$C60*$E$58*VLOOKUP($B60,'Standard values'!$C$9:$S$162,8, FALSE)/$E$218</f>
        <v>0</v>
      </c>
      <c r="K60" s="544">
        <f>$C60*$E$58*VLOOKUP($B60,'Standard values'!$C$9:$S$162,9, FALSE)/$E$218</f>
        <v>0</v>
      </c>
      <c r="L60" s="419">
        <f>I60*'Standard values'!$D$10+J60*'Standard values'!$D$11+K60*'Standard values'!$D$12</f>
        <v>0</v>
      </c>
      <c r="M60" s="379"/>
      <c r="N60" s="562">
        <f>+L60/$E$27</f>
        <v>0</v>
      </c>
      <c r="O60" s="379"/>
    </row>
    <row r="61" spans="1:15" ht="15.75" x14ac:dyDescent="0.3">
      <c r="A61" s="503"/>
      <c r="B61" s="1301" t="s">
        <v>239</v>
      </c>
      <c r="C61" s="672">
        <v>0</v>
      </c>
      <c r="D61" s="495" t="s">
        <v>207</v>
      </c>
      <c r="E61" s="503"/>
      <c r="F61" s="495"/>
      <c r="G61" s="495"/>
      <c r="H61" s="495"/>
      <c r="I61" s="544">
        <f>$C61*$E$58*VLOOKUP($B61,'Standard values'!$C$9:$S$162,7, FALSE)/$E$218</f>
        <v>0</v>
      </c>
      <c r="J61" s="544">
        <f>$C61*$E$58*VLOOKUP($B61,'Standard values'!$C$9:$S$162,8, FALSE)/$E$218</f>
        <v>0</v>
      </c>
      <c r="K61" s="544">
        <f>$C61*$E$58*VLOOKUP($B61,'Standard values'!$C$9:$S$162,9, FALSE)/$E$218</f>
        <v>0</v>
      </c>
      <c r="L61" s="419">
        <f>I61*'Standard values'!$D$10+J61*'Standard values'!$D$11+K61*'Standard values'!$D$12</f>
        <v>0</v>
      </c>
      <c r="M61" s="379"/>
      <c r="N61" s="562">
        <f>+L61/$E$27</f>
        <v>0</v>
      </c>
      <c r="O61" s="379"/>
    </row>
    <row r="62" spans="1:15" x14ac:dyDescent="0.2">
      <c r="A62" s="503"/>
      <c r="B62" s="495"/>
      <c r="C62" s="495"/>
      <c r="D62" s="495"/>
      <c r="E62" s="503"/>
      <c r="F62" s="495"/>
      <c r="G62" s="495"/>
      <c r="H62" s="514" t="s">
        <v>1047</v>
      </c>
      <c r="I62" s="515">
        <f>SUM(I59:I61)</f>
        <v>0</v>
      </c>
      <c r="J62" s="515">
        <f>SUM(J59:J61)</f>
        <v>0</v>
      </c>
      <c r="K62" s="515">
        <f>SUM(K59:K61)</f>
        <v>0</v>
      </c>
      <c r="L62" s="516">
        <f>I62*'Standard values'!$D$10+J62*'Standard values'!$D$11+K62*'Standard values'!$D$12</f>
        <v>0</v>
      </c>
      <c r="M62" s="379"/>
      <c r="N62" s="1201">
        <f>+L62/E$27</f>
        <v>0</v>
      </c>
      <c r="O62" s="379"/>
    </row>
    <row r="63" spans="1:15" x14ac:dyDescent="0.2">
      <c r="A63" s="590"/>
      <c r="B63" s="495"/>
      <c r="C63" s="492"/>
      <c r="D63" s="495"/>
      <c r="E63" s="503"/>
      <c r="F63" s="495"/>
      <c r="G63" s="495"/>
      <c r="H63" s="495"/>
      <c r="I63" s="495"/>
      <c r="J63" s="495"/>
      <c r="K63" s="495"/>
      <c r="L63" s="541"/>
      <c r="M63" s="379"/>
      <c r="N63" s="1203"/>
      <c r="O63" s="379"/>
    </row>
    <row r="64" spans="1:15" ht="14.25" x14ac:dyDescent="0.25">
      <c r="A64" s="519"/>
      <c r="B64" s="520"/>
      <c r="C64" s="520"/>
      <c r="D64" s="520"/>
      <c r="E64" s="519"/>
      <c r="F64" s="521"/>
      <c r="G64" s="521"/>
      <c r="H64" s="521" t="s">
        <v>534</v>
      </c>
      <c r="I64" s="520"/>
      <c r="J64" s="523" t="s">
        <v>675</v>
      </c>
      <c r="K64" s="549"/>
      <c r="L64" s="525">
        <f>N62*E$27</f>
        <v>0</v>
      </c>
      <c r="M64" s="379"/>
      <c r="N64" s="642"/>
      <c r="O64" s="379"/>
    </row>
    <row r="65" spans="1:15" x14ac:dyDescent="0.2">
      <c r="A65" s="390"/>
      <c r="B65" s="390"/>
      <c r="C65" s="390"/>
      <c r="D65" s="390"/>
      <c r="E65" s="390"/>
      <c r="F65" s="376"/>
      <c r="G65" s="376"/>
      <c r="H65" s="376"/>
      <c r="I65" s="390"/>
      <c r="J65" s="550"/>
      <c r="K65" s="551"/>
      <c r="L65" s="552"/>
      <c r="M65" s="379"/>
      <c r="N65" s="379"/>
      <c r="O65" s="379"/>
    </row>
    <row r="66" spans="1:15" x14ac:dyDescent="0.2">
      <c r="A66" s="390"/>
      <c r="B66" s="390"/>
      <c r="C66" s="390"/>
      <c r="D66" s="390"/>
      <c r="E66" s="390"/>
      <c r="F66" s="390"/>
      <c r="G66" s="390"/>
      <c r="H66" s="390"/>
      <c r="I66" s="390"/>
      <c r="J66" s="390"/>
      <c r="K66" s="390"/>
      <c r="L66" s="375"/>
      <c r="M66" s="379"/>
      <c r="N66" s="379"/>
      <c r="O66" s="379"/>
    </row>
    <row r="67" spans="1:15" ht="15.75" x14ac:dyDescent="0.25">
      <c r="A67" s="530" t="s">
        <v>639</v>
      </c>
      <c r="B67" s="531"/>
      <c r="C67" s="531"/>
      <c r="D67" s="531"/>
      <c r="E67" s="530" t="s">
        <v>513</v>
      </c>
      <c r="F67" s="532"/>
      <c r="G67" s="532"/>
      <c r="H67" s="531"/>
      <c r="I67" s="532" t="s">
        <v>532</v>
      </c>
      <c r="J67" s="533"/>
      <c r="K67" s="533"/>
      <c r="L67" s="534"/>
      <c r="M67" s="379"/>
      <c r="N67" s="535" t="s">
        <v>162</v>
      </c>
      <c r="O67" s="379"/>
    </row>
    <row r="68" spans="1:15" x14ac:dyDescent="0.2">
      <c r="A68" s="503"/>
      <c r="B68" s="511" t="s">
        <v>524</v>
      </c>
      <c r="C68" s="495"/>
      <c r="D68" s="495"/>
      <c r="E68" s="553"/>
      <c r="F68" s="674"/>
      <c r="G68" s="674"/>
      <c r="H68" s="495"/>
      <c r="I68" s="492" t="s">
        <v>674</v>
      </c>
      <c r="J68" s="514"/>
      <c r="K68" s="514"/>
      <c r="L68" s="537"/>
      <c r="M68" s="379"/>
      <c r="N68" s="554" t="s">
        <v>975</v>
      </c>
      <c r="O68" s="379"/>
    </row>
    <row r="69" spans="1:15" ht="15.75" x14ac:dyDescent="0.3">
      <c r="A69" s="503"/>
      <c r="B69" s="495" t="s">
        <v>1043</v>
      </c>
      <c r="C69" s="675">
        <v>0.53</v>
      </c>
      <c r="D69" s="495" t="s">
        <v>209</v>
      </c>
      <c r="E69" s="553">
        <f>E57*C69</f>
        <v>156318.62399999998</v>
      </c>
      <c r="F69" s="499" t="s">
        <v>654</v>
      </c>
      <c r="G69" s="499"/>
      <c r="H69" s="495"/>
      <c r="I69" s="539" t="s">
        <v>1053</v>
      </c>
      <c r="J69" s="539" t="s">
        <v>1054</v>
      </c>
      <c r="K69" s="539" t="s">
        <v>1055</v>
      </c>
      <c r="L69" s="540" t="s">
        <v>1056</v>
      </c>
      <c r="M69" s="379"/>
      <c r="N69" s="540" t="s">
        <v>1056</v>
      </c>
      <c r="O69" s="379"/>
    </row>
    <row r="70" spans="1:15" ht="15.75" x14ac:dyDescent="0.3">
      <c r="A70" s="563"/>
      <c r="B70" s="506" t="s">
        <v>131</v>
      </c>
      <c r="C70" s="675">
        <v>2.6830808080808084E-2</v>
      </c>
      <c r="D70" s="495" t="s">
        <v>210</v>
      </c>
      <c r="E70" s="505">
        <f>E58*C69</f>
        <v>0.51939999999999997</v>
      </c>
      <c r="F70" s="506" t="s">
        <v>200</v>
      </c>
      <c r="G70" s="506"/>
      <c r="H70" s="495"/>
      <c r="I70" s="495"/>
      <c r="J70" s="495"/>
      <c r="K70" s="495"/>
      <c r="L70" s="541"/>
      <c r="M70" s="379"/>
      <c r="N70" s="541"/>
      <c r="O70" s="379"/>
    </row>
    <row r="71" spans="1:15" ht="15.75" x14ac:dyDescent="0.3">
      <c r="A71" s="563"/>
      <c r="B71" s="506"/>
      <c r="C71" s="564"/>
      <c r="D71" s="506"/>
      <c r="E71" s="557">
        <f>E69/$E$217/VLOOKUP($B69,'Standard values'!$C$9:$S$162,14, FALSE)</f>
        <v>2.7948402948402951E-2</v>
      </c>
      <c r="F71" s="499" t="s">
        <v>537</v>
      </c>
      <c r="G71" s="499"/>
      <c r="H71" s="495"/>
      <c r="I71" s="495"/>
      <c r="J71" s="495"/>
      <c r="K71" s="495"/>
      <c r="L71" s="541"/>
      <c r="M71" s="379"/>
      <c r="N71" s="562"/>
      <c r="O71" s="379"/>
    </row>
    <row r="72" spans="1:15" x14ac:dyDescent="0.2">
      <c r="A72" s="503"/>
      <c r="B72" s="511" t="s">
        <v>525</v>
      </c>
      <c r="C72" s="495"/>
      <c r="D72" s="495"/>
      <c r="E72" s="513"/>
      <c r="F72" s="495"/>
      <c r="G72" s="495"/>
      <c r="H72" s="495"/>
      <c r="I72" s="495"/>
      <c r="J72" s="495"/>
      <c r="K72" s="495"/>
      <c r="L72" s="541"/>
      <c r="M72" s="379"/>
      <c r="N72" s="562"/>
      <c r="O72" s="379"/>
    </row>
    <row r="73" spans="1:15" ht="15.75" x14ac:dyDescent="0.3">
      <c r="A73" s="503"/>
      <c r="B73" s="495" t="s">
        <v>749</v>
      </c>
      <c r="C73" s="675">
        <v>0</v>
      </c>
      <c r="D73" s="495" t="s">
        <v>644</v>
      </c>
      <c r="E73" s="503" t="s">
        <v>890</v>
      </c>
      <c r="F73" s="495"/>
      <c r="G73" s="495"/>
      <c r="H73" s="495"/>
      <c r="I73" s="544"/>
      <c r="J73" s="544"/>
      <c r="K73" s="544"/>
      <c r="L73" s="419"/>
      <c r="M73" s="379"/>
      <c r="N73" s="562"/>
      <c r="O73" s="379"/>
    </row>
    <row r="74" spans="1:15" ht="15.75" x14ac:dyDescent="0.3">
      <c r="A74" s="503"/>
      <c r="B74" s="495" t="s">
        <v>676</v>
      </c>
      <c r="C74" s="675">
        <v>0</v>
      </c>
      <c r="D74" s="495" t="s">
        <v>644</v>
      </c>
      <c r="E74" s="503" t="s">
        <v>889</v>
      </c>
      <c r="F74" s="495"/>
      <c r="G74" s="495"/>
      <c r="H74" s="495"/>
      <c r="I74" s="544"/>
      <c r="J74" s="544"/>
      <c r="K74" s="544"/>
      <c r="L74" s="419"/>
      <c r="M74" s="379"/>
      <c r="N74" s="562"/>
      <c r="O74" s="379"/>
    </row>
    <row r="75" spans="1:15" x14ac:dyDescent="0.2">
      <c r="A75" s="503"/>
      <c r="B75" s="565" t="s">
        <v>972</v>
      </c>
      <c r="C75" s="566"/>
      <c r="D75" s="566"/>
      <c r="E75" s="567"/>
      <c r="F75" s="568"/>
      <c r="G75" s="568"/>
      <c r="H75" s="568"/>
      <c r="I75" s="569"/>
      <c r="J75" s="568"/>
      <c r="K75" s="568"/>
      <c r="L75" s="570"/>
      <c r="M75" s="379"/>
      <c r="N75" s="562"/>
      <c r="O75" s="379"/>
    </row>
    <row r="76" spans="1:15" x14ac:dyDescent="0.2">
      <c r="A76" s="503"/>
      <c r="B76" s="571" t="s">
        <v>377</v>
      </c>
      <c r="C76" s="566"/>
      <c r="D76" s="566"/>
      <c r="E76" s="567" t="s">
        <v>799</v>
      </c>
      <c r="F76" s="568"/>
      <c r="G76" s="568"/>
      <c r="H76" s="568"/>
      <c r="I76" s="569"/>
      <c r="J76" s="568"/>
      <c r="K76" s="568"/>
      <c r="L76" s="570"/>
      <c r="M76" s="379"/>
      <c r="N76" s="562"/>
      <c r="O76" s="379"/>
    </row>
    <row r="77" spans="1:15" ht="15.75" x14ac:dyDescent="0.3">
      <c r="A77" s="503"/>
      <c r="B77" s="572" t="s">
        <v>380</v>
      </c>
      <c r="C77" s="573">
        <f>C74</f>
        <v>0</v>
      </c>
      <c r="D77" s="568" t="s">
        <v>769</v>
      </c>
      <c r="E77" s="567" t="s">
        <v>768</v>
      </c>
      <c r="F77" s="568"/>
      <c r="G77" s="568"/>
      <c r="H77" s="568"/>
      <c r="I77" s="574"/>
      <c r="J77" s="574"/>
      <c r="K77" s="574"/>
      <c r="L77" s="575"/>
      <c r="M77" s="379"/>
      <c r="N77" s="562"/>
      <c r="O77" s="379"/>
    </row>
    <row r="78" spans="1:15" x14ac:dyDescent="0.2">
      <c r="A78" s="503"/>
      <c r="B78" s="571" t="s">
        <v>378</v>
      </c>
      <c r="C78" s="573"/>
      <c r="D78" s="566"/>
      <c r="E78" s="576"/>
      <c r="F78" s="568"/>
      <c r="G78" s="568"/>
      <c r="H78" s="568"/>
      <c r="I78" s="574"/>
      <c r="J78" s="574"/>
      <c r="K78" s="574"/>
      <c r="L78" s="575"/>
      <c r="M78" s="379"/>
      <c r="N78" s="562"/>
      <c r="O78" s="379"/>
    </row>
    <row r="79" spans="1:15" ht="14.25" x14ac:dyDescent="0.25">
      <c r="A79" s="503"/>
      <c r="B79" s="577" t="s">
        <v>936</v>
      </c>
      <c r="C79" s="536">
        <f>1/0.9</f>
        <v>1.1111111111111112</v>
      </c>
      <c r="D79" s="568" t="s">
        <v>419</v>
      </c>
      <c r="E79" s="578"/>
      <c r="F79" s="568"/>
      <c r="G79" s="568"/>
      <c r="H79" s="568"/>
      <c r="I79" s="574"/>
      <c r="J79" s="574"/>
      <c r="K79" s="574"/>
      <c r="L79" s="575"/>
      <c r="M79" s="379"/>
      <c r="N79" s="562"/>
      <c r="O79" s="379"/>
    </row>
    <row r="80" spans="1:15" ht="15.75" x14ac:dyDescent="0.3">
      <c r="A80" s="503"/>
      <c r="B80" s="572" t="s">
        <v>770</v>
      </c>
      <c r="C80" s="573">
        <f>C79*C74</f>
        <v>0</v>
      </c>
      <c r="D80" s="568" t="s">
        <v>769</v>
      </c>
      <c r="E80" s="578"/>
      <c r="F80" s="568"/>
      <c r="G80" s="568"/>
      <c r="H80" s="568"/>
      <c r="I80" s="574"/>
      <c r="J80" s="574"/>
      <c r="K80" s="574"/>
      <c r="L80" s="575"/>
      <c r="M80" s="379"/>
      <c r="N80" s="562"/>
      <c r="O80" s="379"/>
    </row>
    <row r="81" spans="1:15" x14ac:dyDescent="0.2">
      <c r="A81" s="503"/>
      <c r="B81" s="571" t="s">
        <v>935</v>
      </c>
      <c r="C81" s="573"/>
      <c r="D81" s="566"/>
      <c r="E81" s="567"/>
      <c r="F81" s="568"/>
      <c r="G81" s="568"/>
      <c r="H81" s="568"/>
      <c r="I81" s="569" t="s">
        <v>532</v>
      </c>
      <c r="J81" s="574"/>
      <c r="K81" s="574"/>
      <c r="L81" s="575"/>
      <c r="M81" s="379"/>
      <c r="N81" s="562"/>
      <c r="O81" s="379"/>
    </row>
    <row r="82" spans="1:15" ht="15.75" x14ac:dyDescent="0.3">
      <c r="A82" s="503"/>
      <c r="B82" s="572" t="s">
        <v>940</v>
      </c>
      <c r="C82" s="573"/>
      <c r="D82" s="566"/>
      <c r="E82" s="567"/>
      <c r="F82" s="568"/>
      <c r="G82" s="568"/>
      <c r="H82" s="568"/>
      <c r="I82" s="574" t="e">
        <f>$C74*$E$70*VLOOKUP($B82,'Standard values'!$C$9:$S$159,7, FALSE)/$E$218</f>
        <v>#N/A</v>
      </c>
      <c r="J82" s="574" t="e">
        <f>$C74*$E$70*VLOOKUP($B82,'Standard values'!$C$9:$S$159,8, FALSE)/$E$218</f>
        <v>#N/A</v>
      </c>
      <c r="K82" s="574" t="e">
        <f>$C74*$E$70*VLOOKUP($B82,'Standard values'!$C$9:$S$159,9, FALSE)/$E$218</f>
        <v>#N/A</v>
      </c>
      <c r="L82" s="575">
        <f>IF(C74&gt;0, I82*'Standard values'!$D$10+J82*'Standard values'!$D$11+K82*'Standard values'!$D$12, 0)</f>
        <v>0</v>
      </c>
      <c r="M82" s="379"/>
      <c r="N82" s="562">
        <f>+L82/$E$71</f>
        <v>0</v>
      </c>
      <c r="O82" s="379"/>
    </row>
    <row r="83" spans="1:15" ht="15.75" x14ac:dyDescent="0.3">
      <c r="A83" s="503"/>
      <c r="B83" s="577" t="s">
        <v>344</v>
      </c>
      <c r="C83" s="573">
        <f>C79*C74</f>
        <v>0</v>
      </c>
      <c r="D83" s="568" t="s">
        <v>769</v>
      </c>
      <c r="E83" s="567"/>
      <c r="F83" s="568"/>
      <c r="G83" s="568"/>
      <c r="H83" s="568"/>
      <c r="I83" s="574" t="e">
        <f>$C83*$E$70*VLOOKUP($B83,'Standard values'!$C$9:$S$162,7, FALSE)/$E$218</f>
        <v>#N/A</v>
      </c>
      <c r="J83" s="574" t="e">
        <f>$C83*$E$70*VLOOKUP($B83,'Standard values'!$C$9:$S$162,8, FALSE)/$E$218</f>
        <v>#N/A</v>
      </c>
      <c r="K83" s="574" t="e">
        <f>$C83*$E$70*VLOOKUP($B83,'Standard values'!$C$9:$S$162,9, FALSE)/$E$218</f>
        <v>#N/A</v>
      </c>
      <c r="L83" s="575">
        <f>IF(C74&gt;0, I83*'Standard values'!$D$10+J83*'Standard values'!$D$11+K83*'Standard values'!$D$12, 0)</f>
        <v>0</v>
      </c>
      <c r="M83" s="379"/>
      <c r="N83" s="562">
        <f>+L83/$E$71</f>
        <v>0</v>
      </c>
      <c r="O83" s="379"/>
    </row>
    <row r="84" spans="1:15" x14ac:dyDescent="0.2">
      <c r="A84" s="503"/>
      <c r="B84" s="580" t="s">
        <v>801</v>
      </c>
      <c r="C84" s="573"/>
      <c r="D84" s="568"/>
      <c r="E84" s="567"/>
      <c r="F84" s="568"/>
      <c r="G84" s="568"/>
      <c r="H84" s="568"/>
      <c r="I84" s="574"/>
      <c r="J84" s="574"/>
      <c r="K84" s="574"/>
      <c r="L84" s="575"/>
      <c r="M84" s="379"/>
      <c r="N84" s="562"/>
      <c r="O84" s="379"/>
    </row>
    <row r="85" spans="1:15" ht="14.25" x14ac:dyDescent="0.25">
      <c r="A85" s="503"/>
      <c r="B85" s="577" t="s">
        <v>348</v>
      </c>
      <c r="C85" s="536">
        <v>0.22220000000000001</v>
      </c>
      <c r="D85" s="568" t="s">
        <v>419</v>
      </c>
      <c r="E85" s="567"/>
      <c r="F85" s="568"/>
      <c r="G85" s="568"/>
      <c r="H85" s="568"/>
      <c r="I85" s="574"/>
      <c r="J85" s="581"/>
      <c r="K85" s="581"/>
      <c r="L85" s="575"/>
      <c r="M85" s="379"/>
      <c r="N85" s="562"/>
      <c r="O85" s="379"/>
    </row>
    <row r="86" spans="1:15" ht="15.75" x14ac:dyDescent="0.3">
      <c r="A86" s="503"/>
      <c r="B86" s="577" t="s">
        <v>771</v>
      </c>
      <c r="C86" s="573">
        <f>C85*C74</f>
        <v>0</v>
      </c>
      <c r="D86" s="568" t="s">
        <v>769</v>
      </c>
      <c r="E86" s="567" t="s">
        <v>777</v>
      </c>
      <c r="F86" s="568"/>
      <c r="G86" s="568"/>
      <c r="H86" s="568"/>
      <c r="I86" s="574"/>
      <c r="J86" s="581"/>
      <c r="K86" s="581"/>
      <c r="L86" s="575"/>
      <c r="M86" s="379"/>
      <c r="N86" s="562"/>
      <c r="O86" s="379"/>
    </row>
    <row r="87" spans="1:15" ht="27" x14ac:dyDescent="0.3">
      <c r="A87" s="503"/>
      <c r="B87" s="579" t="s">
        <v>772</v>
      </c>
      <c r="C87" s="573">
        <f>C73-C86</f>
        <v>0</v>
      </c>
      <c r="D87" s="568" t="s">
        <v>769</v>
      </c>
      <c r="E87" s="567"/>
      <c r="F87" s="568"/>
      <c r="G87" s="568"/>
      <c r="H87" s="568"/>
      <c r="I87" s="574"/>
      <c r="J87" s="581"/>
      <c r="K87" s="581"/>
      <c r="L87" s="575"/>
      <c r="M87" s="379"/>
      <c r="N87" s="562"/>
      <c r="O87" s="379"/>
    </row>
    <row r="88" spans="1:15" ht="15.75" x14ac:dyDescent="0.3">
      <c r="A88" s="503"/>
      <c r="B88" s="577" t="s">
        <v>345</v>
      </c>
      <c r="C88" s="573">
        <f>ABS(C73-C86)</f>
        <v>0</v>
      </c>
      <c r="D88" s="568" t="s">
        <v>769</v>
      </c>
      <c r="E88" s="567" t="str">
        <f>IF(C87&gt;0, "Electricity use in plant larger than generation in", "Surplus electricity. Credit must be calculated")</f>
        <v>Surplus electricity. Credit must be calculated</v>
      </c>
      <c r="F88" s="568"/>
      <c r="G88" s="568"/>
      <c r="H88" s="568"/>
      <c r="I88" s="574" t="e">
        <f>$C88*$E$70*VLOOKUP($B88,'Standard values'!$C$9:$S$162,7, FALSE)/$E$218</f>
        <v>#N/A</v>
      </c>
      <c r="J88" s="574" t="e">
        <f>$C88*$E$70*VLOOKUP($B88,'Standard values'!$C$9:$S$162,8, FALSE)/$E$218</f>
        <v>#N/A</v>
      </c>
      <c r="K88" s="574" t="e">
        <f>$C88*$E$70*VLOOKUP($B88,'Standard values'!$C$9:$S$162,9, FALSE)/$E$218</f>
        <v>#N/A</v>
      </c>
      <c r="L88" s="575">
        <f>IF(C74&gt;0, I88*'Standard values'!$D$10+J88*'Standard values'!$D$11+K88*'Standard values'!$D$12, 0)</f>
        <v>0</v>
      </c>
      <c r="M88" s="379"/>
      <c r="N88" s="562">
        <f>+L88/$E$71</f>
        <v>0</v>
      </c>
      <c r="O88" s="379"/>
    </row>
    <row r="89" spans="1:15" x14ac:dyDescent="0.2">
      <c r="A89" s="503"/>
      <c r="B89" s="582"/>
      <c r="C89" s="573"/>
      <c r="D89" s="568"/>
      <c r="E89" s="567" t="str">
        <f>IF(C87&gt;0, "   NG CHP. Therefore calculated as national electricity mix", "   following RED Annex V.C.16")</f>
        <v xml:space="preserve">   following RED Annex V.C.16</v>
      </c>
      <c r="F89" s="568"/>
      <c r="G89" s="568"/>
      <c r="H89" s="568"/>
      <c r="I89" s="574"/>
      <c r="J89" s="574"/>
      <c r="K89" s="574"/>
      <c r="L89" s="575"/>
      <c r="M89" s="379"/>
      <c r="N89" s="562"/>
      <c r="O89" s="379"/>
    </row>
    <row r="90" spans="1:15" x14ac:dyDescent="0.2">
      <c r="A90" s="503"/>
      <c r="B90" s="674"/>
      <c r="C90" s="495"/>
      <c r="D90" s="495"/>
      <c r="E90" s="503"/>
      <c r="F90" s="495"/>
      <c r="G90" s="495"/>
      <c r="H90" s="495"/>
      <c r="I90" s="544"/>
      <c r="J90" s="544"/>
      <c r="K90" s="544"/>
      <c r="L90" s="419"/>
      <c r="M90" s="379"/>
      <c r="N90" s="562"/>
      <c r="O90" s="379"/>
    </row>
    <row r="91" spans="1:15" ht="15.75" x14ac:dyDescent="0.3">
      <c r="A91" s="503"/>
      <c r="B91" s="674" t="s">
        <v>1106</v>
      </c>
      <c r="C91" s="675">
        <v>0</v>
      </c>
      <c r="D91" s="495" t="s">
        <v>644</v>
      </c>
      <c r="E91" s="503"/>
      <c r="F91" s="495"/>
      <c r="G91" s="495"/>
      <c r="H91" s="495"/>
      <c r="I91" s="544">
        <f>$C91*$E$70*VLOOKUP($B91,'Standard values'!$C$9:$S$162,7, FALSE)/$E$218</f>
        <v>0</v>
      </c>
      <c r="J91" s="544">
        <f>$C91*$E$70*VLOOKUP($B91,'Standard values'!$C$9:$S$162,8, FALSE)/$E$218</f>
        <v>0</v>
      </c>
      <c r="K91" s="544">
        <f>$C91*$E$70*VLOOKUP($B91,'Standard values'!$C$9:$S$162,9, FALSE)/$E$218</f>
        <v>0</v>
      </c>
      <c r="L91" s="419">
        <f>I91*'Standard values'!$D$10+J91*'Standard values'!$D$11+K91*'Standard values'!$D$12</f>
        <v>0</v>
      </c>
      <c r="M91" s="379"/>
      <c r="N91" s="562">
        <f>L91/$E$71</f>
        <v>0</v>
      </c>
      <c r="O91" s="379"/>
    </row>
    <row r="92" spans="1:15" x14ac:dyDescent="0.2">
      <c r="A92" s="503"/>
      <c r="B92" s="674"/>
      <c r="C92" s="716"/>
      <c r="D92" s="495"/>
      <c r="E92" s="503"/>
      <c r="F92" s="495"/>
      <c r="G92" s="495"/>
      <c r="H92" s="495"/>
      <c r="I92" s="544"/>
      <c r="J92" s="544"/>
      <c r="K92" s="544"/>
      <c r="L92" s="419"/>
      <c r="M92" s="379"/>
      <c r="N92" s="562"/>
      <c r="O92" s="379"/>
    </row>
    <row r="93" spans="1:15" ht="15.75" x14ac:dyDescent="0.3">
      <c r="A93" s="503"/>
      <c r="B93" s="492" t="s">
        <v>215</v>
      </c>
      <c r="C93" s="774">
        <v>0</v>
      </c>
      <c r="D93" s="495" t="s">
        <v>212</v>
      </c>
      <c r="E93" s="503"/>
      <c r="F93" s="495"/>
      <c r="G93" s="495"/>
      <c r="H93" s="495"/>
      <c r="I93" s="544"/>
      <c r="J93" s="544">
        <f>C93*E70/$E$218</f>
        <v>0</v>
      </c>
      <c r="K93" s="544"/>
      <c r="L93" s="419">
        <f>I93*'Standard values'!$D$10+J93*'Standard values'!$D$11+K93*'Standard values'!$D$12</f>
        <v>0</v>
      </c>
      <c r="M93" s="379"/>
      <c r="N93" s="562"/>
      <c r="O93" s="379"/>
    </row>
    <row r="94" spans="1:15" x14ac:dyDescent="0.2">
      <c r="A94" s="503"/>
      <c r="B94" s="492"/>
      <c r="C94" s="716"/>
      <c r="D94" s="495"/>
      <c r="E94" s="503"/>
      <c r="F94" s="495"/>
      <c r="G94" s="495"/>
      <c r="H94" s="495"/>
      <c r="I94" s="544"/>
      <c r="J94" s="544"/>
      <c r="K94" s="544"/>
      <c r="L94" s="419"/>
      <c r="M94" s="379"/>
      <c r="N94" s="562"/>
      <c r="O94" s="379"/>
    </row>
    <row r="95" spans="1:15" x14ac:dyDescent="0.2">
      <c r="A95" s="503"/>
      <c r="B95" s="495"/>
      <c r="C95" s="499"/>
      <c r="D95" s="499"/>
      <c r="E95" s="681"/>
      <c r="F95" s="495"/>
      <c r="G95" s="495"/>
      <c r="H95" s="514" t="s">
        <v>1047</v>
      </c>
      <c r="I95" s="583" t="e">
        <f>SUM(I70:I93)</f>
        <v>#N/A</v>
      </c>
      <c r="J95" s="583" t="e">
        <f>SUM(J70:J93)</f>
        <v>#N/A</v>
      </c>
      <c r="K95" s="583" t="e">
        <f>SUM(K70:K93)</f>
        <v>#N/A</v>
      </c>
      <c r="L95" s="516">
        <f>SUM(L70:L93)</f>
        <v>0</v>
      </c>
      <c r="M95" s="379"/>
      <c r="N95" s="1201">
        <f>+L95/E$71</f>
        <v>0</v>
      </c>
      <c r="O95" s="379"/>
    </row>
    <row r="96" spans="1:15" x14ac:dyDescent="0.2">
      <c r="A96" s="503"/>
      <c r="B96" s="682"/>
      <c r="C96" s="499"/>
      <c r="D96" s="499"/>
      <c r="E96" s="503"/>
      <c r="F96" s="495"/>
      <c r="G96" s="495"/>
      <c r="H96" s="495"/>
      <c r="I96" s="495"/>
      <c r="J96" s="495"/>
      <c r="K96" s="495"/>
      <c r="L96" s="541"/>
      <c r="M96" s="379"/>
      <c r="N96" s="1203"/>
      <c r="O96" s="379"/>
    </row>
    <row r="97" spans="1:15" ht="14.25" x14ac:dyDescent="0.25">
      <c r="A97" s="519"/>
      <c r="B97" s="520"/>
      <c r="C97" s="520"/>
      <c r="D97" s="520"/>
      <c r="E97" s="519"/>
      <c r="F97" s="521"/>
      <c r="G97" s="521"/>
      <c r="H97" s="521" t="s">
        <v>534</v>
      </c>
      <c r="I97" s="520"/>
      <c r="J97" s="523" t="s">
        <v>675</v>
      </c>
      <c r="K97" s="549"/>
      <c r="L97" s="525">
        <f>N95*E$71</f>
        <v>0</v>
      </c>
      <c r="M97" s="379"/>
      <c r="N97" s="642"/>
      <c r="O97" s="379"/>
    </row>
    <row r="98" spans="1:15" x14ac:dyDescent="0.2">
      <c r="A98" s="390"/>
      <c r="B98" s="390"/>
      <c r="C98" s="390"/>
      <c r="D98" s="390"/>
      <c r="E98" s="390"/>
      <c r="F98" s="376"/>
      <c r="G98" s="376"/>
      <c r="H98" s="376"/>
      <c r="I98" s="390"/>
      <c r="J98" s="550"/>
      <c r="K98" s="551"/>
      <c r="L98" s="585"/>
      <c r="M98" s="379"/>
      <c r="N98" s="390"/>
      <c r="O98" s="390"/>
    </row>
    <row r="99" spans="1:15" x14ac:dyDescent="0.2">
      <c r="A99" s="390"/>
      <c r="B99" s="390"/>
      <c r="C99" s="390"/>
      <c r="D99" s="390"/>
      <c r="E99" s="390"/>
      <c r="F99" s="376"/>
      <c r="G99" s="376"/>
      <c r="H99" s="376"/>
      <c r="I99" s="390"/>
      <c r="J99" s="550"/>
      <c r="K99" s="551"/>
      <c r="L99" s="585"/>
      <c r="M99" s="379"/>
      <c r="N99" s="390"/>
      <c r="O99" s="390"/>
    </row>
    <row r="100" spans="1:15" ht="15.75" x14ac:dyDescent="0.25">
      <c r="A100" s="530" t="s">
        <v>1057</v>
      </c>
      <c r="B100" s="531"/>
      <c r="C100" s="531"/>
      <c r="D100" s="531"/>
      <c r="E100" s="608" t="s">
        <v>526</v>
      </c>
      <c r="F100" s="606"/>
      <c r="G100" s="606"/>
      <c r="H100" s="606"/>
      <c r="I100" s="607"/>
      <c r="J100" s="608" t="s">
        <v>675</v>
      </c>
      <c r="K100" s="607"/>
      <c r="L100" s="609">
        <f>L43+L53+L64+L97</f>
        <v>15.671599850397664</v>
      </c>
      <c r="M100" s="379"/>
      <c r="N100" s="535" t="s">
        <v>162</v>
      </c>
      <c r="O100" s="390"/>
    </row>
    <row r="101" spans="1:15" ht="15.75" x14ac:dyDescent="0.25">
      <c r="A101" s="610" t="s">
        <v>937</v>
      </c>
      <c r="B101" s="611"/>
      <c r="C101" s="611"/>
      <c r="D101" s="611"/>
      <c r="E101" s="613"/>
      <c r="F101" s="613"/>
      <c r="G101" s="613"/>
      <c r="H101" s="613"/>
      <c r="I101" s="613"/>
      <c r="J101" s="613"/>
      <c r="K101" s="613"/>
      <c r="L101" s="614"/>
      <c r="M101" s="379"/>
      <c r="N101" s="538" t="s">
        <v>975</v>
      </c>
      <c r="O101" s="390"/>
    </row>
    <row r="102" spans="1:15" ht="15.75" x14ac:dyDescent="0.3">
      <c r="A102" s="567"/>
      <c r="B102" s="568"/>
      <c r="C102" s="568"/>
      <c r="D102" s="683"/>
      <c r="E102" s="683"/>
      <c r="F102" s="683"/>
      <c r="G102" s="683"/>
      <c r="H102" s="683" t="s">
        <v>667</v>
      </c>
      <c r="I102" s="684">
        <f>L100</f>
        <v>15.671599850397664</v>
      </c>
      <c r="J102" s="568" t="s">
        <v>847</v>
      </c>
      <c r="K102" s="568"/>
      <c r="L102" s="685"/>
      <c r="M102" s="379"/>
      <c r="N102" s="540" t="s">
        <v>1056</v>
      </c>
      <c r="O102" s="390"/>
    </row>
    <row r="103" spans="1:15" ht="15.75" x14ac:dyDescent="0.3">
      <c r="A103" s="567"/>
      <c r="B103" s="568" t="s">
        <v>51</v>
      </c>
      <c r="C103" s="568" t="s">
        <v>1043</v>
      </c>
      <c r="D103" s="568"/>
      <c r="E103" s="683" t="s">
        <v>659</v>
      </c>
      <c r="F103" s="686">
        <v>1</v>
      </c>
      <c r="G103" s="686"/>
      <c r="H103" s="568" t="s">
        <v>501</v>
      </c>
      <c r="I103" s="574">
        <f>$I$102*F103/F$105</f>
        <v>14.91646618716792</v>
      </c>
      <c r="J103" s="568" t="s">
        <v>847</v>
      </c>
      <c r="K103" s="568"/>
      <c r="L103" s="685"/>
      <c r="M103" s="379"/>
      <c r="N103" s="541"/>
      <c r="O103" s="390"/>
    </row>
    <row r="104" spans="1:15" ht="15.75" x14ac:dyDescent="0.3">
      <c r="A104" s="567"/>
      <c r="B104" s="568" t="s">
        <v>123</v>
      </c>
      <c r="C104" s="568" t="s">
        <v>203</v>
      </c>
      <c r="D104" s="568"/>
      <c r="E104" s="683" t="s">
        <v>134</v>
      </c>
      <c r="F104" s="686">
        <f>C70/C69</f>
        <v>5.0624166190203927E-2</v>
      </c>
      <c r="G104" s="686"/>
      <c r="H104" s="568" t="s">
        <v>501</v>
      </c>
      <c r="I104" s="574">
        <f>$I$102*F104/F$105</f>
        <v>0.75513366322974629</v>
      </c>
      <c r="J104" s="568" t="s">
        <v>847</v>
      </c>
      <c r="K104" s="568"/>
      <c r="L104" s="685"/>
      <c r="M104" s="379"/>
      <c r="N104" s="562"/>
      <c r="O104" s="390"/>
    </row>
    <row r="105" spans="1:15" x14ac:dyDescent="0.2">
      <c r="A105" s="567"/>
      <c r="B105" s="568"/>
      <c r="C105" s="568"/>
      <c r="D105" s="568"/>
      <c r="E105" s="568" t="s">
        <v>533</v>
      </c>
      <c r="F105" s="686">
        <f>SUM(F103:F104)</f>
        <v>1.0506241661902038</v>
      </c>
      <c r="G105" s="686"/>
      <c r="H105" s="568" t="s">
        <v>501</v>
      </c>
      <c r="I105" s="568"/>
      <c r="J105" s="568"/>
      <c r="K105" s="568"/>
      <c r="L105" s="685"/>
      <c r="M105" s="379"/>
      <c r="N105" s="562"/>
      <c r="O105" s="390"/>
    </row>
    <row r="106" spans="1:15" ht="14.25" x14ac:dyDescent="0.25">
      <c r="A106" s="519"/>
      <c r="B106" s="520"/>
      <c r="C106" s="520"/>
      <c r="D106" s="520"/>
      <c r="E106" s="523" t="s">
        <v>1058</v>
      </c>
      <c r="F106" s="521"/>
      <c r="G106" s="521"/>
      <c r="H106" s="687"/>
      <c r="I106" s="520"/>
      <c r="J106" s="523" t="s">
        <v>675</v>
      </c>
      <c r="K106" s="687"/>
      <c r="L106" s="525">
        <f>I103</f>
        <v>14.91646618716792</v>
      </c>
      <c r="M106" s="379"/>
      <c r="N106" s="545">
        <f>L106/$E$71</f>
        <v>533.71443852108507</v>
      </c>
      <c r="O106" s="379"/>
    </row>
    <row r="107" spans="1:15" x14ac:dyDescent="0.2">
      <c r="A107" s="379"/>
      <c r="B107" s="379"/>
      <c r="C107" s="379"/>
      <c r="D107" s="379"/>
      <c r="E107" s="717"/>
      <c r="F107" s="526"/>
      <c r="G107" s="526"/>
      <c r="H107" s="396"/>
      <c r="I107" s="379"/>
      <c r="J107" s="717"/>
      <c r="K107" s="396"/>
      <c r="L107" s="718"/>
      <c r="M107" s="379"/>
      <c r="N107" s="379"/>
      <c r="O107" s="379"/>
    </row>
    <row r="108" spans="1:15" x14ac:dyDescent="0.2">
      <c r="A108" s="379"/>
      <c r="B108" s="379"/>
      <c r="C108" s="379"/>
      <c r="D108" s="379"/>
      <c r="E108" s="717"/>
      <c r="F108" s="526"/>
      <c r="G108" s="526"/>
      <c r="H108" s="396"/>
      <c r="I108" s="379"/>
      <c r="J108" s="717"/>
      <c r="K108" s="396"/>
      <c r="L108" s="718"/>
      <c r="M108" s="379"/>
      <c r="N108" s="379"/>
      <c r="O108" s="379"/>
    </row>
    <row r="109" spans="1:15" ht="15.75" x14ac:dyDescent="0.25">
      <c r="A109" s="530" t="s">
        <v>204</v>
      </c>
      <c r="B109" s="531"/>
      <c r="C109" s="531"/>
      <c r="D109" s="531"/>
      <c r="E109" s="530" t="s">
        <v>513</v>
      </c>
      <c r="F109" s="532"/>
      <c r="G109" s="532"/>
      <c r="H109" s="531"/>
      <c r="I109" s="532" t="s">
        <v>532</v>
      </c>
      <c r="J109" s="533"/>
      <c r="K109" s="533"/>
      <c r="L109" s="534"/>
      <c r="M109" s="379"/>
      <c r="N109" s="535" t="s">
        <v>162</v>
      </c>
      <c r="O109" s="390"/>
    </row>
    <row r="110" spans="1:15" ht="15.75" x14ac:dyDescent="0.3">
      <c r="A110" s="503"/>
      <c r="B110" s="511" t="s">
        <v>1043</v>
      </c>
      <c r="C110" s="593">
        <v>1</v>
      </c>
      <c r="D110" s="495" t="s">
        <v>645</v>
      </c>
      <c r="E110" s="553">
        <f>E69*C110</f>
        <v>156318.62399999998</v>
      </c>
      <c r="F110" s="499" t="s">
        <v>654</v>
      </c>
      <c r="G110" s="499"/>
      <c r="H110" s="495"/>
      <c r="I110" s="492" t="s">
        <v>674</v>
      </c>
      <c r="J110" s="514"/>
      <c r="K110" s="514"/>
      <c r="L110" s="537"/>
      <c r="M110" s="379"/>
      <c r="N110" s="554" t="s">
        <v>975</v>
      </c>
      <c r="O110" s="390"/>
    </row>
    <row r="111" spans="1:15" ht="15.75" x14ac:dyDescent="0.3">
      <c r="A111" s="503"/>
      <c r="B111" s="495"/>
      <c r="C111" s="495"/>
      <c r="D111" s="495"/>
      <c r="E111" s="505">
        <f>E70*C110</f>
        <v>0.51939999999999997</v>
      </c>
      <c r="F111" s="506" t="s">
        <v>200</v>
      </c>
      <c r="G111" s="506"/>
      <c r="H111" s="495"/>
      <c r="I111" s="539" t="s">
        <v>1053</v>
      </c>
      <c r="J111" s="539" t="s">
        <v>1054</v>
      </c>
      <c r="K111" s="539" t="s">
        <v>1055</v>
      </c>
      <c r="L111" s="540" t="s">
        <v>1056</v>
      </c>
      <c r="M111" s="379"/>
      <c r="N111" s="501" t="s">
        <v>1056</v>
      </c>
      <c r="O111" s="390"/>
    </row>
    <row r="112" spans="1:15" x14ac:dyDescent="0.2">
      <c r="A112" s="503"/>
      <c r="B112" s="511" t="s">
        <v>498</v>
      </c>
      <c r="C112" s="495"/>
      <c r="D112" s="495"/>
      <c r="E112" s="505"/>
      <c r="F112" s="506"/>
      <c r="G112" s="506"/>
      <c r="H112" s="495"/>
      <c r="I112" s="539"/>
      <c r="J112" s="539"/>
      <c r="K112" s="539"/>
      <c r="L112" s="540"/>
      <c r="M112" s="379"/>
      <c r="N112" s="541"/>
      <c r="O112" s="390"/>
    </row>
    <row r="113" spans="1:15" ht="15.75" x14ac:dyDescent="0.3">
      <c r="A113" s="503"/>
      <c r="B113" s="495" t="s">
        <v>159</v>
      </c>
      <c r="C113" s="595">
        <v>150</v>
      </c>
      <c r="D113" s="495" t="s">
        <v>510</v>
      </c>
      <c r="E113" s="543">
        <f>(C113*E111)/(VLOOKUP($B110,'Standard values'!$C$9:$S$162,14, FALSE))/1000</f>
        <v>2.1056756756756756E-3</v>
      </c>
      <c r="F113" s="495" t="s">
        <v>245</v>
      </c>
      <c r="G113" s="495"/>
      <c r="H113" s="495"/>
      <c r="I113" s="544">
        <f>$E113*VLOOKUP($B113,'Standard values'!$C$9:$S$162,15, FALSE)*VLOOKUP(C114,'Standard values'!$C$9:$S$162,7, FALSE)/$E$218</f>
        <v>0.37034428746928749</v>
      </c>
      <c r="J113" s="544">
        <f>$E113*((VLOOKUP($B113,'Standard values'!$C$9:$S$162,15, FALSE)*VLOOKUP(C114,'Standard values'!$C$9:$S$162,8, FALSE))+VLOOKUP($B113,'Standard values'!$C$9:$S$162,16, FALSE))/$E$218</f>
        <v>2.0961302211302212E-5</v>
      </c>
      <c r="K113" s="544">
        <f>$E113*((VLOOKUP($B113,'Standard values'!$C$9:$S$162,15, FALSE)*VLOOKUP(C114,'Standard values'!$C$9:$S$162,9, FALSE))+VLOOKUP($B113,'Standard values'!$C$9:$S$162,17, FALSE))/$E$218</f>
        <v>0</v>
      </c>
      <c r="L113" s="419">
        <f>I113*'Standard values'!$D$10+J113*'Standard values'!$D$11+K113*'Standard values'!$D$12</f>
        <v>0.37086832002457004</v>
      </c>
      <c r="M113" s="379"/>
      <c r="N113" s="561">
        <f>L113/$E$71</f>
        <v>13.26975</v>
      </c>
      <c r="O113" s="390"/>
    </row>
    <row r="114" spans="1:15" x14ac:dyDescent="0.2">
      <c r="A114" s="503"/>
      <c r="B114" s="546" t="s">
        <v>54</v>
      </c>
      <c r="C114" s="673" t="s">
        <v>509</v>
      </c>
      <c r="D114" s="495"/>
      <c r="E114" s="543"/>
      <c r="F114" s="495"/>
      <c r="G114" s="495"/>
      <c r="H114" s="495"/>
      <c r="I114" s="544"/>
      <c r="J114" s="544"/>
      <c r="K114" s="544"/>
      <c r="L114" s="419"/>
      <c r="M114" s="379"/>
      <c r="N114" s="561"/>
      <c r="O114" s="390"/>
    </row>
    <row r="115" spans="1:15" ht="15.75" x14ac:dyDescent="0.3">
      <c r="A115" s="503"/>
      <c r="B115" s="495" t="s">
        <v>181</v>
      </c>
      <c r="C115" s="595">
        <v>10186</v>
      </c>
      <c r="D115" s="495" t="s">
        <v>510</v>
      </c>
      <c r="E115" s="543">
        <f>(C115*E111)/(VLOOKUP($B110,'Standard values'!$C$9:$S$162,14, FALSE))/1000</f>
        <v>0.14298941621621622</v>
      </c>
      <c r="F115" s="495" t="s">
        <v>245</v>
      </c>
      <c r="G115" s="495"/>
      <c r="H115" s="495"/>
      <c r="I115" s="544">
        <f>$E115*VLOOKUP($B115,'Standard values'!$C$9:$S$162,15, FALSE)*VLOOKUP(C116,'Standard values'!$C$9:$S$162,7, FALSE)/$E$218</f>
        <v>3.0742423161081081</v>
      </c>
      <c r="J115" s="544">
        <f>$E115*((VLOOKUP($B115,'Standard values'!$C$9:$S$162,15, FALSE)*VLOOKUP(C116,'Standard values'!$C$9:$S$162,8, FALSE))+VLOOKUP($B115,'Standard values'!$C$9:$S$162,16, FALSE))/$E$218</f>
        <v>0</v>
      </c>
      <c r="K115" s="544">
        <f>$E115*((VLOOKUP($B115,'Standard values'!$C$9:$S$162,15, FALSE)*VLOOKUP(C116,'Standard values'!$C$9:$S$162,9, FALSE))+VLOOKUP($B115,'Standard values'!$C$9:$S$162,17, FALSE))/$E$218</f>
        <v>0</v>
      </c>
      <c r="L115" s="419">
        <f>I115*'Standard values'!$D$10+J115*'Standard values'!$D$11+K115*'Standard values'!$D$12</f>
        <v>3.0742423161081081</v>
      </c>
      <c r="M115" s="379"/>
      <c r="N115" s="561">
        <f>L115/$E$71</f>
        <v>109.997065728</v>
      </c>
      <c r="O115" s="390"/>
    </row>
    <row r="116" spans="1:15" x14ac:dyDescent="0.2">
      <c r="A116" s="503"/>
      <c r="B116" s="546" t="s">
        <v>54</v>
      </c>
      <c r="C116" s="719" t="s">
        <v>627</v>
      </c>
      <c r="D116" s="719"/>
      <c r="E116" s="543"/>
      <c r="F116" s="495"/>
      <c r="G116" s="495"/>
      <c r="H116" s="495"/>
      <c r="I116" s="544"/>
      <c r="J116" s="544"/>
      <c r="K116" s="544"/>
      <c r="L116" s="419"/>
      <c r="M116" s="379"/>
      <c r="N116" s="561"/>
      <c r="O116" s="390"/>
    </row>
    <row r="117" spans="1:15" x14ac:dyDescent="0.2">
      <c r="A117" s="503"/>
      <c r="B117" s="511" t="s">
        <v>217</v>
      </c>
      <c r="C117" s="689"/>
      <c r="D117" s="495"/>
      <c r="E117" s="503"/>
      <c r="F117" s="495"/>
      <c r="G117" s="495"/>
      <c r="H117" s="495"/>
      <c r="I117" s="544"/>
      <c r="J117" s="544"/>
      <c r="K117" s="544"/>
      <c r="L117" s="562"/>
      <c r="M117" s="379"/>
      <c r="N117" s="561"/>
      <c r="O117" s="379"/>
    </row>
    <row r="118" spans="1:15" ht="15.75" x14ac:dyDescent="0.3">
      <c r="A118" s="590"/>
      <c r="B118" s="1301" t="s">
        <v>239</v>
      </c>
      <c r="C118" s="595">
        <v>8.4000000000000003E-4</v>
      </c>
      <c r="D118" s="495" t="s">
        <v>644</v>
      </c>
      <c r="E118" s="503"/>
      <c r="F118" s="495"/>
      <c r="G118" s="495"/>
      <c r="H118" s="495"/>
      <c r="I118" s="544">
        <f>$C118*$E$150*VLOOKUP($B118,'Standard values'!$C$9:$S$162,7, FALSE)/$E$218</f>
        <v>9.616319999999999E-2</v>
      </c>
      <c r="J118" s="544">
        <f>$C118*$E$150*VLOOKUP($B118,'Standard values'!$C$9:$S$162,8, FALSE)/$E$218</f>
        <v>3.0902412121212153E-4</v>
      </c>
      <c r="K118" s="544">
        <f>$C118*$E$150*VLOOKUP($B118,'Standard values'!$C$9:$S$162,9, FALSE)/$E$218</f>
        <v>4.1870606060606058E-6</v>
      </c>
      <c r="L118" s="419">
        <f>I118*'Standard values'!$D$10+J118*'Standard values'!$D$11+K118*'Standard values'!$D$12</f>
        <v>0.10513654709090908</v>
      </c>
      <c r="M118" s="379"/>
      <c r="N118" s="561">
        <f>L118/$E$71</f>
        <v>3.7618087618461531</v>
      </c>
      <c r="O118" s="379"/>
    </row>
    <row r="119" spans="1:15" x14ac:dyDescent="0.2">
      <c r="A119" s="503"/>
      <c r="B119" s="511" t="s">
        <v>216</v>
      </c>
      <c r="C119" s="495"/>
      <c r="D119" s="495"/>
      <c r="E119" s="503"/>
      <c r="F119" s="495"/>
      <c r="G119" s="495"/>
      <c r="H119" s="548"/>
      <c r="I119" s="544"/>
      <c r="J119" s="544"/>
      <c r="K119" s="544"/>
      <c r="L119" s="419"/>
      <c r="M119" s="379"/>
      <c r="N119" s="561"/>
      <c r="O119" s="390"/>
    </row>
    <row r="120" spans="1:15" ht="15.75" x14ac:dyDescent="0.3">
      <c r="A120" s="503"/>
      <c r="B120" s="1301" t="s">
        <v>49</v>
      </c>
      <c r="C120" s="542">
        <v>8.4000000000000003E-4</v>
      </c>
      <c r="D120" s="495" t="s">
        <v>644</v>
      </c>
      <c r="E120" s="503"/>
      <c r="F120" s="495"/>
      <c r="G120" s="495"/>
      <c r="H120" s="548"/>
      <c r="I120" s="544">
        <f>$C120*$E$150*VLOOKUP($B120,'Standard values'!$C$9:$S$162,7, FALSE)/$E$218</f>
        <v>0.10146737999999998</v>
      </c>
      <c r="J120" s="544">
        <f>$C120*$E$150*VLOOKUP($B120,'Standard values'!$C$9:$S$162,8, FALSE)/$E$218</f>
        <v>2.4744999999999997E-4</v>
      </c>
      <c r="K120" s="544">
        <f>$C120*$E$150*VLOOKUP($B120,'Standard values'!$C$9:$S$162,9, FALSE)/$E$218</f>
        <v>4.5966666666666661E-6</v>
      </c>
      <c r="L120" s="419">
        <f>I120*'Standard values'!$D$10+J120*'Standard values'!$D$11+K120*'Standard values'!$D$12</f>
        <v>0.10902343666666665</v>
      </c>
      <c r="M120" s="379"/>
      <c r="N120" s="561">
        <f>L120/$E$71</f>
        <v>3.9008825251282042</v>
      </c>
      <c r="O120" s="390"/>
    </row>
    <row r="121" spans="1:15" x14ac:dyDescent="0.2">
      <c r="A121" s="503"/>
      <c r="B121" s="499"/>
      <c r="C121" s="495"/>
      <c r="D121" s="495"/>
      <c r="E121" s="503"/>
      <c r="F121" s="495"/>
      <c r="G121" s="495"/>
      <c r="H121" s="514" t="s">
        <v>1047</v>
      </c>
      <c r="I121" s="583">
        <f>SUM(I113:I120)</f>
        <v>3.6422171835773951</v>
      </c>
      <c r="J121" s="583">
        <f>SUM(J113:J120)</f>
        <v>5.7743542342342377E-4</v>
      </c>
      <c r="K121" s="583">
        <f>SUM(K113:K120)</f>
        <v>8.7837272727272711E-6</v>
      </c>
      <c r="L121" s="516">
        <f>I121*'Standard values'!$D$10+J121*'Standard values'!$D$11+K121*'Standard values'!$D$12</f>
        <v>3.6592706198902532</v>
      </c>
      <c r="M121" s="379"/>
      <c r="N121" s="545">
        <f>L121/$E$71</f>
        <v>130.92950701497432</v>
      </c>
      <c r="O121" s="390"/>
    </row>
    <row r="122" spans="1:15" x14ac:dyDescent="0.2">
      <c r="A122" s="503"/>
      <c r="B122" s="495"/>
      <c r="C122" s="495"/>
      <c r="D122" s="495"/>
      <c r="E122" s="503"/>
      <c r="F122" s="495"/>
      <c r="G122" s="495"/>
      <c r="H122" s="548"/>
      <c r="I122" s="544"/>
      <c r="J122" s="544"/>
      <c r="K122" s="544"/>
      <c r="L122" s="516"/>
      <c r="M122" s="379"/>
      <c r="N122" s="390"/>
      <c r="O122" s="390"/>
    </row>
    <row r="123" spans="1:15" ht="14.25" x14ac:dyDescent="0.25">
      <c r="A123" s="519"/>
      <c r="B123" s="520"/>
      <c r="C123" s="520"/>
      <c r="D123" s="520"/>
      <c r="E123" s="519"/>
      <c r="F123" s="521"/>
      <c r="G123" s="521"/>
      <c r="H123" s="521" t="s">
        <v>534</v>
      </c>
      <c r="I123" s="520"/>
      <c r="J123" s="523" t="s">
        <v>675</v>
      </c>
      <c r="K123" s="549"/>
      <c r="L123" s="525">
        <f>L121</f>
        <v>3.6592706198902532</v>
      </c>
      <c r="M123" s="379"/>
      <c r="N123" s="390"/>
      <c r="O123" s="390"/>
    </row>
    <row r="124" spans="1:15" x14ac:dyDescent="0.2">
      <c r="A124" s="390"/>
      <c r="B124" s="390"/>
      <c r="C124" s="390"/>
      <c r="D124" s="379"/>
      <c r="E124" s="379"/>
      <c r="F124" s="551"/>
      <c r="G124" s="551"/>
      <c r="H124" s="437"/>
      <c r="I124" s="378"/>
      <c r="J124" s="379"/>
      <c r="K124" s="379"/>
      <c r="L124" s="586"/>
      <c r="M124" s="379"/>
      <c r="N124" s="379"/>
      <c r="O124" s="379"/>
    </row>
    <row r="125" spans="1:15" x14ac:dyDescent="0.2">
      <c r="A125" s="390"/>
      <c r="B125" s="390"/>
      <c r="C125" s="390"/>
      <c r="D125" s="379"/>
      <c r="E125" s="379"/>
      <c r="F125" s="551"/>
      <c r="G125" s="551"/>
      <c r="H125" s="437"/>
      <c r="I125" s="378"/>
      <c r="J125" s="379"/>
      <c r="K125" s="379"/>
      <c r="L125" s="586"/>
      <c r="M125" s="379"/>
      <c r="N125" s="379"/>
      <c r="O125" s="379"/>
    </row>
    <row r="126" spans="1:15" ht="15.75" x14ac:dyDescent="0.25">
      <c r="A126" s="530" t="s">
        <v>341</v>
      </c>
      <c r="B126" s="531"/>
      <c r="C126" s="531"/>
      <c r="D126" s="531"/>
      <c r="E126" s="530" t="s">
        <v>513</v>
      </c>
      <c r="F126" s="532"/>
      <c r="G126" s="532"/>
      <c r="H126" s="531"/>
      <c r="I126" s="532" t="s">
        <v>532</v>
      </c>
      <c r="J126" s="533"/>
      <c r="K126" s="533"/>
      <c r="L126" s="534"/>
      <c r="M126" s="379"/>
      <c r="N126" s="535" t="s">
        <v>162</v>
      </c>
      <c r="O126" s="379"/>
    </row>
    <row r="127" spans="1:15" x14ac:dyDescent="0.2">
      <c r="A127" s="503"/>
      <c r="B127" s="511" t="s">
        <v>524</v>
      </c>
      <c r="C127" s="495"/>
      <c r="D127" s="495"/>
      <c r="E127" s="553"/>
      <c r="F127" s="499"/>
      <c r="G127" s="499"/>
      <c r="H127" s="495"/>
      <c r="I127" s="492" t="s">
        <v>674</v>
      </c>
      <c r="J127" s="514"/>
      <c r="K127" s="514"/>
      <c r="L127" s="537"/>
      <c r="M127" s="379"/>
      <c r="N127" s="554" t="s">
        <v>539</v>
      </c>
      <c r="O127" s="379"/>
    </row>
    <row r="128" spans="1:15" ht="15.75" x14ac:dyDescent="0.3">
      <c r="A128" s="503"/>
      <c r="B128" s="495" t="s">
        <v>668</v>
      </c>
      <c r="C128" s="676">
        <v>0.96703296703296693</v>
      </c>
      <c r="D128" s="495" t="s">
        <v>346</v>
      </c>
      <c r="E128" s="553">
        <f>E110*C128</f>
        <v>151165.26276923073</v>
      </c>
      <c r="F128" s="499" t="s">
        <v>671</v>
      </c>
      <c r="G128" s="499"/>
      <c r="H128" s="495"/>
      <c r="I128" s="539" t="s">
        <v>1053</v>
      </c>
      <c r="J128" s="539" t="s">
        <v>1054</v>
      </c>
      <c r="K128" s="539" t="s">
        <v>1055</v>
      </c>
      <c r="L128" s="540" t="s">
        <v>1056</v>
      </c>
      <c r="M128" s="379"/>
      <c r="N128" s="540" t="s">
        <v>1056</v>
      </c>
      <c r="O128" s="379"/>
    </row>
    <row r="129" spans="1:15" ht="15.75" x14ac:dyDescent="0.3">
      <c r="A129" s="563"/>
      <c r="B129" s="495"/>
      <c r="C129" s="564"/>
      <c r="D129" s="674"/>
      <c r="E129" s="505">
        <f>E111*C128</f>
        <v>0.50227692307692295</v>
      </c>
      <c r="F129" s="506" t="s">
        <v>417</v>
      </c>
      <c r="G129" s="506"/>
      <c r="H129" s="495"/>
      <c r="I129" s="495"/>
      <c r="J129" s="495"/>
      <c r="K129" s="495"/>
      <c r="L129" s="541"/>
      <c r="M129" s="379"/>
      <c r="N129" s="541"/>
      <c r="O129" s="379"/>
    </row>
    <row r="130" spans="1:15" ht="15.75" x14ac:dyDescent="0.3">
      <c r="A130" s="563"/>
      <c r="B130" s="506"/>
      <c r="C130" s="564"/>
      <c r="D130" s="506"/>
      <c r="E130" s="557">
        <f>E128/$E$217/VLOOKUP($B128,'Standard values'!$C$9:$S$162,14, FALSE)</f>
        <v>2.2727272727272728E-2</v>
      </c>
      <c r="F130" s="499" t="s">
        <v>538</v>
      </c>
      <c r="G130" s="499"/>
      <c r="H130" s="495"/>
      <c r="I130" s="495"/>
      <c r="J130" s="495"/>
      <c r="K130" s="495"/>
      <c r="L130" s="541"/>
      <c r="M130" s="379"/>
      <c r="N130" s="562"/>
      <c r="O130" s="379"/>
    </row>
    <row r="131" spans="1:15" x14ac:dyDescent="0.2">
      <c r="A131" s="503"/>
      <c r="B131" s="511" t="s">
        <v>525</v>
      </c>
      <c r="C131" s="495"/>
      <c r="D131" s="495"/>
      <c r="E131" s="513"/>
      <c r="F131" s="495"/>
      <c r="G131" s="495"/>
      <c r="H131" s="495"/>
      <c r="I131" s="495"/>
      <c r="J131" s="495"/>
      <c r="K131" s="495"/>
      <c r="L131" s="541"/>
      <c r="M131" s="379"/>
      <c r="N131" s="562"/>
      <c r="O131" s="379"/>
    </row>
    <row r="132" spans="1:15" ht="15.75" x14ac:dyDescent="0.3">
      <c r="A132" s="503"/>
      <c r="B132" s="1301" t="s">
        <v>50</v>
      </c>
      <c r="C132" s="676">
        <f>1.4*-0.00150545454545455</f>
        <v>-2.1076363636363701E-3</v>
      </c>
      <c r="D132" s="495" t="s">
        <v>670</v>
      </c>
      <c r="E132" s="503"/>
      <c r="F132" s="495"/>
      <c r="G132" s="495"/>
      <c r="H132" s="495"/>
      <c r="I132" s="544">
        <f>$C132*$E$129*VLOOKUP($B132,'Standard values'!$C$9:$S$162,7, FALSE)/$E$218</f>
        <v>-0.25157204290909169</v>
      </c>
      <c r="J132" s="544">
        <f>$C132*$E$129*VLOOKUP($B132,'Standard values'!$C$9:$S$162,8, FALSE)/$E$218</f>
        <v>-6.1349781818182E-4</v>
      </c>
      <c r="K132" s="544">
        <f>$C132*$E$129*VLOOKUP($B132,'Standard values'!$C$9:$S$162,9, FALSE)/$E$218</f>
        <v>-1.1357818181818217E-5</v>
      </c>
      <c r="L132" s="419">
        <f>I132*'Standard values'!$D$10+J132*'Standard values'!$D$11+K132*'Standard values'!$D$12</f>
        <v>-0.27029411818181903</v>
      </c>
      <c r="M132" s="379"/>
      <c r="N132" s="561">
        <f>L132/$E$130</f>
        <v>-11.892941200000037</v>
      </c>
      <c r="O132" s="379"/>
    </row>
    <row r="133" spans="1:15" ht="15.75" x14ac:dyDescent="0.3">
      <c r="A133" s="503"/>
      <c r="B133" s="495" t="s">
        <v>827</v>
      </c>
      <c r="C133" s="676">
        <f>1.4*-0.00795454545454546</f>
        <v>-1.1136363636363644E-2</v>
      </c>
      <c r="D133" s="495" t="s">
        <v>670</v>
      </c>
      <c r="E133" s="503"/>
      <c r="F133" s="495"/>
      <c r="G133" s="495"/>
      <c r="H133" s="495"/>
      <c r="I133" s="544"/>
      <c r="J133" s="544"/>
      <c r="K133" s="544"/>
      <c r="L133" s="419"/>
      <c r="M133" s="379"/>
      <c r="N133" s="562"/>
      <c r="O133" s="379"/>
    </row>
    <row r="134" spans="1:15" x14ac:dyDescent="0.2">
      <c r="A134" s="503"/>
      <c r="B134" s="571" t="s">
        <v>729</v>
      </c>
      <c r="C134" s="566"/>
      <c r="D134" s="566"/>
      <c r="E134" s="567"/>
      <c r="F134" s="568"/>
      <c r="G134" s="568"/>
      <c r="H134" s="568"/>
      <c r="I134" s="569" t="s">
        <v>830</v>
      </c>
      <c r="J134" s="568"/>
      <c r="K134" s="568"/>
      <c r="L134" s="688"/>
      <c r="M134" s="379"/>
      <c r="N134" s="562"/>
      <c r="O134" s="379"/>
    </row>
    <row r="135" spans="1:15" ht="15.75" x14ac:dyDescent="0.3">
      <c r="A135" s="503"/>
      <c r="B135" s="679" t="s">
        <v>826</v>
      </c>
      <c r="C135" s="573"/>
      <c r="D135" s="566"/>
      <c r="E135" s="567"/>
      <c r="F135" s="568"/>
      <c r="G135" s="568"/>
      <c r="H135" s="568"/>
      <c r="I135" s="574">
        <f>$C133*$E$129*VLOOKUP($B135,'Standard values'!$C$9:$S$159,7, FALSE)/$E$218</f>
        <v>0</v>
      </c>
      <c r="J135" s="574">
        <f>$C133*$E$129*VLOOKUP($B135,'Standard values'!$C$9:$S$159,8, FALSE)/$E$218</f>
        <v>-3.0934343434343449E-5</v>
      </c>
      <c r="K135" s="574">
        <f>$C133*$E$129*VLOOKUP($B135,'Standard values'!$C$9:$S$159,9, FALSE)/$E$218</f>
        <v>-1.237373737373738E-5</v>
      </c>
      <c r="L135" s="575">
        <f>I135*'Standard values'!$D$10+J135*'Standard values'!$D$11+K135*'Standard values'!$D$12</f>
        <v>-4.4607323232323257E-3</v>
      </c>
      <c r="M135" s="379"/>
      <c r="N135" s="561">
        <f>L135/$E$130</f>
        <v>-0.19627222222222232</v>
      </c>
      <c r="O135" s="379"/>
    </row>
    <row r="136" spans="1:15" ht="14.25" x14ac:dyDescent="0.25">
      <c r="A136" s="503"/>
      <c r="B136" s="582" t="s">
        <v>828</v>
      </c>
      <c r="C136" s="536">
        <f>1/0.9</f>
        <v>1.1111111111111112</v>
      </c>
      <c r="D136" s="568" t="s">
        <v>419</v>
      </c>
      <c r="E136" s="567"/>
      <c r="F136" s="568"/>
      <c r="G136" s="568"/>
      <c r="H136" s="568"/>
      <c r="I136" s="574"/>
      <c r="J136" s="581"/>
      <c r="K136" s="581"/>
      <c r="L136" s="575"/>
      <c r="M136" s="379"/>
      <c r="N136" s="562"/>
      <c r="O136" s="379"/>
    </row>
    <row r="137" spans="1:15" ht="29.25" customHeight="1" x14ac:dyDescent="0.3">
      <c r="A137" s="503"/>
      <c r="B137" s="680" t="s">
        <v>158</v>
      </c>
      <c r="C137" s="573">
        <f>C136*C133</f>
        <v>-1.2373737373737382E-2</v>
      </c>
      <c r="D137" s="568" t="s">
        <v>670</v>
      </c>
      <c r="E137" s="567"/>
      <c r="F137" s="568"/>
      <c r="G137" s="568"/>
      <c r="H137" s="568"/>
      <c r="I137" s="574">
        <f>$C137*$E$129*VLOOKUP($B137,'Standard values'!$C$9:$S$162,7, FALSE)/$E$218</f>
        <v>-0.77910000000000035</v>
      </c>
      <c r="J137" s="574">
        <f>$C137*$E$129*VLOOKUP($B137,'Standard values'!$C$9:$S$162,8, FALSE)/$E$218</f>
        <v>-2.4517185746352425E-3</v>
      </c>
      <c r="K137" s="574">
        <f>$C137*$E$129*VLOOKUP($B137,'Standard values'!$C$9:$S$162,9, FALSE)/$E$218</f>
        <v>-2.7497194163860846E-6</v>
      </c>
      <c r="L137" s="575">
        <f>I137*'Standard values'!$D$10+J137*'Standard values'!$D$11+K137*'Standard values'!$D$12</f>
        <v>-0.84121238075196447</v>
      </c>
      <c r="M137" s="379"/>
      <c r="N137" s="561">
        <f>L137/$E$130</f>
        <v>-37.013344753086436</v>
      </c>
      <c r="O137" s="379"/>
    </row>
    <row r="138" spans="1:15" ht="14.25" x14ac:dyDescent="0.25">
      <c r="A138" s="503"/>
      <c r="B138" s="582" t="s">
        <v>829</v>
      </c>
      <c r="C138" s="536">
        <v>0.02</v>
      </c>
      <c r="D138" s="568" t="s">
        <v>419</v>
      </c>
      <c r="E138" s="567"/>
      <c r="F138" s="568"/>
      <c r="G138" s="568"/>
      <c r="H138" s="568"/>
      <c r="I138" s="574"/>
      <c r="J138" s="581"/>
      <c r="K138" s="581"/>
      <c r="L138" s="575"/>
      <c r="M138" s="379"/>
      <c r="N138" s="562"/>
      <c r="O138" s="379"/>
    </row>
    <row r="139" spans="1:15" ht="15.75" x14ac:dyDescent="0.3">
      <c r="A139" s="503"/>
      <c r="B139" s="1301" t="s">
        <v>50</v>
      </c>
      <c r="C139" s="573">
        <f>C138*C133</f>
        <v>-2.2272727272727288E-4</v>
      </c>
      <c r="D139" s="568" t="s">
        <v>670</v>
      </c>
      <c r="E139" s="567"/>
      <c r="F139" s="568"/>
      <c r="G139" s="568"/>
      <c r="H139" s="568"/>
      <c r="I139" s="574">
        <f>$C139*$E$129*VLOOKUP($B139,'Standard values'!$C$9:$S$162,7, FALSE)/$E$218</f>
        <v>-2.6585209848484861E-2</v>
      </c>
      <c r="J139" s="574">
        <f>$C139*$E$129*VLOOKUP($B139,'Standard values'!$C$9:$S$162,8, FALSE)/$E$218</f>
        <v>-6.4832196969697014E-5</v>
      </c>
      <c r="K139" s="574">
        <f>$C139*$E$129*VLOOKUP($B139,'Standard values'!$C$9:$S$162,9, FALSE)/$E$218</f>
        <v>-1.2002525252525257E-6</v>
      </c>
      <c r="L139" s="575">
        <f>I139*'Standard values'!$D$10+J139*'Standard values'!$D$11+K139*'Standard values'!$D$12</f>
        <v>-2.8563690025252539E-2</v>
      </c>
      <c r="M139" s="379"/>
      <c r="N139" s="561">
        <f>L139/$E$130</f>
        <v>-1.2568023611111117</v>
      </c>
      <c r="O139" s="379"/>
    </row>
    <row r="140" spans="1:15" x14ac:dyDescent="0.2">
      <c r="A140" s="503"/>
      <c r="B140" s="495"/>
      <c r="C140" s="499"/>
      <c r="D140" s="495"/>
      <c r="E140" s="503"/>
      <c r="F140" s="495"/>
      <c r="G140" s="495"/>
      <c r="H140" s="495"/>
      <c r="I140" s="544"/>
      <c r="J140" s="544"/>
      <c r="K140" s="544"/>
      <c r="L140" s="419"/>
      <c r="M140" s="379"/>
      <c r="N140" s="562"/>
      <c r="O140" s="379"/>
    </row>
    <row r="141" spans="1:15" x14ac:dyDescent="0.2">
      <c r="A141" s="503"/>
      <c r="B141" s="511" t="s">
        <v>641</v>
      </c>
      <c r="C141" s="499"/>
      <c r="D141" s="495"/>
      <c r="E141" s="503"/>
      <c r="F141" s="495"/>
      <c r="G141" s="495"/>
      <c r="H141" s="495"/>
      <c r="I141" s="544"/>
      <c r="J141" s="544"/>
      <c r="K141" s="544"/>
      <c r="L141" s="419"/>
      <c r="M141" s="379"/>
      <c r="N141" s="562"/>
      <c r="O141" s="379"/>
    </row>
    <row r="142" spans="1:15" ht="15.75" x14ac:dyDescent="0.3">
      <c r="A142" s="503"/>
      <c r="B142" s="674" t="s">
        <v>1109</v>
      </c>
      <c r="C142" s="676">
        <f>1.4*0.0856818181818182</f>
        <v>0.11995454545454548</v>
      </c>
      <c r="D142" s="495" t="s">
        <v>670</v>
      </c>
      <c r="E142" s="503"/>
      <c r="F142" s="495"/>
      <c r="G142" s="495"/>
      <c r="H142" s="495"/>
      <c r="I142" s="544">
        <f>$C142*$E$129*VLOOKUP($B142,'Standard values'!$C$9:$S$162,7, FALSE)/$E$218</f>
        <v>9.7005408270202018</v>
      </c>
      <c r="J142" s="544">
        <f>$C142*$E$129*VLOOKUP($B142,'Standard values'!$C$9:$S$162,8, FALSE)/$E$218</f>
        <v>3.3164099747474744E-2</v>
      </c>
      <c r="K142" s="544">
        <f>$C142*$E$129*VLOOKUP($B142,'Standard values'!$C$9:$S$162,9, FALSE)/$E$218</f>
        <v>3.6652777777777778E-5</v>
      </c>
      <c r="L142" s="419">
        <f>I142*'Standard values'!$D$10+J142*'Standard values'!$D$11+K142*'Standard values'!$D$12</f>
        <v>10.540565848484848</v>
      </c>
      <c r="M142" s="379"/>
      <c r="N142" s="561">
        <f>L142/$E$130</f>
        <v>463.78489733333328</v>
      </c>
      <c r="O142" s="379"/>
    </row>
    <row r="143" spans="1:15" x14ac:dyDescent="0.2">
      <c r="A143" s="503"/>
      <c r="B143" s="682"/>
      <c r="C143" s="499"/>
      <c r="D143" s="499"/>
      <c r="E143" s="681"/>
      <c r="F143" s="495"/>
      <c r="G143" s="495"/>
      <c r="H143" s="514" t="s">
        <v>1047</v>
      </c>
      <c r="I143" s="583">
        <f>SUM(I129:I142)</f>
        <v>8.6432835742626253</v>
      </c>
      <c r="J143" s="583">
        <f>SUM(J129:J142)</f>
        <v>3.000311681425364E-2</v>
      </c>
      <c r="K143" s="583">
        <f>SUM(K129:K142)</f>
        <v>8.9712502805835736E-6</v>
      </c>
      <c r="L143" s="516">
        <f>I143*'Standard values'!$D$10+J143*'Standard values'!$D$11+K143*'Standard values'!$D$12</f>
        <v>9.3960349272025798</v>
      </c>
      <c r="M143" s="379"/>
      <c r="N143" s="545">
        <f>L143/$E$130</f>
        <v>413.42553679691349</v>
      </c>
      <c r="O143" s="379"/>
    </row>
    <row r="144" spans="1:15" x14ac:dyDescent="0.2">
      <c r="A144" s="503"/>
      <c r="B144" s="682"/>
      <c r="C144" s="499"/>
      <c r="D144" s="499"/>
      <c r="E144" s="503"/>
      <c r="F144" s="495"/>
      <c r="G144" s="495"/>
      <c r="H144" s="495"/>
      <c r="I144" s="495"/>
      <c r="J144" s="495"/>
      <c r="K144" s="495"/>
      <c r="L144" s="541"/>
      <c r="M144" s="379"/>
      <c r="N144" s="390"/>
      <c r="O144" s="379"/>
    </row>
    <row r="145" spans="1:15" ht="14.25" x14ac:dyDescent="0.25">
      <c r="A145" s="519"/>
      <c r="B145" s="520"/>
      <c r="C145" s="520"/>
      <c r="D145" s="520"/>
      <c r="E145" s="519"/>
      <c r="F145" s="521"/>
      <c r="G145" s="521"/>
      <c r="H145" s="521" t="s">
        <v>534</v>
      </c>
      <c r="I145" s="520"/>
      <c r="J145" s="523" t="s">
        <v>675</v>
      </c>
      <c r="K145" s="549"/>
      <c r="L145" s="525">
        <f>L143</f>
        <v>9.3960349272025798</v>
      </c>
      <c r="M145" s="379"/>
      <c r="N145" s="642"/>
      <c r="O145" s="379"/>
    </row>
    <row r="146" spans="1:15" x14ac:dyDescent="0.2">
      <c r="A146" s="390"/>
      <c r="B146" s="390"/>
      <c r="C146" s="390"/>
      <c r="D146" s="379"/>
      <c r="E146" s="379"/>
      <c r="F146" s="551"/>
      <c r="G146" s="551"/>
      <c r="H146" s="437"/>
      <c r="I146" s="378"/>
      <c r="J146" s="379"/>
      <c r="K146" s="379"/>
      <c r="L146" s="586"/>
      <c r="M146" s="379"/>
      <c r="N146" s="379"/>
      <c r="O146" s="379"/>
    </row>
    <row r="147" spans="1:15" x14ac:dyDescent="0.2">
      <c r="A147" s="375"/>
      <c r="B147" s="585"/>
      <c r="C147" s="386"/>
      <c r="D147" s="390"/>
      <c r="E147" s="379"/>
      <c r="F147" s="379"/>
      <c r="G147" s="379"/>
      <c r="H147" s="379"/>
      <c r="I147" s="379"/>
      <c r="J147" s="591"/>
      <c r="K147" s="379"/>
      <c r="L147" s="379"/>
      <c r="M147" s="379"/>
      <c r="N147" s="379"/>
      <c r="O147" s="379"/>
    </row>
    <row r="148" spans="1:15" ht="15.75" x14ac:dyDescent="0.25">
      <c r="A148" s="530" t="s">
        <v>813</v>
      </c>
      <c r="B148" s="532"/>
      <c r="C148" s="531"/>
      <c r="D148" s="531"/>
      <c r="E148" s="530" t="s">
        <v>513</v>
      </c>
      <c r="F148" s="532"/>
      <c r="G148" s="532"/>
      <c r="H148" s="531"/>
      <c r="I148" s="532" t="s">
        <v>532</v>
      </c>
      <c r="J148" s="533"/>
      <c r="K148" s="533"/>
      <c r="L148" s="534"/>
      <c r="M148" s="379"/>
      <c r="N148" s="535" t="s">
        <v>162</v>
      </c>
      <c r="O148" s="379"/>
    </row>
    <row r="149" spans="1:15" ht="15.75" x14ac:dyDescent="0.3">
      <c r="A149" s="503"/>
      <c r="B149" s="511" t="s">
        <v>668</v>
      </c>
      <c r="C149" s="593">
        <v>1</v>
      </c>
      <c r="D149" s="495" t="s">
        <v>669</v>
      </c>
      <c r="E149" s="513">
        <f>E128*C149</f>
        <v>151165.26276923073</v>
      </c>
      <c r="F149" s="499" t="s">
        <v>671</v>
      </c>
      <c r="G149" s="499"/>
      <c r="H149" s="594"/>
      <c r="I149" s="492" t="s">
        <v>674</v>
      </c>
      <c r="J149" s="514"/>
      <c r="K149" s="514"/>
      <c r="L149" s="537"/>
      <c r="M149" s="379"/>
      <c r="N149" s="554" t="s">
        <v>539</v>
      </c>
      <c r="O149" s="379"/>
    </row>
    <row r="150" spans="1:15" ht="15.75" x14ac:dyDescent="0.3">
      <c r="A150" s="503"/>
      <c r="B150" s="495"/>
      <c r="C150" s="689"/>
      <c r="D150" s="495"/>
      <c r="E150" s="505">
        <f>E129*C149</f>
        <v>0.50227692307692295</v>
      </c>
      <c r="F150" s="506" t="s">
        <v>417</v>
      </c>
      <c r="G150" s="506"/>
      <c r="H150" s="594"/>
      <c r="I150" s="539" t="s">
        <v>1053</v>
      </c>
      <c r="J150" s="539" t="s">
        <v>1054</v>
      </c>
      <c r="K150" s="539" t="s">
        <v>1055</v>
      </c>
      <c r="L150" s="540" t="s">
        <v>1056</v>
      </c>
      <c r="M150" s="379"/>
      <c r="N150" s="540" t="s">
        <v>1056</v>
      </c>
      <c r="O150" s="379"/>
    </row>
    <row r="151" spans="1:15" x14ac:dyDescent="0.2">
      <c r="A151" s="503"/>
      <c r="B151" s="511" t="s">
        <v>498</v>
      </c>
      <c r="C151" s="689"/>
      <c r="D151" s="495"/>
      <c r="E151" s="513"/>
      <c r="F151" s="495"/>
      <c r="G151" s="495"/>
      <c r="H151" s="495"/>
      <c r="I151" s="495"/>
      <c r="J151" s="495"/>
      <c r="K151" s="495"/>
      <c r="L151" s="541"/>
      <c r="M151" s="379"/>
      <c r="N151" s="541"/>
      <c r="O151" s="379"/>
    </row>
    <row r="152" spans="1:15" ht="15.75" x14ac:dyDescent="0.3">
      <c r="A152" s="503"/>
      <c r="B152" s="495" t="s">
        <v>159</v>
      </c>
      <c r="C152" s="595">
        <v>150</v>
      </c>
      <c r="D152" s="495" t="s">
        <v>510</v>
      </c>
      <c r="E152" s="543">
        <f>(C152*E150/VLOOKUP($B149,'Standard values'!$C$9:$S$162,14, FALSE))/1000</f>
        <v>1.712307692307692E-3</v>
      </c>
      <c r="F152" s="495" t="s">
        <v>245</v>
      </c>
      <c r="G152" s="495"/>
      <c r="H152" s="495"/>
      <c r="I152" s="544">
        <f>$E152*VLOOKUP($B152,'Standard values'!$C$9:$S$162,15, FALSE)*VLOOKUP(C153,'Standard values'!$C$9:$S$162,7, FALSE)/$E$218</f>
        <v>0.30115909090909088</v>
      </c>
      <c r="J152" s="544">
        <f>$E152*((VLOOKUP($B152,'Standard values'!$C$9:$S$162,15, FALSE)*VLOOKUP(C153,'Standard values'!$C$9:$S$162,8, FALSE))+VLOOKUP($B152,'Standard values'!$C$9:$S$162,16, FALSE))/$E$218</f>
        <v>1.7045454545454543E-5</v>
      </c>
      <c r="K152" s="544">
        <f>$E152*((VLOOKUP($B152,'Standard values'!$C$9:$S$162,15, FALSE)*VLOOKUP(C153,'Standard values'!$C$9:$S$162,9, FALSE))+VLOOKUP($B152,'Standard values'!$C$9:$S$162,17, FALSE))/$E$218</f>
        <v>0</v>
      </c>
      <c r="L152" s="516">
        <f>I152*'Standard values'!$D$10+J152*'Standard values'!$D$11+K152*'Standard values'!$D$12</f>
        <v>0.30158522727272724</v>
      </c>
      <c r="M152" s="379"/>
      <c r="N152" s="562">
        <f>L152/$E$130</f>
        <v>13.269749999999998</v>
      </c>
      <c r="O152" s="379"/>
    </row>
    <row r="153" spans="1:15" x14ac:dyDescent="0.2">
      <c r="A153" s="503"/>
      <c r="B153" s="546" t="s">
        <v>54</v>
      </c>
      <c r="C153" s="673" t="s">
        <v>509</v>
      </c>
      <c r="D153" s="495"/>
      <c r="E153" s="503"/>
      <c r="F153" s="495"/>
      <c r="G153" s="495"/>
      <c r="H153" s="495"/>
      <c r="I153" s="544"/>
      <c r="J153" s="544"/>
      <c r="K153" s="544"/>
      <c r="L153" s="516"/>
      <c r="M153" s="379"/>
      <c r="N153" s="562"/>
      <c r="O153" s="379"/>
    </row>
    <row r="154" spans="1:15" x14ac:dyDescent="0.2">
      <c r="A154" s="503"/>
      <c r="B154" s="495"/>
      <c r="C154" s="689"/>
      <c r="D154" s="495"/>
      <c r="E154" s="543"/>
      <c r="F154" s="495"/>
      <c r="G154" s="495"/>
      <c r="H154" s="495"/>
      <c r="I154" s="544"/>
      <c r="J154" s="544"/>
      <c r="K154" s="544"/>
      <c r="L154" s="516"/>
      <c r="M154" s="379"/>
      <c r="N154" s="562"/>
      <c r="O154" s="379"/>
    </row>
    <row r="155" spans="1:15" x14ac:dyDescent="0.2">
      <c r="A155" s="503"/>
      <c r="B155" s="511" t="s">
        <v>444</v>
      </c>
      <c r="C155" s="689"/>
      <c r="D155" s="495"/>
      <c r="E155" s="503"/>
      <c r="F155" s="495"/>
      <c r="G155" s="495"/>
      <c r="H155" s="495"/>
      <c r="I155" s="544"/>
      <c r="J155" s="544"/>
      <c r="K155" s="544"/>
      <c r="L155" s="584"/>
      <c r="M155" s="379"/>
      <c r="N155" s="562"/>
      <c r="O155" s="379"/>
    </row>
    <row r="156" spans="1:15" ht="15.75" x14ac:dyDescent="0.3">
      <c r="A156" s="590"/>
      <c r="B156" s="1301" t="s">
        <v>49</v>
      </c>
      <c r="C156" s="542">
        <v>8.4000000000000003E-4</v>
      </c>
      <c r="D156" s="495" t="s">
        <v>848</v>
      </c>
      <c r="E156" s="503"/>
      <c r="F156" s="495"/>
      <c r="G156" s="495"/>
      <c r="H156" s="495"/>
      <c r="I156" s="544">
        <f>$C156*$E$150*VLOOKUP($B156,'Standard values'!$C$9:$S$162,7, FALSE)/$E$218</f>
        <v>0.10146737999999998</v>
      </c>
      <c r="J156" s="544">
        <f>$C156*$E$150*VLOOKUP($B156,'Standard values'!$C$9:$S$162,8, FALSE)/$E$218</f>
        <v>2.4744999999999997E-4</v>
      </c>
      <c r="K156" s="544">
        <f>$C156*$E$150*VLOOKUP($B156,'Standard values'!$C$9:$S$162,9, FALSE)/$E$218</f>
        <v>4.5966666666666661E-6</v>
      </c>
      <c r="L156" s="516">
        <f>I156*'Standard values'!$D$10+J156*'Standard values'!$D$11+K156*'Standard values'!$D$12</f>
        <v>0.10902343666666665</v>
      </c>
      <c r="M156" s="379"/>
      <c r="N156" s="562">
        <f>L156/$E$130</f>
        <v>4.7970312133333328</v>
      </c>
      <c r="O156" s="379"/>
    </row>
    <row r="157" spans="1:15" ht="14.25" x14ac:dyDescent="0.25">
      <c r="A157" s="519"/>
      <c r="B157" s="520"/>
      <c r="C157" s="520"/>
      <c r="D157" s="520"/>
      <c r="E157" s="519"/>
      <c r="F157" s="521"/>
      <c r="G157" s="521"/>
      <c r="H157" s="521" t="s">
        <v>534</v>
      </c>
      <c r="I157" s="520"/>
      <c r="J157" s="523" t="s">
        <v>675</v>
      </c>
      <c r="K157" s="549"/>
      <c r="L157" s="525">
        <f>L156+L152</f>
        <v>0.41060866393939388</v>
      </c>
      <c r="M157" s="379"/>
      <c r="N157" s="545">
        <f>L157/$E$130</f>
        <v>18.066781213333329</v>
      </c>
      <c r="O157" s="379"/>
    </row>
    <row r="158" spans="1:15" x14ac:dyDescent="0.2">
      <c r="A158" s="390"/>
      <c r="B158" s="390"/>
      <c r="C158" s="390"/>
      <c r="D158" s="390"/>
      <c r="E158" s="390"/>
      <c r="F158" s="376"/>
      <c r="G158" s="376"/>
      <c r="H158" s="376"/>
      <c r="I158" s="390"/>
      <c r="J158" s="550"/>
      <c r="K158" s="551"/>
      <c r="L158" s="552"/>
      <c r="M158" s="379"/>
      <c r="N158" s="379"/>
      <c r="O158" s="379"/>
    </row>
    <row r="159" spans="1:15" x14ac:dyDescent="0.2">
      <c r="A159" s="390"/>
      <c r="B159" s="390"/>
      <c r="C159" s="390"/>
      <c r="D159" s="390"/>
      <c r="E159" s="390"/>
      <c r="F159" s="376"/>
      <c r="G159" s="376"/>
      <c r="H159" s="376"/>
      <c r="I159" s="390"/>
      <c r="J159" s="550"/>
      <c r="K159" s="551"/>
      <c r="L159" s="552"/>
      <c r="M159" s="379"/>
      <c r="N159" s="379"/>
      <c r="O159" s="379"/>
    </row>
    <row r="160" spans="1:15" ht="15.75" x14ac:dyDescent="0.25">
      <c r="A160" s="530" t="s">
        <v>810</v>
      </c>
      <c r="B160" s="531"/>
      <c r="C160" s="531"/>
      <c r="D160" s="531"/>
      <c r="E160" s="530" t="s">
        <v>513</v>
      </c>
      <c r="F160" s="531"/>
      <c r="G160" s="531"/>
      <c r="H160" s="531"/>
      <c r="I160" s="531"/>
      <c r="J160" s="531"/>
      <c r="K160" s="531"/>
      <c r="L160" s="596"/>
      <c r="M160" s="379"/>
      <c r="N160" s="535" t="s">
        <v>162</v>
      </c>
      <c r="O160" s="379"/>
    </row>
    <row r="161" spans="1:15" ht="15.75" x14ac:dyDescent="0.3">
      <c r="A161" s="503"/>
      <c r="B161" s="511" t="s">
        <v>668</v>
      </c>
      <c r="C161" s="593">
        <v>1</v>
      </c>
      <c r="D161" s="495" t="s">
        <v>669</v>
      </c>
      <c r="E161" s="513">
        <f>E149*C161</f>
        <v>151165.26276923073</v>
      </c>
      <c r="F161" s="499" t="s">
        <v>671</v>
      </c>
      <c r="G161" s="499"/>
      <c r="H161" s="495"/>
      <c r="I161" s="492" t="s">
        <v>674</v>
      </c>
      <c r="J161" s="514"/>
      <c r="K161" s="514"/>
      <c r="L161" s="537"/>
      <c r="M161" s="379"/>
      <c r="N161" s="554" t="s">
        <v>539</v>
      </c>
      <c r="O161" s="379"/>
    </row>
    <row r="162" spans="1:15" ht="15.75" x14ac:dyDescent="0.3">
      <c r="A162" s="503"/>
      <c r="B162" s="495"/>
      <c r="C162" s="689"/>
      <c r="D162" s="495"/>
      <c r="E162" s="505">
        <f>E150*C161</f>
        <v>0.50227692307692295</v>
      </c>
      <c r="F162" s="506" t="s">
        <v>417</v>
      </c>
      <c r="G162" s="506"/>
      <c r="H162" s="495"/>
      <c r="I162" s="539" t="s">
        <v>1053</v>
      </c>
      <c r="J162" s="539" t="s">
        <v>1054</v>
      </c>
      <c r="K162" s="539" t="s">
        <v>1055</v>
      </c>
      <c r="L162" s="540" t="s">
        <v>1056</v>
      </c>
      <c r="M162" s="379"/>
      <c r="N162" s="540" t="s">
        <v>1056</v>
      </c>
      <c r="O162" s="379"/>
    </row>
    <row r="163" spans="1:15" x14ac:dyDescent="0.2">
      <c r="A163" s="503"/>
      <c r="B163" s="511" t="s">
        <v>498</v>
      </c>
      <c r="C163" s="689"/>
      <c r="D163" s="495"/>
      <c r="E163" s="513"/>
      <c r="F163" s="495"/>
      <c r="G163" s="495"/>
      <c r="H163" s="495"/>
      <c r="I163" s="495"/>
      <c r="J163" s="495"/>
      <c r="K163" s="495"/>
      <c r="L163" s="541"/>
      <c r="M163" s="379"/>
      <c r="N163" s="541"/>
      <c r="O163" s="379"/>
    </row>
    <row r="164" spans="1:15" ht="15.75" x14ac:dyDescent="0.3">
      <c r="A164" s="503"/>
      <c r="B164" s="495" t="s">
        <v>159</v>
      </c>
      <c r="C164" s="595">
        <v>150</v>
      </c>
      <c r="D164" s="495" t="s">
        <v>510</v>
      </c>
      <c r="E164" s="543">
        <f>(C164*E162/VLOOKUP($B161,'Standard values'!$C$9:$S$162,14, FALSE))/1000</f>
        <v>1.712307692307692E-3</v>
      </c>
      <c r="F164" s="495" t="s">
        <v>245</v>
      </c>
      <c r="G164" s="495"/>
      <c r="H164" s="495"/>
      <c r="I164" s="544">
        <f>$E164*VLOOKUP($B164,'Standard values'!$C$9:$S$162,15, FALSE)*VLOOKUP(C165,'Standard values'!$C$9:$S$162,7, FALSE)/$E$218</f>
        <v>0.30115909090909088</v>
      </c>
      <c r="J164" s="544">
        <f>$E164*((VLOOKUP($B164,'Standard values'!$C$9:$S$162,15, FALSE)*VLOOKUP(C165,'Standard values'!$C$9:$S$162,8, FALSE))+VLOOKUP($B164,'Standard values'!$C$9:$S$162,16, FALSE))/$E$218</f>
        <v>1.7045454545454543E-5</v>
      </c>
      <c r="K164" s="544">
        <f>$E164*((VLOOKUP($B164,'Standard values'!$C$9:$S$162,15, FALSE)*VLOOKUP(C165,'Standard values'!$C$9:$S$162,9, FALSE))+VLOOKUP($B164,'Standard values'!$C$9:$S$162,17, FALSE))/$E$218</f>
        <v>0</v>
      </c>
      <c r="L164" s="516">
        <f>I164*'Standard values'!$D$10+J164*'Standard values'!$D$11+K164*'Standard values'!$D$12</f>
        <v>0.30158522727272724</v>
      </c>
      <c r="M164" s="379"/>
      <c r="N164" s="562">
        <f>L164/$E$130</f>
        <v>13.269749999999998</v>
      </c>
      <c r="O164" s="379"/>
    </row>
    <row r="165" spans="1:15" x14ac:dyDescent="0.2">
      <c r="A165" s="503"/>
      <c r="B165" s="546" t="s">
        <v>54</v>
      </c>
      <c r="C165" s="673" t="s">
        <v>509</v>
      </c>
      <c r="D165" s="495"/>
      <c r="E165" s="503"/>
      <c r="F165" s="495"/>
      <c r="G165" s="495"/>
      <c r="H165" s="495"/>
      <c r="I165" s="544"/>
      <c r="J165" s="544"/>
      <c r="K165" s="544"/>
      <c r="L165" s="516"/>
      <c r="M165" s="379"/>
      <c r="N165" s="562"/>
      <c r="O165" s="379"/>
    </row>
    <row r="166" spans="1:15" x14ac:dyDescent="0.2">
      <c r="A166" s="503"/>
      <c r="B166" s="495"/>
      <c r="C166" s="689"/>
      <c r="D166" s="495"/>
      <c r="E166" s="505"/>
      <c r="F166" s="506"/>
      <c r="G166" s="506"/>
      <c r="H166" s="495"/>
      <c r="I166" s="539"/>
      <c r="J166" s="539"/>
      <c r="K166" s="539"/>
      <c r="L166" s="690"/>
      <c r="M166" s="379"/>
      <c r="N166" s="540"/>
      <c r="O166" s="379"/>
    </row>
    <row r="167" spans="1:15" x14ac:dyDescent="0.2">
      <c r="A167" s="503"/>
      <c r="B167" s="511" t="s">
        <v>441</v>
      </c>
      <c r="C167" s="689"/>
      <c r="D167" s="495"/>
      <c r="E167" s="503"/>
      <c r="F167" s="495"/>
      <c r="G167" s="495"/>
      <c r="H167" s="495"/>
      <c r="I167" s="544"/>
      <c r="J167" s="544"/>
      <c r="K167" s="544"/>
      <c r="L167" s="584"/>
      <c r="M167" s="379"/>
      <c r="N167" s="541"/>
      <c r="O167" s="379"/>
    </row>
    <row r="168" spans="1:15" ht="15.75" x14ac:dyDescent="0.3">
      <c r="A168" s="503"/>
      <c r="B168" s="1301" t="s">
        <v>49</v>
      </c>
      <c r="C168" s="542">
        <v>3.3999999999999998E-3</v>
      </c>
      <c r="D168" s="495" t="s">
        <v>848</v>
      </c>
      <c r="E168" s="503"/>
      <c r="F168" s="495"/>
      <c r="G168" s="495"/>
      <c r="H168" s="495"/>
      <c r="I168" s="544">
        <f>$C168*$E$162*VLOOKUP($B168,'Standard values'!$C$9:$S$162,7, FALSE)/$E$218</f>
        <v>0.41070129999999988</v>
      </c>
      <c r="J168" s="544">
        <f>$C168*$E$162*VLOOKUP($B168,'Standard values'!$C$9:$S$162,8, FALSE)/$E$218</f>
        <v>1.0015833333333331E-3</v>
      </c>
      <c r="K168" s="544">
        <f>$C168*$E$162*VLOOKUP($B168,'Standard values'!$C$9:$S$162,9, FALSE)/$E$218</f>
        <v>1.8605555555555551E-5</v>
      </c>
      <c r="L168" s="516">
        <f>I168*'Standard values'!$D$10+J168*'Standard values'!$D$11+K168*'Standard values'!$D$12</f>
        <v>0.44128533888888877</v>
      </c>
      <c r="M168" s="379"/>
      <c r="N168" s="562">
        <f>L168/$E$130</f>
        <v>19.416554911111106</v>
      </c>
      <c r="O168" s="379"/>
    </row>
    <row r="169" spans="1:15" ht="14.25" x14ac:dyDescent="0.25">
      <c r="A169" s="519"/>
      <c r="B169" s="520"/>
      <c r="C169" s="520"/>
      <c r="D169" s="520"/>
      <c r="E169" s="519"/>
      <c r="F169" s="521"/>
      <c r="G169" s="521"/>
      <c r="H169" s="521" t="s">
        <v>534</v>
      </c>
      <c r="I169" s="520"/>
      <c r="J169" s="523" t="s">
        <v>675</v>
      </c>
      <c r="K169" s="549"/>
      <c r="L169" s="525">
        <f>L164+L168</f>
        <v>0.74287056616161595</v>
      </c>
      <c r="M169" s="379"/>
      <c r="N169" s="545">
        <f>L169/$E$130</f>
        <v>32.686304911111101</v>
      </c>
      <c r="O169" s="379"/>
    </row>
    <row r="170" spans="1:15" x14ac:dyDescent="0.2">
      <c r="A170" s="390"/>
      <c r="B170" s="390"/>
      <c r="C170" s="390"/>
      <c r="D170" s="390"/>
      <c r="E170" s="390"/>
      <c r="F170" s="376"/>
      <c r="G170" s="376"/>
      <c r="H170" s="376"/>
      <c r="I170" s="390"/>
      <c r="J170" s="550"/>
      <c r="K170" s="551"/>
      <c r="L170" s="597"/>
      <c r="M170" s="379"/>
      <c r="N170" s="642"/>
      <c r="O170" s="379"/>
    </row>
    <row r="171" spans="1:15" x14ac:dyDescent="0.2">
      <c r="A171" s="390"/>
      <c r="B171" s="390"/>
      <c r="C171" s="390"/>
      <c r="D171" s="390"/>
      <c r="E171" s="390"/>
      <c r="F171" s="376"/>
      <c r="G171" s="376"/>
      <c r="H171" s="376"/>
      <c r="I171" s="390"/>
      <c r="J171" s="550"/>
      <c r="K171" s="551"/>
      <c r="L171" s="597"/>
      <c r="M171" s="379"/>
      <c r="N171" s="379"/>
      <c r="O171" s="379"/>
    </row>
    <row r="172" spans="1:15" ht="15.75" x14ac:dyDescent="0.25">
      <c r="A172" s="530" t="s">
        <v>546</v>
      </c>
      <c r="B172" s="598"/>
      <c r="C172" s="599"/>
      <c r="D172" s="531"/>
      <c r="E172" s="600"/>
      <c r="F172" s="531"/>
      <c r="G172" s="531"/>
      <c r="H172" s="531"/>
      <c r="I172" s="531"/>
      <c r="J172" s="531"/>
      <c r="K172" s="531"/>
      <c r="L172" s="601"/>
      <c r="M172" s="379"/>
      <c r="N172" s="379"/>
      <c r="O172" s="379"/>
    </row>
    <row r="173" spans="1:15" ht="15.75" x14ac:dyDescent="0.25">
      <c r="A173" s="602"/>
      <c r="B173" s="603" t="s">
        <v>549</v>
      </c>
      <c r="C173" s="511" t="s">
        <v>908</v>
      </c>
      <c r="D173" s="495"/>
      <c r="E173" s="503"/>
      <c r="F173" s="495"/>
      <c r="G173" s="495"/>
      <c r="H173" s="495"/>
      <c r="I173" s="495"/>
      <c r="J173" s="495"/>
      <c r="K173" s="495"/>
      <c r="L173" s="537"/>
      <c r="M173" s="379"/>
      <c r="N173" s="379"/>
      <c r="O173" s="390"/>
    </row>
    <row r="174" spans="1:15" ht="15.75" customHeight="1" x14ac:dyDescent="0.25">
      <c r="A174" s="602"/>
      <c r="B174" s="511"/>
      <c r="C174" s="668"/>
      <c r="D174" s="691" t="s">
        <v>431</v>
      </c>
      <c r="E174" s="692" t="str">
        <f>IF(D176="Yes","From :  ", " ")</f>
        <v xml:space="preserve"> </v>
      </c>
      <c r="F174" s="1422" t="str">
        <f>IF(D176="Yes",LUC!H$35 &amp; " ; " &amp; LUC!H$36 &amp; " ; " &amp; LUC!H$39 &amp; " ; " &amp; LUC!H$40 &amp; " ; " &amp; LUC!H$45 &amp; " ; " &amp; LUC!H$46 &amp; " ; " &amp; LUC!H$47, " ")</f>
        <v xml:space="preserve"> </v>
      </c>
      <c r="G174" s="1422"/>
      <c r="H174" s="1422"/>
      <c r="I174" s="1422"/>
      <c r="J174" s="1422"/>
      <c r="K174" s="1422"/>
      <c r="L174" s="1423"/>
      <c r="M174" s="379"/>
      <c r="N174" s="379"/>
      <c r="O174" s="390"/>
    </row>
    <row r="175" spans="1:15" ht="15.75" x14ac:dyDescent="0.25">
      <c r="A175" s="602"/>
      <c r="B175" s="539" t="s">
        <v>450</v>
      </c>
      <c r="C175" s="693" t="s">
        <v>431</v>
      </c>
      <c r="D175" s="691" t="s">
        <v>432</v>
      </c>
      <c r="E175" s="513"/>
      <c r="F175" s="1422"/>
      <c r="G175" s="1422"/>
      <c r="H175" s="1422"/>
      <c r="I175" s="1422"/>
      <c r="J175" s="1422"/>
      <c r="K175" s="1422"/>
      <c r="L175" s="1423"/>
      <c r="M175" s="379"/>
      <c r="N175" s="379"/>
      <c r="O175" s="390"/>
    </row>
    <row r="176" spans="1:15" ht="15.75" customHeight="1" x14ac:dyDescent="0.25">
      <c r="A176" s="602"/>
      <c r="B176" s="511"/>
      <c r="C176" s="670" t="str">
        <f>IF(D176="Yes","Go to", " ")</f>
        <v xml:space="preserve"> </v>
      </c>
      <c r="D176" s="691" t="s">
        <v>432</v>
      </c>
      <c r="E176" s="692" t="str">
        <f>IF(D176="Yes","To    :   ", " ")</f>
        <v xml:space="preserve"> </v>
      </c>
      <c r="F176" s="1424" t="str">
        <f>IF(D176="Yes", LUC!D$35 &amp; " ; " &amp; LUC!D$36 &amp; " ; " &amp; LUC!D$39 &amp; " ; " &amp; LUC!D$40 &amp; " ; " &amp; LUC!D$45 &amp; " ; " &amp; LUC!D$46 &amp; " ; " &amp; LUC!D$47, " ")</f>
        <v xml:space="preserve"> </v>
      </c>
      <c r="G176" s="1424"/>
      <c r="H176" s="1424"/>
      <c r="I176" s="1424"/>
      <c r="J176" s="1424"/>
      <c r="K176" s="1424"/>
      <c r="L176" s="1425"/>
      <c r="M176" s="379"/>
      <c r="N176" s="379"/>
      <c r="O176" s="390"/>
    </row>
    <row r="177" spans="1:15" ht="15.75" x14ac:dyDescent="0.25">
      <c r="A177" s="602"/>
      <c r="B177" s="416"/>
      <c r="C177" s="671" t="str">
        <f>IF(D176="Yes","sheet 'LUC' ", " ")</f>
        <v xml:space="preserve"> </v>
      </c>
      <c r="D177" s="495"/>
      <c r="E177" s="696"/>
      <c r="F177" s="1424"/>
      <c r="G177" s="1424"/>
      <c r="H177" s="1424"/>
      <c r="I177" s="1424"/>
      <c r="J177" s="1424"/>
      <c r="K177" s="1424"/>
      <c r="L177" s="1425"/>
      <c r="M177" s="379"/>
      <c r="N177" s="379"/>
      <c r="O177" s="390"/>
    </row>
    <row r="178" spans="1:15" ht="15.75" x14ac:dyDescent="0.25">
      <c r="A178" s="602"/>
      <c r="B178" s="416"/>
      <c r="C178" s="670" t="str">
        <f>IF(D176="Yes","to calculate the land use change", " ")</f>
        <v xml:space="preserve"> </v>
      </c>
      <c r="D178" s="495"/>
      <c r="E178" s="696"/>
      <c r="F178" s="694"/>
      <c r="G178" s="694"/>
      <c r="H178" s="694"/>
      <c r="I178" s="492" t="s">
        <v>674</v>
      </c>
      <c r="J178" s="514"/>
      <c r="K178" s="694"/>
      <c r="L178" s="695"/>
      <c r="M178" s="379"/>
      <c r="N178" s="379"/>
      <c r="O178" s="390"/>
    </row>
    <row r="179" spans="1:15" ht="16.5" x14ac:dyDescent="0.3">
      <c r="A179" s="602"/>
      <c r="B179" s="416"/>
      <c r="C179" s="670"/>
      <c r="D179" s="495"/>
      <c r="E179" s="696"/>
      <c r="F179" s="694"/>
      <c r="G179" s="694"/>
      <c r="H179" s="694"/>
      <c r="I179" s="539" t="s">
        <v>1053</v>
      </c>
      <c r="J179" s="539" t="s">
        <v>1054</v>
      </c>
      <c r="K179" s="539" t="s">
        <v>1055</v>
      </c>
      <c r="L179" s="540" t="s">
        <v>1056</v>
      </c>
      <c r="M179" s="379"/>
      <c r="N179" s="379"/>
      <c r="O179" s="390"/>
    </row>
    <row r="180" spans="1:15" ht="16.5" x14ac:dyDescent="0.3">
      <c r="A180" s="602"/>
      <c r="B180" s="507" t="s">
        <v>451</v>
      </c>
      <c r="C180" s="697">
        <f>IF(D176="Yes",LUC!$J$86,0)</f>
        <v>0</v>
      </c>
      <c r="D180" s="497" t="s">
        <v>449</v>
      </c>
      <c r="E180" s="503"/>
      <c r="F180" s="495"/>
      <c r="G180" s="495"/>
      <c r="H180" s="495"/>
      <c r="I180" s="544">
        <f>$C180*1000000/$E$217</f>
        <v>0</v>
      </c>
      <c r="J180" s="544">
        <v>0</v>
      </c>
      <c r="K180" s="544">
        <v>0</v>
      </c>
      <c r="L180" s="419">
        <f>I180*'Standard values'!$D$10+J180*'Standard values'!$D$11+K180*'Standard values'!$D$12</f>
        <v>0</v>
      </c>
      <c r="M180" s="379"/>
      <c r="N180" s="379"/>
      <c r="O180" s="390"/>
    </row>
    <row r="181" spans="1:15" ht="15.75" x14ac:dyDescent="0.25">
      <c r="A181" s="602"/>
      <c r="B181" s="507"/>
      <c r="C181" s="698"/>
      <c r="D181" s="497"/>
      <c r="E181" s="503"/>
      <c r="F181" s="495"/>
      <c r="G181" s="495"/>
      <c r="H181" s="495"/>
      <c r="I181" s="544"/>
      <c r="J181" s="544"/>
      <c r="K181" s="544"/>
      <c r="L181" s="516">
        <f>SUM(L180:L180)</f>
        <v>0</v>
      </c>
      <c r="M181" s="379"/>
      <c r="N181" s="379"/>
      <c r="O181" s="390"/>
    </row>
    <row r="182" spans="1:15" ht="15.75" x14ac:dyDescent="0.25">
      <c r="A182" s="602"/>
      <c r="B182" s="416"/>
      <c r="C182" s="492"/>
      <c r="D182" s="495"/>
      <c r="E182" s="503"/>
      <c r="F182" s="495"/>
      <c r="G182" s="495"/>
      <c r="H182" s="495"/>
      <c r="I182" s="544"/>
      <c r="J182" s="544"/>
      <c r="K182" s="544"/>
      <c r="L182" s="516"/>
      <c r="M182" s="379"/>
      <c r="N182" s="379"/>
      <c r="O182" s="390"/>
    </row>
    <row r="183" spans="1:15" ht="15.75" x14ac:dyDescent="0.3">
      <c r="A183" s="503"/>
      <c r="B183" s="539" t="s">
        <v>452</v>
      </c>
      <c r="C183" s="595">
        <v>0</v>
      </c>
      <c r="D183" s="605" t="s">
        <v>673</v>
      </c>
      <c r="E183" s="699"/>
      <c r="F183" s="495"/>
      <c r="G183" s="495"/>
      <c r="H183" s="495"/>
      <c r="I183" s="544">
        <f>-C183</f>
        <v>0</v>
      </c>
      <c r="J183" s="544">
        <v>0</v>
      </c>
      <c r="K183" s="544">
        <v>0</v>
      </c>
      <c r="L183" s="419">
        <f>I183*'Standard values'!$D$10+J183*'Standard values'!$D$11+K183*'Standard values'!$D$12</f>
        <v>0</v>
      </c>
      <c r="M183" s="379"/>
      <c r="N183" s="379"/>
      <c r="O183" s="390"/>
    </row>
    <row r="184" spans="1:15" x14ac:dyDescent="0.2">
      <c r="A184" s="503"/>
      <c r="B184" s="539" t="str">
        <f>IF(C183=-29,"Year of conversion:","")</f>
        <v/>
      </c>
      <c r="C184" s="539" t="str">
        <f>IF(D183=-29,"Year of conversion:","")</f>
        <v/>
      </c>
      <c r="D184" s="605" t="str">
        <f>IF(C183=-29,"Fill in the year of conversion","")</f>
        <v/>
      </c>
      <c r="E184" s="503"/>
      <c r="F184" s="495"/>
      <c r="G184" s="495"/>
      <c r="H184" s="495"/>
      <c r="I184" s="495"/>
      <c r="J184" s="495"/>
      <c r="K184" s="544"/>
      <c r="L184" s="516">
        <f>SUM(L183:L183)</f>
        <v>0</v>
      </c>
      <c r="M184" s="379"/>
      <c r="N184" s="379"/>
      <c r="O184" s="390"/>
    </row>
    <row r="185" spans="1:15" x14ac:dyDescent="0.2">
      <c r="A185" s="503"/>
      <c r="B185" s="539"/>
      <c r="C185" s="539"/>
      <c r="D185" s="605"/>
      <c r="E185" s="503"/>
      <c r="F185" s="495"/>
      <c r="G185" s="495"/>
      <c r="H185" s="495"/>
      <c r="I185" s="495"/>
      <c r="J185" s="495"/>
      <c r="K185" s="544"/>
      <c r="L185" s="700"/>
      <c r="M185" s="379"/>
      <c r="N185" s="379"/>
      <c r="O185" s="390"/>
    </row>
    <row r="186" spans="1:15" ht="14.25" x14ac:dyDescent="0.25">
      <c r="A186" s="519"/>
      <c r="B186" s="520"/>
      <c r="C186" s="520"/>
      <c r="D186" s="520"/>
      <c r="E186" s="519"/>
      <c r="F186" s="521"/>
      <c r="G186" s="521"/>
      <c r="H186" s="521" t="s">
        <v>534</v>
      </c>
      <c r="I186" s="520"/>
      <c r="J186" s="523" t="s">
        <v>675</v>
      </c>
      <c r="K186" s="549"/>
      <c r="L186" s="525">
        <f>L181+L184</f>
        <v>0</v>
      </c>
      <c r="M186" s="379"/>
      <c r="N186" s="379"/>
      <c r="O186" s="390"/>
    </row>
    <row r="187" spans="1:15" x14ac:dyDescent="0.2">
      <c r="A187" s="390"/>
      <c r="B187" s="390"/>
      <c r="C187" s="390"/>
      <c r="D187" s="390"/>
      <c r="E187" s="390"/>
      <c r="F187" s="376"/>
      <c r="G187" s="376"/>
      <c r="H187" s="376"/>
      <c r="I187" s="390"/>
      <c r="J187" s="550"/>
      <c r="K187" s="551"/>
      <c r="L187" s="604"/>
      <c r="M187" s="379"/>
      <c r="N187" s="379"/>
      <c r="O187" s="390"/>
    </row>
    <row r="188" spans="1:15" x14ac:dyDescent="0.2">
      <c r="A188" s="390"/>
      <c r="B188" s="390"/>
      <c r="C188" s="390"/>
      <c r="D188" s="390"/>
      <c r="E188" s="390"/>
      <c r="F188" s="376"/>
      <c r="G188" s="376"/>
      <c r="H188" s="376"/>
      <c r="I188" s="390"/>
      <c r="J188" s="550"/>
      <c r="K188" s="551"/>
      <c r="L188" s="604"/>
      <c r="M188" s="379"/>
      <c r="N188" s="379"/>
      <c r="O188" s="390"/>
    </row>
    <row r="189" spans="1:15" ht="15.75" x14ac:dyDescent="0.25">
      <c r="A189" s="530" t="s">
        <v>547</v>
      </c>
      <c r="B189" s="598"/>
      <c r="C189" s="599"/>
      <c r="D189" s="531"/>
      <c r="E189" s="600"/>
      <c r="F189" s="531"/>
      <c r="G189" s="531"/>
      <c r="H189" s="531"/>
      <c r="I189" s="531"/>
      <c r="J189" s="531"/>
      <c r="K189" s="531"/>
      <c r="L189" s="601"/>
      <c r="M189" s="379"/>
      <c r="N189" s="390"/>
      <c r="O189" s="390"/>
    </row>
    <row r="190" spans="1:15" ht="15.75" x14ac:dyDescent="0.25">
      <c r="A190" s="602"/>
      <c r="B190" s="416" t="s">
        <v>548</v>
      </c>
      <c r="C190" s="492" t="s">
        <v>429</v>
      </c>
      <c r="D190" s="616"/>
      <c r="E190" s="503"/>
      <c r="F190" s="495"/>
      <c r="G190" s="495"/>
      <c r="H190" s="495"/>
      <c r="I190" s="492" t="s">
        <v>674</v>
      </c>
      <c r="J190" s="514"/>
      <c r="K190" s="514"/>
      <c r="L190" s="537"/>
      <c r="M190" s="379"/>
      <c r="N190" s="390"/>
      <c r="O190" s="390"/>
    </row>
    <row r="191" spans="1:15" ht="15.75" customHeight="1" x14ac:dyDescent="0.25">
      <c r="A191" s="602"/>
      <c r="B191" s="511"/>
      <c r="C191" s="668"/>
      <c r="D191" s="691" t="s">
        <v>431</v>
      </c>
      <c r="E191" s="692" t="str">
        <f>IF(D193="Yes","From :  ", " ")</f>
        <v xml:space="preserve"> </v>
      </c>
      <c r="F191" s="1422" t="str">
        <f>IF(D193="Yes",Esca!H$42 &amp; ", " &amp; Esca!H$43 &amp; " input ","")</f>
        <v/>
      </c>
      <c r="G191" s="1422"/>
      <c r="H191" s="1422"/>
      <c r="I191" s="1422"/>
      <c r="J191" s="1422"/>
      <c r="K191" s="1422"/>
      <c r="L191" s="1423"/>
      <c r="M191" s="379"/>
      <c r="N191" s="390"/>
      <c r="O191" s="390"/>
    </row>
    <row r="192" spans="1:15" ht="15.75" x14ac:dyDescent="0.25">
      <c r="A192" s="602"/>
      <c r="B192" s="539" t="s">
        <v>430</v>
      </c>
      <c r="C192" s="668"/>
      <c r="D192" s="691" t="s">
        <v>432</v>
      </c>
      <c r="E192" s="513"/>
      <c r="F192" s="1422"/>
      <c r="G192" s="1422"/>
      <c r="H192" s="1422"/>
      <c r="I192" s="1422"/>
      <c r="J192" s="1422"/>
      <c r="K192" s="1422"/>
      <c r="L192" s="1423"/>
      <c r="M192" s="379"/>
      <c r="N192" s="390"/>
      <c r="O192" s="390"/>
    </row>
    <row r="193" spans="1:15" ht="15.75" customHeight="1" x14ac:dyDescent="0.25">
      <c r="A193" s="602"/>
      <c r="B193" s="511"/>
      <c r="C193" s="670" t="str">
        <f>IF(D193="Yes","Go to", " ")</f>
        <v xml:space="preserve"> </v>
      </c>
      <c r="D193" s="691" t="s">
        <v>432</v>
      </c>
      <c r="E193" s="692" t="str">
        <f>IF(D193="Yes","To    :   ", " ")</f>
        <v xml:space="preserve"> </v>
      </c>
      <c r="F193" s="1422" t="str">
        <f>IF(D193="Yes",Esca!D$42 &amp; ", " &amp; Esca!D$43 &amp; " input ","")</f>
        <v/>
      </c>
      <c r="G193" s="1422"/>
      <c r="H193" s="1422"/>
      <c r="I193" s="1422"/>
      <c r="J193" s="1422"/>
      <c r="K193" s="1422"/>
      <c r="L193" s="1423"/>
      <c r="M193" s="379"/>
      <c r="N193" s="390"/>
      <c r="O193" s="390"/>
    </row>
    <row r="194" spans="1:15" ht="15.75" x14ac:dyDescent="0.25">
      <c r="A194" s="602"/>
      <c r="B194" s="416"/>
      <c r="C194" s="671" t="str">
        <f>IF(D193="Yes","sheet 'Esca' ", " ")</f>
        <v xml:space="preserve"> </v>
      </c>
      <c r="D194" s="495"/>
      <c r="E194" s="696"/>
      <c r="F194" s="1422"/>
      <c r="G194" s="1422"/>
      <c r="H194" s="1422"/>
      <c r="I194" s="1422"/>
      <c r="J194" s="1422"/>
      <c r="K194" s="1422"/>
      <c r="L194" s="1423"/>
      <c r="M194" s="379"/>
      <c r="N194" s="390"/>
      <c r="O194" s="390"/>
    </row>
    <row r="195" spans="1:15" ht="15.75" x14ac:dyDescent="0.25">
      <c r="A195" s="602"/>
      <c r="B195" s="416"/>
      <c r="C195" s="670" t="str">
        <f>IF(D193="Yes","to calculate the soil carbon accumulation", " ")</f>
        <v xml:space="preserve"> </v>
      </c>
      <c r="D195" s="495"/>
      <c r="E195" s="696"/>
      <c r="F195" s="694"/>
      <c r="G195" s="694"/>
      <c r="H195" s="694"/>
      <c r="I195" s="492" t="s">
        <v>674</v>
      </c>
      <c r="J195" s="514"/>
      <c r="K195" s="694"/>
      <c r="L195" s="695"/>
      <c r="M195" s="379"/>
      <c r="N195" s="390"/>
      <c r="O195" s="390"/>
    </row>
    <row r="196" spans="1:15" ht="16.5" x14ac:dyDescent="0.3">
      <c r="A196" s="602"/>
      <c r="B196" s="416"/>
      <c r="C196" s="670"/>
      <c r="D196" s="495"/>
      <c r="E196" s="696"/>
      <c r="F196" s="694"/>
      <c r="G196" s="694"/>
      <c r="H196" s="694"/>
      <c r="I196" s="539" t="s">
        <v>1053</v>
      </c>
      <c r="J196" s="539" t="s">
        <v>1054</v>
      </c>
      <c r="K196" s="539" t="s">
        <v>1055</v>
      </c>
      <c r="L196" s="540" t="s">
        <v>1056</v>
      </c>
      <c r="M196" s="379"/>
      <c r="N196" s="390"/>
      <c r="O196" s="390"/>
    </row>
    <row r="197" spans="1:15" ht="16.5" x14ac:dyDescent="0.3">
      <c r="A197" s="602"/>
      <c r="B197" s="507" t="s">
        <v>807</v>
      </c>
      <c r="C197" s="697">
        <f>IF(D193="yes",Esca!$J$81,0)</f>
        <v>0</v>
      </c>
      <c r="D197" s="497" t="s">
        <v>449</v>
      </c>
      <c r="E197" s="503"/>
      <c r="F197" s="495"/>
      <c r="G197" s="495"/>
      <c r="H197" s="495"/>
      <c r="I197" s="544">
        <f>$C197*1000000/$E$217</f>
        <v>0</v>
      </c>
      <c r="J197" s="544">
        <v>0</v>
      </c>
      <c r="K197" s="544">
        <v>0</v>
      </c>
      <c r="L197" s="419">
        <f>I197*'Standard values'!$D$10+J197*'Standard values'!$D$11+K197*'Standard values'!$D$12</f>
        <v>0</v>
      </c>
      <c r="M197" s="379"/>
      <c r="N197" s="390"/>
      <c r="O197" s="390"/>
    </row>
    <row r="198" spans="1:15" x14ac:dyDescent="0.2">
      <c r="A198" s="503"/>
      <c r="B198" s="539"/>
      <c r="C198" s="539"/>
      <c r="D198" s="605"/>
      <c r="E198" s="503"/>
      <c r="F198" s="495"/>
      <c r="G198" s="495"/>
      <c r="H198" s="495"/>
      <c r="I198" s="495"/>
      <c r="J198" s="495"/>
      <c r="K198" s="544"/>
      <c r="L198" s="516">
        <f>SUM(L197:L197)</f>
        <v>0</v>
      </c>
      <c r="M198" s="379"/>
      <c r="N198" s="390"/>
      <c r="O198" s="390"/>
    </row>
    <row r="199" spans="1:15" x14ac:dyDescent="0.2">
      <c r="A199" s="503"/>
      <c r="B199" s="539"/>
      <c r="C199" s="539"/>
      <c r="D199" s="605"/>
      <c r="E199" s="503"/>
      <c r="F199" s="495"/>
      <c r="G199" s="495"/>
      <c r="H199" s="495"/>
      <c r="I199" s="495"/>
      <c r="J199" s="495"/>
      <c r="K199" s="544"/>
      <c r="L199" s="700"/>
      <c r="M199" s="379"/>
      <c r="N199" s="390"/>
      <c r="O199" s="390"/>
    </row>
    <row r="200" spans="1:15" ht="14.25" x14ac:dyDescent="0.25">
      <c r="A200" s="519"/>
      <c r="B200" s="520"/>
      <c r="C200" s="520"/>
      <c r="D200" s="520"/>
      <c r="E200" s="519"/>
      <c r="F200" s="521"/>
      <c r="G200" s="521"/>
      <c r="H200" s="521" t="s">
        <v>534</v>
      </c>
      <c r="I200" s="520"/>
      <c r="J200" s="523" t="s">
        <v>675</v>
      </c>
      <c r="K200" s="549"/>
      <c r="L200" s="525">
        <f>L198</f>
        <v>0</v>
      </c>
      <c r="M200" s="379"/>
      <c r="N200" s="390"/>
      <c r="O200" s="390"/>
    </row>
    <row r="201" spans="1:15" x14ac:dyDescent="0.2">
      <c r="A201" s="390"/>
      <c r="B201" s="390"/>
      <c r="C201" s="390"/>
      <c r="D201" s="390"/>
      <c r="E201" s="390"/>
      <c r="F201" s="376"/>
      <c r="G201" s="376"/>
      <c r="H201" s="376"/>
      <c r="I201" s="390"/>
      <c r="J201" s="550"/>
      <c r="K201" s="551"/>
      <c r="L201" s="604"/>
      <c r="M201" s="379"/>
      <c r="N201" s="390"/>
      <c r="O201" s="390"/>
    </row>
    <row r="202" spans="1:15" x14ac:dyDescent="0.2">
      <c r="A202" s="390"/>
      <c r="B202" s="390"/>
      <c r="C202" s="390"/>
      <c r="D202" s="390"/>
      <c r="E202" s="390"/>
      <c r="F202" s="376"/>
      <c r="G202" s="376"/>
      <c r="H202" s="376"/>
      <c r="I202" s="390"/>
      <c r="J202" s="550"/>
      <c r="K202" s="551"/>
      <c r="L202" s="604"/>
      <c r="M202" s="379"/>
      <c r="N202" s="390"/>
      <c r="O202" s="390"/>
    </row>
    <row r="203" spans="1:15" ht="18.75" x14ac:dyDescent="0.35">
      <c r="A203" s="530" t="s">
        <v>168</v>
      </c>
      <c r="B203" s="598"/>
      <c r="C203" s="599"/>
      <c r="D203" s="531"/>
      <c r="E203" s="600"/>
      <c r="F203" s="531"/>
      <c r="G203" s="531"/>
      <c r="H203" s="531"/>
      <c r="I203" s="531"/>
      <c r="J203" s="531"/>
      <c r="K203" s="531"/>
      <c r="L203" s="601"/>
      <c r="M203" s="379"/>
      <c r="N203" s="390"/>
      <c r="O203" s="390"/>
    </row>
    <row r="204" spans="1:15" ht="15.75" x14ac:dyDescent="0.25">
      <c r="A204" s="602"/>
      <c r="B204" s="416" t="s">
        <v>166</v>
      </c>
      <c r="C204" s="492"/>
      <c r="D204" s="495"/>
      <c r="E204" s="503"/>
      <c r="F204" s="495"/>
      <c r="G204" s="495"/>
      <c r="H204" s="495"/>
      <c r="I204" s="492" t="s">
        <v>674</v>
      </c>
      <c r="J204" s="514"/>
      <c r="K204" s="514"/>
      <c r="L204" s="537"/>
      <c r="M204" s="379"/>
      <c r="N204" s="390"/>
      <c r="O204" s="390"/>
    </row>
    <row r="205" spans="1:15" ht="15.75" x14ac:dyDescent="0.3">
      <c r="A205" s="503"/>
      <c r="B205" s="539"/>
      <c r="C205" s="595">
        <v>0</v>
      </c>
      <c r="D205" s="605" t="s">
        <v>673</v>
      </c>
      <c r="E205" s="503"/>
      <c r="F205" s="495"/>
      <c r="G205" s="495"/>
      <c r="H205" s="495"/>
      <c r="I205" s="495"/>
      <c r="J205" s="495"/>
      <c r="K205" s="544"/>
      <c r="L205" s="516">
        <f>C205</f>
        <v>0</v>
      </c>
      <c r="M205" s="379"/>
      <c r="N205" s="390"/>
      <c r="O205" s="390"/>
    </row>
    <row r="206" spans="1:15" ht="14.25" x14ac:dyDescent="0.25">
      <c r="A206" s="519"/>
      <c r="B206" s="520"/>
      <c r="C206" s="701"/>
      <c r="D206" s="520"/>
      <c r="E206" s="519"/>
      <c r="F206" s="521"/>
      <c r="G206" s="521"/>
      <c r="H206" s="521" t="s">
        <v>534</v>
      </c>
      <c r="I206" s="520"/>
      <c r="J206" s="523" t="s">
        <v>675</v>
      </c>
      <c r="K206" s="549"/>
      <c r="L206" s="525">
        <f>C205</f>
        <v>0</v>
      </c>
      <c r="M206" s="379"/>
      <c r="N206" s="390"/>
      <c r="O206" s="390"/>
    </row>
    <row r="207" spans="1:15" x14ac:dyDescent="0.2">
      <c r="A207" s="390"/>
      <c r="B207" s="390"/>
      <c r="C207" s="390"/>
      <c r="D207" s="390"/>
      <c r="E207" s="390"/>
      <c r="F207" s="376"/>
      <c r="G207" s="376"/>
      <c r="H207" s="376"/>
      <c r="I207" s="390"/>
      <c r="J207" s="550"/>
      <c r="K207" s="551"/>
      <c r="L207" s="604"/>
      <c r="M207" s="379"/>
      <c r="N207" s="390"/>
      <c r="O207" s="390"/>
    </row>
    <row r="208" spans="1:15" x14ac:dyDescent="0.2">
      <c r="A208" s="390"/>
      <c r="B208" s="390"/>
      <c r="C208" s="390"/>
      <c r="D208" s="390"/>
      <c r="E208" s="390"/>
      <c r="F208" s="376"/>
      <c r="G208" s="376"/>
      <c r="H208" s="376"/>
      <c r="I208" s="390"/>
      <c r="J208" s="550"/>
      <c r="K208" s="551"/>
      <c r="L208" s="604"/>
      <c r="M208" s="379"/>
      <c r="N208" s="390"/>
      <c r="O208" s="390"/>
    </row>
    <row r="209" spans="1:15" ht="18.75" x14ac:dyDescent="0.35">
      <c r="A209" s="530" t="s">
        <v>169</v>
      </c>
      <c r="B209" s="598"/>
      <c r="C209" s="599"/>
      <c r="D209" s="531"/>
      <c r="E209" s="600"/>
      <c r="F209" s="531"/>
      <c r="G209" s="531"/>
      <c r="H209" s="531"/>
      <c r="I209" s="531"/>
      <c r="J209" s="531"/>
      <c r="K209" s="531"/>
      <c r="L209" s="601"/>
      <c r="M209" s="379"/>
      <c r="N209" s="390"/>
      <c r="O209" s="390"/>
    </row>
    <row r="210" spans="1:15" ht="15.75" x14ac:dyDescent="0.25">
      <c r="A210" s="602"/>
      <c r="B210" s="416" t="s">
        <v>167</v>
      </c>
      <c r="C210" s="492"/>
      <c r="D210" s="495"/>
      <c r="E210" s="503"/>
      <c r="F210" s="495"/>
      <c r="G210" s="495"/>
      <c r="H210" s="495"/>
      <c r="I210" s="492" t="s">
        <v>674</v>
      </c>
      <c r="J210" s="514"/>
      <c r="K210" s="514"/>
      <c r="L210" s="537"/>
      <c r="M210" s="379"/>
      <c r="N210" s="390"/>
      <c r="O210" s="390"/>
    </row>
    <row r="211" spans="1:15" ht="15.75" x14ac:dyDescent="0.3">
      <c r="A211" s="503"/>
      <c r="B211" s="539"/>
      <c r="C211" s="595">
        <v>0</v>
      </c>
      <c r="D211" s="605" t="s">
        <v>673</v>
      </c>
      <c r="E211" s="503"/>
      <c r="F211" s="495"/>
      <c r="G211" s="495"/>
      <c r="H211" s="495"/>
      <c r="I211" s="495"/>
      <c r="J211" s="495"/>
      <c r="K211" s="544"/>
      <c r="L211" s="516">
        <f>C211</f>
        <v>0</v>
      </c>
      <c r="M211" s="379"/>
      <c r="N211" s="390"/>
      <c r="O211" s="390"/>
    </row>
    <row r="212" spans="1:15" ht="14.25" x14ac:dyDescent="0.25">
      <c r="A212" s="519"/>
      <c r="B212" s="520"/>
      <c r="C212" s="520"/>
      <c r="D212" s="520"/>
      <c r="E212" s="519"/>
      <c r="F212" s="521"/>
      <c r="G212" s="521"/>
      <c r="H212" s="521" t="s">
        <v>534</v>
      </c>
      <c r="I212" s="520"/>
      <c r="J212" s="523" t="s">
        <v>675</v>
      </c>
      <c r="K212" s="549"/>
      <c r="L212" s="525">
        <f>C211</f>
        <v>0</v>
      </c>
      <c r="M212" s="379"/>
      <c r="N212" s="390"/>
      <c r="O212" s="390"/>
    </row>
    <row r="213" spans="1:15" x14ac:dyDescent="0.2">
      <c r="A213" s="390"/>
      <c r="B213" s="390"/>
      <c r="C213" s="390"/>
      <c r="D213" s="390"/>
      <c r="E213" s="390"/>
      <c r="F213" s="376"/>
      <c r="G213" s="376"/>
      <c r="H213" s="376"/>
      <c r="I213" s="390"/>
      <c r="J213" s="550"/>
      <c r="K213" s="551"/>
      <c r="L213" s="604"/>
      <c r="M213" s="379"/>
      <c r="N213" s="390"/>
      <c r="O213" s="390"/>
    </row>
    <row r="214" spans="1:15" x14ac:dyDescent="0.2">
      <c r="A214" s="390"/>
      <c r="B214" s="390"/>
      <c r="C214" s="390"/>
      <c r="D214" s="390"/>
      <c r="E214" s="390"/>
      <c r="F214" s="376"/>
      <c r="G214" s="376"/>
      <c r="H214" s="376"/>
      <c r="I214" s="390"/>
      <c r="J214" s="550"/>
      <c r="K214" s="551"/>
      <c r="L214" s="604"/>
      <c r="M214" s="379"/>
      <c r="N214" s="390"/>
      <c r="O214" s="390"/>
    </row>
    <row r="215" spans="1:15" ht="15.75" x14ac:dyDescent="0.25">
      <c r="A215" s="530" t="s">
        <v>457</v>
      </c>
      <c r="B215" s="531"/>
      <c r="C215" s="531"/>
      <c r="D215" s="531"/>
      <c r="E215" s="532"/>
      <c r="F215" s="606"/>
      <c r="G215" s="606"/>
      <c r="H215" s="606"/>
      <c r="I215" s="607"/>
      <c r="J215" s="608"/>
      <c r="K215" s="607"/>
      <c r="L215" s="609"/>
      <c r="M215" s="379"/>
      <c r="N215" s="390"/>
      <c r="O215" s="390"/>
    </row>
    <row r="216" spans="1:15" ht="15.75" x14ac:dyDescent="0.25">
      <c r="A216" s="610"/>
      <c r="B216" s="611"/>
      <c r="C216" s="611"/>
      <c r="D216" s="611"/>
      <c r="E216" s="612"/>
      <c r="F216" s="613"/>
      <c r="G216" s="613"/>
      <c r="H216" s="613"/>
      <c r="I216" s="613"/>
      <c r="J216" s="613"/>
      <c r="K216" s="613"/>
      <c r="L216" s="614"/>
      <c r="M216" s="379"/>
      <c r="N216" s="390"/>
      <c r="O216" s="390"/>
    </row>
    <row r="217" spans="1:15" ht="15.75" x14ac:dyDescent="0.3">
      <c r="A217" s="503"/>
      <c r="B217" s="495"/>
      <c r="C217" s="495"/>
      <c r="D217" s="546" t="s">
        <v>300</v>
      </c>
      <c r="E217" s="702">
        <f>E25*C57*C47*C69*C128*C149*C161</f>
        <v>151165.26276923073</v>
      </c>
      <c r="F217" s="499" t="s">
        <v>671</v>
      </c>
      <c r="G217" s="499"/>
      <c r="H217" s="495"/>
      <c r="I217" s="495"/>
      <c r="J217" s="495"/>
      <c r="K217" s="495"/>
      <c r="L217" s="616"/>
      <c r="M217" s="379"/>
      <c r="N217" s="390"/>
      <c r="O217" s="390"/>
    </row>
    <row r="218" spans="1:15" ht="15.75" x14ac:dyDescent="0.3">
      <c r="A218" s="503"/>
      <c r="B218" s="495"/>
      <c r="C218" s="495"/>
      <c r="D218" s="546" t="s">
        <v>299</v>
      </c>
      <c r="E218" s="615">
        <f>E217/E25</f>
        <v>0.50227692307692307</v>
      </c>
      <c r="F218" s="495" t="s">
        <v>849</v>
      </c>
      <c r="G218" s="495"/>
      <c r="H218" s="495"/>
      <c r="I218" s="544"/>
      <c r="J218" s="495"/>
      <c r="K218" s="495"/>
      <c r="L218" s="616"/>
      <c r="M218" s="379"/>
      <c r="N218" s="390"/>
      <c r="O218" s="390"/>
    </row>
    <row r="219" spans="1:15" x14ac:dyDescent="0.2">
      <c r="A219" s="503"/>
      <c r="B219" s="495"/>
      <c r="C219" s="495"/>
      <c r="D219" s="495"/>
      <c r="E219" s="495"/>
      <c r="F219" s="617"/>
      <c r="G219" s="617"/>
      <c r="H219" s="495"/>
      <c r="I219" s="544"/>
      <c r="J219" s="495"/>
      <c r="K219" s="495"/>
      <c r="L219" s="616"/>
      <c r="M219" s="379"/>
      <c r="N219" s="390"/>
      <c r="O219" s="390"/>
    </row>
    <row r="220" spans="1:15" x14ac:dyDescent="0.2">
      <c r="A220" s="503"/>
      <c r="B220" s="495"/>
      <c r="C220" s="495"/>
      <c r="D220" s="495"/>
      <c r="E220" s="495"/>
      <c r="F220" s="617"/>
      <c r="G220" s="617"/>
      <c r="H220" s="495"/>
      <c r="I220" s="495"/>
      <c r="J220" s="495"/>
      <c r="K220" s="495"/>
      <c r="L220" s="616"/>
      <c r="M220" s="379"/>
      <c r="N220" s="390"/>
      <c r="O220" s="390"/>
    </row>
    <row r="221" spans="1:15" ht="14.25" x14ac:dyDescent="0.25">
      <c r="A221" s="703"/>
      <c r="B221" s="404"/>
      <c r="C221" s="404"/>
      <c r="D221" s="404"/>
      <c r="E221" s="704" t="s">
        <v>1059</v>
      </c>
      <c r="F221" s="705"/>
      <c r="G221" s="705"/>
      <c r="H221" s="423"/>
      <c r="I221" s="404"/>
      <c r="J221" s="704" t="s">
        <v>675</v>
      </c>
      <c r="K221" s="423"/>
      <c r="L221" s="706">
        <f>L43+L53+L64+L97+L123+L145+L157+L169+L186-L200-L206-L212</f>
        <v>29.880384627591507</v>
      </c>
      <c r="M221" s="379"/>
      <c r="N221" s="390"/>
      <c r="O221" s="390"/>
    </row>
    <row r="222" spans="1:15" ht="14.25" x14ac:dyDescent="0.25">
      <c r="A222" s="707"/>
      <c r="B222" s="708"/>
      <c r="C222" s="709"/>
      <c r="D222" s="404"/>
      <c r="E222" s="704" t="s">
        <v>1060</v>
      </c>
      <c r="F222" s="404"/>
      <c r="G222" s="404"/>
      <c r="H222" s="404"/>
      <c r="I222" s="404"/>
      <c r="J222" s="704" t="s">
        <v>675</v>
      </c>
      <c r="K222" s="404"/>
      <c r="L222" s="710">
        <f>L106+L123+L145+L157+L169+(L181*J6)+L184-L200-L206-L212</f>
        <v>29.125250964361765</v>
      </c>
      <c r="M222" s="379"/>
      <c r="N222" s="390"/>
      <c r="O222" s="390"/>
    </row>
    <row r="223" spans="1:15" x14ac:dyDescent="0.2">
      <c r="A223" s="703"/>
      <c r="B223" s="404"/>
      <c r="C223" s="404"/>
      <c r="D223" s="404"/>
      <c r="E223" s="404"/>
      <c r="F223" s="711"/>
      <c r="G223" s="711"/>
      <c r="H223" s="404"/>
      <c r="I223" s="404"/>
      <c r="J223" s="404"/>
      <c r="K223" s="404"/>
      <c r="L223" s="712"/>
      <c r="M223" s="379"/>
      <c r="N223" s="390"/>
      <c r="O223" s="390"/>
    </row>
    <row r="224" spans="1:15" x14ac:dyDescent="0.2">
      <c r="A224" s="519"/>
      <c r="B224" s="520"/>
      <c r="C224" s="520"/>
      <c r="D224" s="520"/>
      <c r="E224" s="713" t="s">
        <v>1061</v>
      </c>
      <c r="F224" s="632"/>
      <c r="G224" s="632"/>
      <c r="H224" s="632"/>
      <c r="I224" s="632"/>
      <c r="J224" s="632"/>
      <c r="K224" s="632"/>
      <c r="L224" s="633">
        <f>(83.8-L222)/83.8</f>
        <v>0.65244330591453736</v>
      </c>
      <c r="M224" s="379"/>
      <c r="N224" s="390"/>
      <c r="O224" s="390"/>
    </row>
    <row r="225" spans="5:14" x14ac:dyDescent="0.2">
      <c r="M225" s="361"/>
    </row>
    <row r="226" spans="5:14" x14ac:dyDescent="0.2">
      <c r="E226" s="634"/>
      <c r="F226" s="634"/>
      <c r="G226" s="634"/>
      <c r="H226" s="635"/>
      <c r="I226" s="634"/>
      <c r="J226" s="634"/>
      <c r="K226" s="634"/>
      <c r="L226" s="636"/>
      <c r="M226" s="361"/>
    </row>
    <row r="227" spans="5:14" x14ac:dyDescent="0.2">
      <c r="F227" s="634"/>
      <c r="G227" s="634"/>
      <c r="H227" s="634"/>
      <c r="I227" s="637"/>
      <c r="J227" s="634"/>
      <c r="K227" s="634"/>
      <c r="L227" s="638"/>
      <c r="M227" s="639"/>
      <c r="N227" s="361"/>
    </row>
    <row r="228" spans="5:14" x14ac:dyDescent="0.2">
      <c r="F228" s="634"/>
      <c r="G228" s="634"/>
      <c r="H228" s="634"/>
      <c r="I228" s="637"/>
      <c r="J228" s="634"/>
      <c r="K228" s="634"/>
      <c r="L228" s="638"/>
      <c r="M228" s="639"/>
      <c r="N228" s="361"/>
    </row>
    <row r="229" spans="5:14" ht="15.75" x14ac:dyDescent="0.25">
      <c r="F229" s="640"/>
      <c r="G229" s="640"/>
      <c r="H229" s="634"/>
      <c r="I229" s="634"/>
      <c r="J229" s="634"/>
      <c r="K229" s="634"/>
      <c r="L229" s="634"/>
      <c r="M229" s="634"/>
      <c r="N229" s="361"/>
    </row>
    <row r="230" spans="5:14" x14ac:dyDescent="0.2">
      <c r="F230" s="634"/>
      <c r="G230" s="634"/>
      <c r="H230" s="637"/>
      <c r="I230" s="634"/>
      <c r="J230" s="634"/>
      <c r="K230" s="634"/>
      <c r="L230" s="634"/>
      <c r="M230" s="634"/>
      <c r="N230" s="634"/>
    </row>
    <row r="231" spans="5:14" x14ac:dyDescent="0.2">
      <c r="F231" s="637"/>
      <c r="G231" s="637"/>
      <c r="H231" s="634"/>
      <c r="I231" s="641"/>
      <c r="J231" s="634"/>
      <c r="K231" s="634"/>
      <c r="L231" s="634"/>
      <c r="M231" s="634"/>
      <c r="N231" s="634"/>
    </row>
    <row r="232" spans="5:14" x14ac:dyDescent="0.2">
      <c r="F232" s="637"/>
      <c r="G232" s="637"/>
      <c r="H232" s="634"/>
      <c r="I232" s="641"/>
      <c r="J232" s="634"/>
      <c r="K232" s="634"/>
      <c r="L232" s="634"/>
      <c r="M232" s="634"/>
      <c r="N232" s="634"/>
    </row>
    <row r="233" spans="5:14" x14ac:dyDescent="0.2">
      <c r="F233" s="634"/>
      <c r="G233" s="634"/>
      <c r="H233" s="639"/>
      <c r="I233" s="634"/>
      <c r="J233" s="634"/>
      <c r="K233" s="634"/>
      <c r="L233" s="634"/>
      <c r="M233" s="634"/>
      <c r="N233" s="634"/>
    </row>
    <row r="234" spans="5:14" x14ac:dyDescent="0.2">
      <c r="F234" s="634"/>
      <c r="G234" s="634"/>
      <c r="H234" s="634"/>
      <c r="I234" s="634"/>
      <c r="J234" s="634"/>
      <c r="K234" s="634"/>
      <c r="L234" s="634"/>
      <c r="M234" s="634"/>
      <c r="N234" s="634"/>
    </row>
    <row r="235" spans="5:14" x14ac:dyDescent="0.2">
      <c r="F235" s="634"/>
      <c r="G235" s="634"/>
      <c r="H235" s="634"/>
      <c r="I235" s="634"/>
      <c r="J235" s="634"/>
      <c r="K235" s="634"/>
      <c r="L235" s="634"/>
      <c r="M235" s="634"/>
      <c r="N235" s="634"/>
    </row>
    <row r="236" spans="5:14" x14ac:dyDescent="0.2">
      <c r="F236" s="634"/>
      <c r="G236" s="634"/>
      <c r="H236" s="634"/>
      <c r="I236" s="634"/>
      <c r="J236" s="634"/>
      <c r="K236" s="634"/>
      <c r="L236" s="634"/>
      <c r="M236" s="634"/>
      <c r="N236" s="634"/>
    </row>
    <row r="237" spans="5:14" x14ac:dyDescent="0.2">
      <c r="F237" s="634"/>
      <c r="G237" s="634"/>
      <c r="H237" s="634"/>
      <c r="I237" s="634"/>
      <c r="J237" s="634"/>
      <c r="K237" s="634"/>
      <c r="L237" s="634"/>
      <c r="M237" s="634"/>
      <c r="N237" s="634"/>
    </row>
    <row r="238" spans="5:14" x14ac:dyDescent="0.2">
      <c r="F238" s="634"/>
      <c r="G238" s="634"/>
      <c r="H238" s="634"/>
      <c r="I238" s="634"/>
      <c r="J238" s="634"/>
      <c r="K238" s="634"/>
      <c r="L238" s="634"/>
      <c r="M238" s="634"/>
      <c r="N238" s="634"/>
    </row>
    <row r="239" spans="5:14" x14ac:dyDescent="0.2">
      <c r="F239" s="634"/>
      <c r="G239" s="634"/>
      <c r="H239" s="634"/>
      <c r="I239" s="634"/>
      <c r="J239" s="634"/>
      <c r="K239" s="634"/>
      <c r="L239" s="634"/>
      <c r="M239" s="634"/>
      <c r="N239" s="634"/>
    </row>
    <row r="240" spans="5:14" x14ac:dyDescent="0.2">
      <c r="F240" s="634"/>
      <c r="G240" s="634"/>
      <c r="H240" s="634"/>
      <c r="I240" s="634"/>
      <c r="J240" s="634"/>
      <c r="K240" s="634"/>
      <c r="L240" s="634"/>
      <c r="M240" s="634"/>
      <c r="N240" s="634"/>
    </row>
    <row r="241" spans="6:14" x14ac:dyDescent="0.2">
      <c r="F241" s="634"/>
      <c r="G241" s="634"/>
      <c r="H241" s="634"/>
      <c r="I241" s="634"/>
      <c r="J241" s="634"/>
      <c r="K241" s="634"/>
      <c r="L241" s="634"/>
      <c r="M241" s="634"/>
      <c r="N241" s="634"/>
    </row>
    <row r="242" spans="6:14" x14ac:dyDescent="0.2">
      <c r="F242" s="634"/>
      <c r="G242" s="634"/>
      <c r="H242" s="634"/>
      <c r="I242" s="634"/>
      <c r="J242" s="634"/>
      <c r="K242" s="634"/>
      <c r="L242" s="634"/>
      <c r="M242" s="634"/>
      <c r="N242" s="634"/>
    </row>
    <row r="243" spans="6:14" x14ac:dyDescent="0.2">
      <c r="F243" s="634"/>
      <c r="G243" s="634"/>
      <c r="H243" s="634"/>
      <c r="I243" s="634"/>
      <c r="J243" s="634"/>
      <c r="K243" s="634"/>
      <c r="L243" s="634"/>
      <c r="M243" s="634"/>
      <c r="N243" s="634"/>
    </row>
    <row r="244" spans="6:14" x14ac:dyDescent="0.2">
      <c r="F244" s="634"/>
      <c r="G244" s="634"/>
      <c r="H244" s="634"/>
      <c r="I244" s="634"/>
      <c r="J244" s="634"/>
      <c r="K244" s="634"/>
      <c r="L244" s="634"/>
      <c r="M244" s="634"/>
      <c r="N244" s="634"/>
    </row>
    <row r="245" spans="6:14" x14ac:dyDescent="0.2">
      <c r="F245" s="634"/>
      <c r="G245" s="634"/>
      <c r="H245" s="634"/>
      <c r="I245" s="634"/>
      <c r="J245" s="634"/>
      <c r="K245" s="634"/>
      <c r="L245" s="634"/>
      <c r="M245" s="634"/>
      <c r="N245" s="634"/>
    </row>
  </sheetData>
  <sheetProtection insertColumns="0" insertRows="0" deleteColumns="0" deleteRows="0"/>
  <customSheetViews>
    <customSheetView guid="{AD88818B-9F97-4B1E-9426-0DECE603685E}" scale="80" showGridLines="0" fitToPage="1" showRuler="0">
      <pane ySplit="21" topLeftCell="A22" activePane="bottomLeft" state="frozen"/>
      <selection pane="bottomLeft" activeCell="E3" sqref="E3"/>
      <pageMargins left="0.75" right="0.75" top="1" bottom="1" header="0.5" footer="0.5"/>
      <pageSetup paperSize="8" fitToHeight="0" orientation="landscape"/>
      <headerFooter alignWithMargins="0">
        <oddFooter>&amp;L&amp;8&amp;F&amp;C&amp;8&amp;A&amp;R&amp;8page&amp;P</oddFooter>
      </headerFooter>
    </customSheetView>
    <customSheetView guid="{7EB5D807-CE20-46E2-AEE6-2C193E010EA4}" scale="80" showGridLines="0" fitToPage="1" showRuler="0">
      <pane ySplit="21" topLeftCell="A22" activePane="bottomLeft" state="frozen"/>
      <selection pane="bottomLeft" activeCell="E3" sqref="E3"/>
      <pageMargins left="0.75" right="0.75" top="1" bottom="1" header="0.5" footer="0.5"/>
      <pageSetup paperSize="8" fitToHeight="0" orientation="landscape"/>
      <headerFooter alignWithMargins="0">
        <oddFooter>&amp;L&amp;8&amp;F&amp;C&amp;8&amp;A&amp;R&amp;8page&amp;P</oddFooter>
      </headerFooter>
    </customSheetView>
  </customSheetViews>
  <mergeCells count="4">
    <mergeCell ref="F174:L175"/>
    <mergeCell ref="F176:L177"/>
    <mergeCell ref="F191:L192"/>
    <mergeCell ref="F193:L194"/>
  </mergeCells>
  <phoneticPr fontId="0" type="noConversion"/>
  <conditionalFormatting sqref="O9:O21">
    <cfRule type="cellIs" dxfId="23" priority="1" stopIfTrue="1" operator="notBetween">
      <formula>-0.05</formula>
      <formula>0.05</formula>
    </cfRule>
  </conditionalFormatting>
  <conditionalFormatting sqref="E17">
    <cfRule type="expression" dxfId="22" priority="3" stopIfTrue="1">
      <formula>($E17="Combined result of previous calculation")</formula>
    </cfRule>
  </conditionalFormatting>
  <conditionalFormatting sqref="A17:D17 F17:G17">
    <cfRule type="expression" dxfId="21" priority="4" stopIfTrue="1">
      <formula>($E17="Combined result of previous calculation")</formula>
    </cfRule>
  </conditionalFormatting>
  <conditionalFormatting sqref="A10:G10 A7:G8 A13:G14">
    <cfRule type="expression" dxfId="20" priority="5" stopIfTrue="1">
      <formula>($E7&lt;&gt;"")</formula>
    </cfRule>
  </conditionalFormatting>
  <conditionalFormatting sqref="A18:D18 F18:G18">
    <cfRule type="expression" dxfId="19" priority="6" stopIfTrue="1">
      <formula>($E18="Esca included in combined result of previous calculation")</formula>
    </cfRule>
  </conditionalFormatting>
  <conditionalFormatting sqref="E18">
    <cfRule type="expression" dxfId="18" priority="7" stopIfTrue="1">
      <formula>($E18="Esca included in combined result of previous calculation")</formula>
    </cfRule>
  </conditionalFormatting>
  <dataValidations count="8">
    <dataValidation type="list" allowBlank="1" showInputMessage="1" showErrorMessage="1" sqref="F6 F9 F12" xr:uid="{00000000-0002-0000-1A00-000000000000}">
      <formula1>"A,D"</formula1>
    </dataValidation>
    <dataValidation type="list" showDropDown="1" showInputMessage="1" showErrorMessage="1" errorTitle="Wrong input" error="Only values &quot;0&quot; and &quot;29&quot; are allowed_x000a_" sqref="C183" xr:uid="{00000000-0002-0000-1A00-000001000000}">
      <formula1>"0,29"</formula1>
    </dataValidation>
    <dataValidation allowBlank="1" showInputMessage="1" showErrorMessage="1" promptTitle="Input value for manure" prompt="Use of manure will not lead to direct GHG emissions as the emission coeffient is 0 g CO2,eq/MJ._x000a_Use of manure will indirectly lead to GHG emissions. When using actual inputs, field N2O emissions must be calculated which increase due to use of manure." sqref="C33" xr:uid="{00000000-0002-0000-1A00-000002000000}"/>
    <dataValidation type="list" allowBlank="1" showInputMessage="1" showErrorMessage="1" sqref="E17" xr:uid="{00000000-0002-0000-1A00-000003000000}">
      <formula1>"- , Combined result of previous calculation"</formula1>
    </dataValidation>
    <dataValidation type="list" allowBlank="1" showInputMessage="1" showErrorMessage="1" sqref="E7:E8 E10 E13:E14" xr:uid="{00000000-0002-0000-1A00-000004000000}">
      <formula1>"- ,Individual result of previous calculation, Combined result of previous calculation"</formula1>
    </dataValidation>
    <dataValidation type="list" allowBlank="1" showInputMessage="1" showErrorMessage="1" sqref="E18" xr:uid="{00000000-0002-0000-1A00-000005000000}">
      <formula1>"- , Esca included in combined result of previous calculation"</formula1>
    </dataValidation>
    <dataValidation allowBlank="1" showInputMessage="1" showErrorMessage="1" promptTitle="Please note !" prompt="When changing the value in this cell, you must indicate in column E under &quot;overview results&quot; that you have used the result of a previous calculation. Please refer to paragraph 4.2 of the user manual for further instructions and examples." sqref="N95 N62 N50 N41" xr:uid="{00000000-0002-0000-1A00-000006000000}"/>
    <dataValidation allowBlank="1" showInputMessage="1" showErrorMessage="1" promptTitle="Electricity mix" sqref="B156 B168 B61 B118 B120 B132 B139" xr:uid="{00000000-0002-0000-1A00-000007000000}"/>
  </dataValidations>
  <hyperlinks>
    <hyperlink ref="O49" location="Menu!A6" display="Back to menu" xr:uid="{00000000-0004-0000-1A00-000000000000}"/>
    <hyperlink ref="O150" location="Menu!A6" display="Back to menu" xr:uid="{00000000-0004-0000-1A00-000001000000}"/>
    <hyperlink ref="O48" location="Menu!A6" display="Back to menu" xr:uid="{00000000-0004-0000-1A00-000002000000}"/>
    <hyperlink ref="O149" location="Menu!A6" display="Back to menu" xr:uid="{00000000-0004-0000-1A00-000003000000}"/>
    <hyperlink ref="O112" location="Menu!A6" display="Back to menu" xr:uid="{00000000-0004-0000-1A00-000004000000}"/>
    <hyperlink ref="O111" location="Menu!A6" display="Back to menu" xr:uid="{00000000-0004-0000-1A00-000005000000}"/>
    <hyperlink ref="C194" location="Esca!A1" display="Esca!A1" xr:uid="{00000000-0004-0000-1A00-000006000000}"/>
    <hyperlink ref="C177" location="LUC!A1" display="LUC!A1" xr:uid="{00000000-0004-0000-1A00-000007000000}"/>
    <hyperlink ref="C42" location="'N2O emissions IPCC '!A1" display="N2O emissions IPCC" xr:uid="{00000000-0004-0000-1A00-000008000000}"/>
  </hyperlinks>
  <pageMargins left="0.75" right="0.75" top="1" bottom="1" header="0.5" footer="0.5"/>
  <pageSetup paperSize="8" fitToHeight="0" orientation="landscape"/>
  <headerFooter alignWithMargins="0">
    <oddFooter>&amp;L&amp;8&amp;F&amp;C&amp;8&amp;A&amp;R&amp;8page&amp;P</oddFooter>
  </headerFooter>
  <drawing r:id="rId1"/>
  <legacyDrawing r:id="rId2"/>
  <controls>
    <mc:AlternateContent xmlns:mc="http://schemas.openxmlformats.org/markup-compatibility/2006">
      <mc:Choice Requires="x14">
        <control shapeId="34819" r:id="rId3" name="CheckBox2">
          <controlPr autoLine="0" autoPict="0" linkedCell="About!N86" r:id="rId4">
            <anchor moveWithCells="1">
              <from>
                <xdr:col>9</xdr:col>
                <xdr:colOff>38100</xdr:colOff>
                <xdr:row>16</xdr:row>
                <xdr:rowOff>47625</xdr:rowOff>
              </from>
              <to>
                <xdr:col>13</xdr:col>
                <xdr:colOff>885825</xdr:colOff>
                <xdr:row>18</xdr:row>
                <xdr:rowOff>85725</xdr:rowOff>
              </to>
            </anchor>
          </controlPr>
        </control>
      </mc:Choice>
      <mc:Fallback>
        <control shapeId="34819" r:id="rId3" name="CheckBox2"/>
      </mc:Fallback>
    </mc:AlternateContent>
    <mc:AlternateContent xmlns:mc="http://schemas.openxmlformats.org/markup-compatibility/2006">
      <mc:Choice Requires="x14">
        <control shapeId="34820" r:id="rId5" name="CheckBox1">
          <controlPr autoLine="0" autoPict="0" linkedCell="About!N88" r:id="rId6">
            <anchor moveWithCells="1">
              <from>
                <xdr:col>9</xdr:col>
                <xdr:colOff>38100</xdr:colOff>
                <xdr:row>14</xdr:row>
                <xdr:rowOff>0</xdr:rowOff>
              </from>
              <to>
                <xdr:col>13</xdr:col>
                <xdr:colOff>866775</xdr:colOff>
                <xdr:row>16</xdr:row>
                <xdr:rowOff>171450</xdr:rowOff>
              </to>
            </anchor>
          </controlPr>
        </control>
      </mc:Choice>
      <mc:Fallback>
        <control shapeId="34820" r:id="rId5" name="CheckBox1"/>
      </mc:Fallback>
    </mc:AlternateContent>
    <mc:AlternateContent xmlns:mc="http://schemas.openxmlformats.org/markup-compatibility/2006">
      <mc:Choice Requires="x14">
        <control shapeId="34838" r:id="rId7" name="ComboBox1">
          <controlPr locked="0" defaultSize="0" autoLine="0" linkedCell="D176" listFillRange="D174:D175" r:id="rId8">
            <anchor moveWithCells="1">
              <from>
                <xdr:col>2</xdr:col>
                <xdr:colOff>0</xdr:colOff>
                <xdr:row>174</xdr:row>
                <xdr:rowOff>0</xdr:rowOff>
              </from>
              <to>
                <xdr:col>3</xdr:col>
                <xdr:colOff>38100</xdr:colOff>
                <xdr:row>175</xdr:row>
                <xdr:rowOff>28575</xdr:rowOff>
              </to>
            </anchor>
          </controlPr>
        </control>
      </mc:Choice>
      <mc:Fallback>
        <control shapeId="34838" r:id="rId7" name="ComboBox1"/>
      </mc:Fallback>
    </mc:AlternateContent>
    <mc:AlternateContent xmlns:mc="http://schemas.openxmlformats.org/markup-compatibility/2006">
      <mc:Choice Requires="x14">
        <control shapeId="35068" r:id="rId9" name="ComboBox2">
          <controlPr locked="0" defaultSize="0" autoLine="0" linkedCell="D193" listFillRange="D191:D192" r:id="rId10">
            <anchor moveWithCells="1">
              <from>
                <xdr:col>2</xdr:col>
                <xdr:colOff>9525</xdr:colOff>
                <xdr:row>191</xdr:row>
                <xdr:rowOff>28575</xdr:rowOff>
              </from>
              <to>
                <xdr:col>3</xdr:col>
                <xdr:colOff>19050</xdr:colOff>
                <xdr:row>192</xdr:row>
                <xdr:rowOff>38100</xdr:rowOff>
              </to>
            </anchor>
          </controlPr>
        </control>
      </mc:Choice>
      <mc:Fallback>
        <control shapeId="35068" r:id="rId9" name="ComboBox2"/>
      </mc:Fallback>
    </mc:AlternateContent>
    <mc:AlternateContent xmlns:mc="http://schemas.openxmlformats.org/markup-compatibility/2006">
      <mc:Choice Requires="x14">
        <control shapeId="35396" r:id="rId11" name="cmdTrackChanges">
          <controlPr defaultSize="0" autoLine="0" r:id="rId12">
            <anchor moveWithCells="1">
              <from>
                <xdr:col>1</xdr:col>
                <xdr:colOff>1123950</xdr:colOff>
                <xdr:row>20</xdr:row>
                <xdr:rowOff>104775</xdr:rowOff>
              </from>
              <to>
                <xdr:col>3</xdr:col>
                <xdr:colOff>295275</xdr:colOff>
                <xdr:row>21</xdr:row>
                <xdr:rowOff>228600</xdr:rowOff>
              </to>
            </anchor>
          </controlPr>
        </control>
      </mc:Choice>
      <mc:Fallback>
        <control shapeId="35396" r:id="rId11" name="cmdTrackChanges"/>
      </mc:Fallback>
    </mc:AlternateContent>
    <mc:AlternateContent xmlns:mc="http://schemas.openxmlformats.org/markup-compatibility/2006">
      <mc:Choice Requires="x14">
        <control shapeId="35474" r:id="rId13" name="Label 658">
          <controlPr defaultSize="0" autoFill="0" autoLine="0" autoPict="0" macro="[0]!GoToAbout">
            <anchor moveWithCells="1" sizeWithCells="1">
              <from>
                <xdr:col>10</xdr:col>
                <xdr:colOff>428625</xdr:colOff>
                <xdr:row>0</xdr:row>
                <xdr:rowOff>800100</xdr:rowOff>
              </from>
              <to>
                <xdr:col>12</xdr:col>
                <xdr:colOff>76200</xdr:colOff>
                <xdr:row>1</xdr:row>
                <xdr:rowOff>0</xdr:rowOff>
              </to>
            </anchor>
          </controlPr>
        </control>
      </mc:Choice>
    </mc:AlternateContent>
    <mc:AlternateContent xmlns:mc="http://schemas.openxmlformats.org/markup-compatibility/2006">
      <mc:Choice Requires="x14">
        <control shapeId="35475" r:id="rId14" name="Label 659">
          <controlPr defaultSize="0" autoFill="0" autoLine="0" autoPict="0" macro="[0]!GoToDirectory">
            <anchor moveWithCells="1" sizeWithCells="1">
              <from>
                <xdr:col>12</xdr:col>
                <xdr:colOff>152400</xdr:colOff>
                <xdr:row>0</xdr:row>
                <xdr:rowOff>800100</xdr:rowOff>
              </from>
              <to>
                <xdr:col>13</xdr:col>
                <xdr:colOff>981075</xdr:colOff>
                <xdr:row>1</xdr:row>
                <xdr:rowOff>0</xdr:rowOff>
              </to>
            </anchor>
          </controlPr>
        </control>
      </mc:Choice>
    </mc:AlternateContent>
  </control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P1">
    <pageSetUpPr fitToPage="1"/>
  </sheetPr>
  <dimension ref="A1:O224"/>
  <sheetViews>
    <sheetView showGridLines="0" zoomScale="80" workbookViewId="0">
      <selection activeCell="A2" sqref="A2"/>
    </sheetView>
  </sheetViews>
  <sheetFormatPr baseColWidth="10" defaultColWidth="8.85546875" defaultRowHeight="12.75" x14ac:dyDescent="0.2"/>
  <cols>
    <col min="1" max="1" width="22.5703125" style="360" customWidth="1"/>
    <col min="2" max="2" width="25.85546875" style="360" customWidth="1"/>
    <col min="3" max="3" width="9.7109375" style="360" customWidth="1"/>
    <col min="4" max="4" width="20.140625" style="360" customWidth="1"/>
    <col min="5" max="5" width="14.85546875" style="360" customWidth="1"/>
    <col min="6" max="6" width="8.5703125" style="360" customWidth="1"/>
    <col min="7" max="7" width="2.85546875" style="360" customWidth="1"/>
    <col min="8" max="8" width="19.5703125" style="360" customWidth="1"/>
    <col min="9" max="12" width="9.140625" style="360" customWidth="1"/>
    <col min="13" max="13" width="2.5703125" style="360" customWidth="1"/>
    <col min="14" max="14" width="16.7109375" style="360" customWidth="1"/>
    <col min="15" max="15" width="13.7109375" style="360" customWidth="1"/>
    <col min="16" max="16384" width="8.85546875" style="361"/>
  </cols>
  <sheetData>
    <row r="1" spans="1:15" ht="102" customHeight="1" x14ac:dyDescent="0.2"/>
    <row r="2" spans="1:15" ht="27.75" customHeight="1" x14ac:dyDescent="0.25">
      <c r="A2" s="362" t="s">
        <v>685</v>
      </c>
      <c r="B2" s="363"/>
      <c r="C2" s="364"/>
      <c r="D2" s="364"/>
      <c r="E2" s="364"/>
      <c r="F2" s="365"/>
      <c r="G2" s="365"/>
      <c r="H2" s="366"/>
      <c r="I2" s="367"/>
      <c r="J2" s="368"/>
      <c r="K2" s="369"/>
      <c r="L2" s="370"/>
      <c r="M2" s="367"/>
      <c r="N2" s="367"/>
      <c r="O2" s="371" t="str">
        <f>About!D2</f>
        <v>Version 4d for Testing</v>
      </c>
    </row>
    <row r="3" spans="1:15" ht="27.75" customHeight="1" x14ac:dyDescent="0.25">
      <c r="A3" s="372" t="s">
        <v>1050</v>
      </c>
      <c r="B3" s="373"/>
      <c r="C3" s="374"/>
      <c r="D3" s="374"/>
      <c r="E3" s="373"/>
      <c r="F3" s="373"/>
      <c r="G3" s="373"/>
      <c r="H3" s="375"/>
      <c r="I3" s="376"/>
      <c r="J3" s="377"/>
      <c r="K3" s="378"/>
      <c r="L3" s="377"/>
      <c r="M3" s="377"/>
      <c r="N3" s="379"/>
      <c r="O3" s="378"/>
    </row>
    <row r="4" spans="1:15" ht="16.5" customHeight="1" x14ac:dyDescent="0.25">
      <c r="A4" s="380" t="s">
        <v>861</v>
      </c>
      <c r="B4" s="381" t="s">
        <v>854</v>
      </c>
      <c r="C4" s="381" t="s">
        <v>1057</v>
      </c>
      <c r="D4" s="381" t="s">
        <v>852</v>
      </c>
      <c r="E4" s="382" t="s">
        <v>1047</v>
      </c>
      <c r="F4" s="383" t="s">
        <v>1125</v>
      </c>
      <c r="G4" s="384"/>
      <c r="H4" s="385" t="s">
        <v>869</v>
      </c>
      <c r="I4" s="386"/>
      <c r="J4" s="387" t="s">
        <v>1063</v>
      </c>
      <c r="K4" s="388"/>
      <c r="L4" s="389"/>
      <c r="M4" s="390"/>
      <c r="N4" s="387" t="s">
        <v>391</v>
      </c>
      <c r="O4" s="391"/>
    </row>
    <row r="5" spans="1:15" ht="16.5" customHeight="1" x14ac:dyDescent="0.25">
      <c r="A5" s="392" t="s">
        <v>831</v>
      </c>
      <c r="B5" s="393" t="s">
        <v>853</v>
      </c>
      <c r="C5" s="393" t="s">
        <v>1062</v>
      </c>
      <c r="D5" s="393" t="s">
        <v>853</v>
      </c>
      <c r="E5" s="394"/>
      <c r="F5" s="395" t="s">
        <v>1126</v>
      </c>
      <c r="G5" s="396"/>
      <c r="H5" s="397" t="s">
        <v>866</v>
      </c>
      <c r="I5" s="390"/>
      <c r="J5" s="398" t="str">
        <f>A69</f>
        <v>Extraction rapeseed oil</v>
      </c>
      <c r="K5" s="399"/>
      <c r="L5" s="400"/>
      <c r="M5" s="390"/>
      <c r="N5" s="398" t="s">
        <v>395</v>
      </c>
      <c r="O5" s="400"/>
    </row>
    <row r="6" spans="1:15" ht="16.5" customHeight="1" x14ac:dyDescent="0.35">
      <c r="A6" s="401" t="s">
        <v>170</v>
      </c>
      <c r="B6" s="402"/>
      <c r="C6" s="403"/>
      <c r="D6" s="404"/>
      <c r="E6" s="405">
        <f>IF(F6="A",D7+D8,H6)</f>
        <v>30.029479599187631</v>
      </c>
      <c r="F6" s="406" t="s">
        <v>1127</v>
      </c>
      <c r="G6" s="407"/>
      <c r="H6" s="408">
        <v>30</v>
      </c>
      <c r="I6" s="390"/>
      <c r="J6" s="409">
        <f>F94/F96</f>
        <v>0.61250210048731302</v>
      </c>
      <c r="K6" s="410" t="s">
        <v>660</v>
      </c>
      <c r="L6" s="411"/>
      <c r="M6" s="390"/>
      <c r="N6" s="412">
        <v>83.8</v>
      </c>
      <c r="O6" s="413" t="s">
        <v>394</v>
      </c>
    </row>
    <row r="7" spans="1:15" ht="12" customHeight="1" x14ac:dyDescent="0.2">
      <c r="A7" s="398" t="str">
        <f>A22</f>
        <v>Cultivation of rapeseed</v>
      </c>
      <c r="B7" s="414">
        <f>L45</f>
        <v>48.313882120978157</v>
      </c>
      <c r="C7" s="415">
        <f>J6</f>
        <v>0.61250210048731302</v>
      </c>
      <c r="D7" s="416">
        <f>C7*B7</f>
        <v>29.592354281795558</v>
      </c>
      <c r="E7" s="1215"/>
      <c r="F7" s="418"/>
      <c r="G7" s="418"/>
      <c r="H7" s="419">
        <f>29.61</f>
        <v>29.61</v>
      </c>
      <c r="I7" s="390"/>
      <c r="J7" s="420">
        <f>1-J6</f>
        <v>0.38749789951268698</v>
      </c>
      <c r="K7" s="421" t="s">
        <v>661</v>
      </c>
      <c r="L7" s="422"/>
      <c r="M7" s="390"/>
      <c r="N7" s="398" t="s">
        <v>393</v>
      </c>
      <c r="O7" s="400"/>
    </row>
    <row r="8" spans="1:15" ht="12" customHeight="1" x14ac:dyDescent="0.2">
      <c r="A8" s="398" t="str">
        <f>A48</f>
        <v>Rapeseed drying</v>
      </c>
      <c r="B8" s="414">
        <f>L56</f>
        <v>0.71367154013723455</v>
      </c>
      <c r="C8" s="415">
        <f>J6</f>
        <v>0.61250210048731302</v>
      </c>
      <c r="D8" s="416">
        <f>C8*B8</f>
        <v>0.43712531739207189</v>
      </c>
      <c r="E8" s="1215"/>
      <c r="F8" s="418"/>
      <c r="G8" s="418"/>
      <c r="H8" s="419">
        <f>0.44</f>
        <v>0.44</v>
      </c>
      <c r="I8" s="390"/>
      <c r="J8" s="379"/>
      <c r="K8" s="379"/>
      <c r="L8" s="379"/>
      <c r="M8" s="390"/>
      <c r="N8" s="426">
        <f>(N6-E19)/N6</f>
        <v>0.56991427338536138</v>
      </c>
      <c r="O8" s="427"/>
    </row>
    <row r="9" spans="1:15" ht="16.5" customHeight="1" x14ac:dyDescent="0.35">
      <c r="A9" s="401" t="s">
        <v>544</v>
      </c>
      <c r="B9" s="423"/>
      <c r="C9" s="423"/>
      <c r="D9" s="424"/>
      <c r="E9" s="425">
        <f>IF(F9="A",D10+D11,H9)</f>
        <v>5.031688413452776</v>
      </c>
      <c r="F9" s="406" t="s">
        <v>1127</v>
      </c>
      <c r="G9" s="407"/>
      <c r="H9" s="408">
        <v>5</v>
      </c>
      <c r="I9" s="390"/>
      <c r="J9" s="643"/>
      <c r="K9" s="644"/>
      <c r="L9" s="643"/>
      <c r="M9" s="390"/>
      <c r="N9" s="390"/>
      <c r="O9" s="430"/>
    </row>
    <row r="10" spans="1:15" ht="12" customHeight="1" x14ac:dyDescent="0.2">
      <c r="A10" s="398" t="str">
        <f>A69</f>
        <v>Extraction rapeseed oil</v>
      </c>
      <c r="B10" s="414">
        <f>L88</f>
        <v>6.4876261130551116</v>
      </c>
      <c r="C10" s="415">
        <f>J6</f>
        <v>0.61250210048731302</v>
      </c>
      <c r="D10" s="416">
        <f>C10*B10</f>
        <v>3.9736846214225978</v>
      </c>
      <c r="E10" s="1215"/>
      <c r="F10" s="418"/>
      <c r="G10" s="418"/>
      <c r="H10" s="419">
        <f>1.4*2.84</f>
        <v>3.9759999999999995</v>
      </c>
      <c r="I10" s="390"/>
      <c r="J10" s="645"/>
      <c r="K10" s="646"/>
      <c r="L10" s="643"/>
      <c r="M10" s="390"/>
      <c r="N10" s="390"/>
      <c r="O10" s="441"/>
    </row>
    <row r="11" spans="1:15" ht="12" customHeight="1" x14ac:dyDescent="0.2">
      <c r="A11" s="398" t="str">
        <f>A110</f>
        <v>Refining of rapeseed oil</v>
      </c>
      <c r="B11" s="414">
        <f>L128</f>
        <v>1.0580037920301781</v>
      </c>
      <c r="C11" s="415">
        <v>1</v>
      </c>
      <c r="D11" s="416">
        <f>C11*B11</f>
        <v>1.0580037920301781</v>
      </c>
      <c r="E11" s="417"/>
      <c r="F11" s="418"/>
      <c r="G11" s="418"/>
      <c r="H11" s="647">
        <f>1.4*0.75</f>
        <v>1.0499999999999998</v>
      </c>
      <c r="I11" s="390"/>
      <c r="J11" s="390"/>
      <c r="K11" s="390"/>
      <c r="L11" s="390"/>
      <c r="M11" s="390"/>
      <c r="N11" s="390"/>
      <c r="O11" s="435"/>
    </row>
    <row r="12" spans="1:15" ht="16.5" customHeight="1" thickBot="1" x14ac:dyDescent="0.4">
      <c r="A12" s="401" t="s">
        <v>545</v>
      </c>
      <c r="B12" s="423"/>
      <c r="C12" s="423"/>
      <c r="D12" s="424"/>
      <c r="E12" s="425">
        <f>IF(F12="A",D13+D14+D15, H12)</f>
        <v>0.98001587766630271</v>
      </c>
      <c r="F12" s="406" t="s">
        <v>1127</v>
      </c>
      <c r="G12" s="407"/>
      <c r="H12" s="648">
        <v>1</v>
      </c>
      <c r="I12" s="390"/>
      <c r="J12" s="390"/>
      <c r="K12" s="390"/>
      <c r="L12" s="390"/>
      <c r="M12" s="390"/>
      <c r="N12" s="390"/>
      <c r="O12" s="435"/>
    </row>
    <row r="13" spans="1:15" ht="12" customHeight="1" x14ac:dyDescent="0.2">
      <c r="A13" s="398" t="str">
        <f>A59</f>
        <v>Transport of rapeseed</v>
      </c>
      <c r="B13" s="414">
        <f>L66</f>
        <v>0.2940212723225627</v>
      </c>
      <c r="C13" s="415">
        <f>J6</f>
        <v>0.61250210048731302</v>
      </c>
      <c r="D13" s="416">
        <f t="shared" ref="D13:D18" si="0">C13*B13</f>
        <v>0.18008864688552192</v>
      </c>
      <c r="E13" s="1215"/>
      <c r="F13" s="418"/>
      <c r="G13" s="418"/>
      <c r="H13" s="419">
        <f>0.18</f>
        <v>0.18</v>
      </c>
      <c r="I13" s="390"/>
      <c r="J13" s="432" t="s">
        <v>140</v>
      </c>
      <c r="K13" s="433"/>
      <c r="L13" s="433"/>
      <c r="M13" s="433"/>
      <c r="N13" s="434"/>
      <c r="O13" s="430"/>
    </row>
    <row r="14" spans="1:15" ht="12" customHeight="1" x14ac:dyDescent="0.2">
      <c r="A14" s="398" t="str">
        <f>A100</f>
        <v>Transport of rapeseed oil</v>
      </c>
      <c r="B14" s="414">
        <f>L107</f>
        <v>0</v>
      </c>
      <c r="C14" s="415">
        <v>1</v>
      </c>
      <c r="D14" s="416">
        <f t="shared" si="0"/>
        <v>0</v>
      </c>
      <c r="E14" s="1215"/>
      <c r="F14" s="418"/>
      <c r="G14" s="418"/>
      <c r="H14" s="419">
        <v>0</v>
      </c>
      <c r="I14" s="390"/>
      <c r="J14" s="438"/>
      <c r="K14" s="439"/>
      <c r="L14" s="439"/>
      <c r="M14" s="439"/>
      <c r="N14" s="440"/>
      <c r="O14" s="441"/>
    </row>
    <row r="15" spans="1:15" ht="12" customHeight="1" x14ac:dyDescent="0.2">
      <c r="A15" s="398" t="str">
        <f>A139</f>
        <v>Transport to filling station</v>
      </c>
      <c r="B15" s="414">
        <f>L148</f>
        <v>0.79992723078078076</v>
      </c>
      <c r="C15" s="415">
        <v>1</v>
      </c>
      <c r="D15" s="416">
        <f t="shared" si="0"/>
        <v>0.79992723078078076</v>
      </c>
      <c r="E15" s="436"/>
      <c r="F15" s="437"/>
      <c r="G15" s="437"/>
      <c r="H15" s="419">
        <f>0.37+0.44</f>
        <v>0.81</v>
      </c>
      <c r="I15" s="379"/>
      <c r="J15" s="438"/>
      <c r="K15" s="439"/>
      <c r="L15" s="439"/>
      <c r="M15" s="442"/>
      <c r="N15" s="443"/>
      <c r="O15" s="441"/>
    </row>
    <row r="16" spans="1:15" ht="17.25" customHeight="1" x14ac:dyDescent="0.35">
      <c r="A16" s="444" t="s">
        <v>551</v>
      </c>
      <c r="B16" s="445">
        <f>L160</f>
        <v>0</v>
      </c>
      <c r="C16" s="446">
        <f>J6</f>
        <v>0.61250210048731302</v>
      </c>
      <c r="D16" s="445">
        <f t="shared" si="0"/>
        <v>0</v>
      </c>
      <c r="E16" s="425">
        <f>D16</f>
        <v>0</v>
      </c>
      <c r="F16" s="451"/>
      <c r="G16" s="451"/>
      <c r="H16" s="447">
        <v>0</v>
      </c>
      <c r="I16" s="379"/>
      <c r="J16" s="438"/>
      <c r="K16" s="439"/>
      <c r="L16" s="439"/>
      <c r="M16" s="448"/>
      <c r="N16" s="449"/>
      <c r="O16" s="649"/>
    </row>
    <row r="17" spans="1:15" ht="16.5" customHeight="1" x14ac:dyDescent="0.35">
      <c r="A17" s="444" t="s">
        <v>724</v>
      </c>
      <c r="B17" s="445">
        <f>L179-L163</f>
        <v>0</v>
      </c>
      <c r="C17" s="446">
        <v>1</v>
      </c>
      <c r="D17" s="445">
        <f t="shared" si="0"/>
        <v>0</v>
      </c>
      <c r="E17" s="425">
        <f>D17</f>
        <v>0</v>
      </c>
      <c r="F17" s="451"/>
      <c r="G17" s="451"/>
      <c r="H17" s="447">
        <v>0</v>
      </c>
      <c r="I17" s="361"/>
      <c r="J17" s="438"/>
      <c r="K17" s="439"/>
      <c r="L17" s="439"/>
      <c r="M17" s="448"/>
      <c r="N17" s="449"/>
      <c r="O17" s="649"/>
    </row>
    <row r="18" spans="1:15" ht="16.5" customHeight="1" thickBot="1" x14ac:dyDescent="0.4">
      <c r="A18" s="444" t="s">
        <v>725</v>
      </c>
      <c r="B18" s="445">
        <f>L185+L191</f>
        <v>0</v>
      </c>
      <c r="C18" s="446">
        <v>1</v>
      </c>
      <c r="D18" s="445">
        <f t="shared" si="0"/>
        <v>0</v>
      </c>
      <c r="E18" s="425">
        <f>D18</f>
        <v>0</v>
      </c>
      <c r="F18" s="451"/>
      <c r="G18" s="451"/>
      <c r="H18" s="447">
        <v>0</v>
      </c>
      <c r="I18" s="361"/>
      <c r="J18" s="459" t="s">
        <v>1</v>
      </c>
      <c r="K18" s="460"/>
      <c r="L18" s="460"/>
      <c r="M18" s="461"/>
      <c r="N18" s="462"/>
      <c r="O18" s="649"/>
    </row>
    <row r="19" spans="1:15" ht="16.5" customHeight="1" thickBot="1" x14ac:dyDescent="0.3">
      <c r="A19" s="452" t="s">
        <v>1049</v>
      </c>
      <c r="B19" s="453">
        <f>SUM(B7:B16)-SUM(B17:B18)</f>
        <v>57.667132069304024</v>
      </c>
      <c r="C19" s="454"/>
      <c r="D19" s="454"/>
      <c r="E19" s="456">
        <f>SUM(E6:E16)-SUM(E17:E18)</f>
        <v>36.041183890306712</v>
      </c>
      <c r="F19" s="457"/>
      <c r="G19" s="457"/>
      <c r="H19" s="458">
        <v>36</v>
      </c>
      <c r="I19" s="379"/>
      <c r="J19" s="650"/>
      <c r="K19" s="651"/>
      <c r="L19" s="651"/>
      <c r="M19" s="652"/>
      <c r="N19" s="652"/>
      <c r="O19" s="463"/>
    </row>
    <row r="20" spans="1:15" ht="16.5" customHeight="1" x14ac:dyDescent="0.25">
      <c r="A20" s="464"/>
      <c r="B20" s="465"/>
      <c r="E20" s="466" t="s">
        <v>859</v>
      </c>
      <c r="F20" s="467"/>
      <c r="G20" s="467"/>
      <c r="H20" s="468"/>
      <c r="I20" s="469"/>
      <c r="J20" s="470"/>
      <c r="K20" s="433"/>
      <c r="L20" s="471"/>
      <c r="M20" s="433"/>
      <c r="N20" s="433"/>
      <c r="O20" s="472"/>
    </row>
    <row r="21" spans="1:15" ht="22.5" customHeight="1" thickBot="1" x14ac:dyDescent="0.25">
      <c r="A21" s="473" t="s">
        <v>1051</v>
      </c>
      <c r="B21" s="379"/>
      <c r="E21" s="474" t="s">
        <v>860</v>
      </c>
      <c r="F21" s="442"/>
      <c r="G21" s="442"/>
      <c r="H21" s="442"/>
      <c r="I21" s="439"/>
      <c r="J21" s="475"/>
      <c r="K21" s="475"/>
      <c r="L21" s="476"/>
      <c r="M21" s="477"/>
      <c r="N21" s="477"/>
      <c r="O21" s="478"/>
    </row>
    <row r="22" spans="1:15" ht="15.75" x14ac:dyDescent="0.25">
      <c r="A22" s="479" t="s">
        <v>737</v>
      </c>
      <c r="B22" s="480"/>
      <c r="C22" s="480"/>
      <c r="D22" s="480"/>
      <c r="E22" s="479" t="s">
        <v>513</v>
      </c>
      <c r="F22" s="481"/>
      <c r="G22" s="481"/>
      <c r="H22" s="480"/>
      <c r="I22" s="482" t="s">
        <v>532</v>
      </c>
      <c r="J22" s="481"/>
      <c r="K22" s="481"/>
      <c r="L22" s="483"/>
      <c r="M22" s="484"/>
      <c r="N22" s="610" t="s">
        <v>162</v>
      </c>
      <c r="O22" s="653"/>
    </row>
    <row r="23" spans="1:15" ht="15.75" x14ac:dyDescent="0.25">
      <c r="A23" s="486"/>
      <c r="B23" s="487" t="s">
        <v>524</v>
      </c>
      <c r="C23" s="488"/>
      <c r="D23" s="488"/>
      <c r="E23" s="489" t="s">
        <v>524</v>
      </c>
      <c r="F23" s="490"/>
      <c r="G23" s="490"/>
      <c r="H23" s="491"/>
      <c r="I23" s="492" t="s">
        <v>832</v>
      </c>
      <c r="J23" s="490"/>
      <c r="K23" s="490"/>
      <c r="L23" s="493"/>
      <c r="M23" s="484"/>
      <c r="N23" s="538" t="s">
        <v>637</v>
      </c>
      <c r="O23" s="654" t="s">
        <v>139</v>
      </c>
    </row>
    <row r="24" spans="1:15" ht="16.5" x14ac:dyDescent="0.3">
      <c r="A24" s="494"/>
      <c r="B24" s="495" t="s">
        <v>512</v>
      </c>
      <c r="C24" s="655">
        <v>3113.4428644904001</v>
      </c>
      <c r="D24" s="497" t="s">
        <v>527</v>
      </c>
      <c r="E24" s="656">
        <f>C24*(1-C25)*VLOOKUP($B24,'Standard values'!$C$9:$S$162,14, FALSE)</f>
        <v>73975.402460291909</v>
      </c>
      <c r="F24" s="499" t="s">
        <v>739</v>
      </c>
      <c r="G24" s="499"/>
      <c r="H24" s="499"/>
      <c r="I24" s="500" t="s">
        <v>1053</v>
      </c>
      <c r="J24" s="500" t="s">
        <v>1054</v>
      </c>
      <c r="K24" s="500" t="s">
        <v>1055</v>
      </c>
      <c r="L24" s="501" t="s">
        <v>1056</v>
      </c>
      <c r="M24" s="379"/>
      <c r="N24" s="540" t="s">
        <v>1056</v>
      </c>
      <c r="O24" s="657" t="s">
        <v>550</v>
      </c>
    </row>
    <row r="25" spans="1:15" ht="15.75" x14ac:dyDescent="0.3">
      <c r="A25" s="503"/>
      <c r="B25" s="495" t="s">
        <v>521</v>
      </c>
      <c r="C25" s="658">
        <v>0.1</v>
      </c>
      <c r="D25" s="497"/>
      <c r="E25" s="505">
        <v>1</v>
      </c>
      <c r="F25" s="506" t="s">
        <v>740</v>
      </c>
      <c r="G25" s="506"/>
      <c r="H25" s="495"/>
      <c r="I25" s="507"/>
      <c r="J25" s="508"/>
      <c r="K25" s="508"/>
      <c r="L25" s="509"/>
      <c r="M25" s="379"/>
      <c r="N25" s="541"/>
      <c r="O25" s="616"/>
    </row>
    <row r="26" spans="1:15" ht="15.75" x14ac:dyDescent="0.3">
      <c r="A26" s="503"/>
      <c r="B26" s="495" t="s">
        <v>124</v>
      </c>
      <c r="C26" s="659" t="s">
        <v>738</v>
      </c>
      <c r="D26" s="497" t="s">
        <v>527</v>
      </c>
      <c r="E26" s="510">
        <f>+C24/E196</f>
        <v>7.2292979135971824E-2</v>
      </c>
      <c r="F26" s="506" t="s">
        <v>842</v>
      </c>
      <c r="G26" s="506"/>
      <c r="H26" s="495"/>
      <c r="I26" s="508"/>
      <c r="J26" s="508"/>
      <c r="K26" s="508"/>
      <c r="L26" s="509"/>
      <c r="M26" s="379"/>
      <c r="N26" s="541"/>
      <c r="O26" s="616"/>
    </row>
    <row r="27" spans="1:15" x14ac:dyDescent="0.2">
      <c r="A27" s="503"/>
      <c r="B27" s="495"/>
      <c r="C27" s="660"/>
      <c r="D27" s="497"/>
      <c r="E27" s="503"/>
      <c r="F27" s="495"/>
      <c r="G27" s="495"/>
      <c r="H27" s="495"/>
      <c r="I27" s="546"/>
      <c r="J27" s="546"/>
      <c r="K27" s="546"/>
      <c r="L27" s="661"/>
      <c r="M27" s="379"/>
      <c r="N27" s="541"/>
      <c r="O27" s="616"/>
    </row>
    <row r="28" spans="1:15" x14ac:dyDescent="0.2">
      <c r="A28" s="503"/>
      <c r="B28" s="511" t="s">
        <v>525</v>
      </c>
      <c r="C28" s="660"/>
      <c r="D28" s="497"/>
      <c r="E28" s="503"/>
      <c r="F28" s="495"/>
      <c r="G28" s="495"/>
      <c r="H28" s="495"/>
      <c r="I28" s="546"/>
      <c r="J28" s="546"/>
      <c r="K28" s="546"/>
      <c r="L28" s="661"/>
      <c r="M28" s="379"/>
      <c r="N28" s="541"/>
      <c r="O28" s="616"/>
    </row>
    <row r="29" spans="1:15" ht="14.25" x14ac:dyDescent="0.2">
      <c r="A29" s="503"/>
      <c r="B29" s="495" t="s">
        <v>509</v>
      </c>
      <c r="C29" s="662">
        <v>2963</v>
      </c>
      <c r="D29" s="497" t="s">
        <v>528</v>
      </c>
      <c r="E29" s="513"/>
      <c r="F29" s="495"/>
      <c r="G29" s="495"/>
      <c r="H29" s="495"/>
      <c r="I29" s="508">
        <f>$C29*VLOOKUP($B29,'Standard values'!$C$9:$S$162,7, FALSE)/$E$196</f>
        <v>6.0295338277759942</v>
      </c>
      <c r="J29" s="508">
        <f>$C29*VLOOKUP($B29,'Standard values'!$C$9:$S$162,8, FALSE)/$E$196</f>
        <v>0</v>
      </c>
      <c r="K29" s="508">
        <f>$C29*VLOOKUP($B29,'Standard values'!$C$9:$S$162,9, FALSE)/$E$196</f>
        <v>0</v>
      </c>
      <c r="L29" s="509">
        <f>I29*'Standard values'!$D$10+J29*'Standard values'!$D$11+K29*'Standard values'!$D$12</f>
        <v>6.0295338277759942</v>
      </c>
      <c r="M29" s="379"/>
      <c r="N29" s="562">
        <f>+L29/$E$26</f>
        <v>83.404141036093989</v>
      </c>
      <c r="O29" s="663">
        <f>L29*$E$196/1000</f>
        <v>259.67402777777778</v>
      </c>
    </row>
    <row r="30" spans="1:15" x14ac:dyDescent="0.2">
      <c r="A30" s="503"/>
      <c r="B30" s="495"/>
      <c r="C30" s="660"/>
      <c r="D30" s="497"/>
      <c r="E30" s="513"/>
      <c r="F30" s="495"/>
      <c r="G30" s="495"/>
      <c r="H30" s="495"/>
      <c r="I30" s="508"/>
      <c r="J30" s="508"/>
      <c r="K30" s="508"/>
      <c r="L30" s="509"/>
      <c r="M30" s="379"/>
      <c r="N30" s="562"/>
      <c r="O30" s="663"/>
    </row>
    <row r="31" spans="1:15" x14ac:dyDescent="0.2">
      <c r="A31" s="503"/>
      <c r="B31" s="511" t="s">
        <v>1045</v>
      </c>
      <c r="C31" s="660"/>
      <c r="D31" s="497"/>
      <c r="E31" s="513"/>
      <c r="F31" s="495"/>
      <c r="G31" s="495"/>
      <c r="H31" s="495"/>
      <c r="I31" s="508"/>
      <c r="J31" s="508"/>
      <c r="K31" s="508"/>
      <c r="L31" s="509"/>
      <c r="M31" s="379"/>
      <c r="N31" s="562"/>
      <c r="O31" s="663"/>
    </row>
    <row r="32" spans="1:15" ht="14.25" x14ac:dyDescent="0.2">
      <c r="A32" s="503"/>
      <c r="B32" s="495" t="s">
        <v>231</v>
      </c>
      <c r="C32" s="664">
        <v>137.42915126138399</v>
      </c>
      <c r="D32" s="497" t="s">
        <v>529</v>
      </c>
      <c r="E32" s="513"/>
      <c r="F32" s="495"/>
      <c r="G32" s="495"/>
      <c r="H32" s="495"/>
      <c r="I32" s="508">
        <f>$C32*VLOOKUP($B32,'Standard values'!$C$9:$S$162,3, FALSE)/$E$196</f>
        <v>9.0211238943106853</v>
      </c>
      <c r="J32" s="508">
        <f>$C32*VLOOKUP($B32,'Standard values'!$C$9:$S$162,4, FALSE)/$E$196</f>
        <v>2.7694515157700498E-2</v>
      </c>
      <c r="K32" s="508">
        <f>$C32*VLOOKUP($B32,'Standard values'!$C$9:$S$162,5, FALSE)/$E$196</f>
        <v>3.0767499682849777E-2</v>
      </c>
      <c r="L32" s="509">
        <f>I32*'Standard values'!$D$10+J32*'Standard values'!$D$11+K32*'Standard values'!$D$12</f>
        <v>18.882201678742433</v>
      </c>
      <c r="M32" s="379"/>
      <c r="N32" s="562">
        <f t="shared" ref="N32:N37" si="1">+L32/$E$26</f>
        <v>261.18997867314272</v>
      </c>
      <c r="O32" s="663">
        <f t="shared" ref="O32:O37" si="2">L32*$E$196/1000</f>
        <v>813.2000753762959</v>
      </c>
    </row>
    <row r="33" spans="1:15" ht="14.25" x14ac:dyDescent="0.2">
      <c r="A33" s="503"/>
      <c r="B33" s="495" t="s">
        <v>504</v>
      </c>
      <c r="C33" s="556">
        <v>0</v>
      </c>
      <c r="D33" s="497" t="s">
        <v>529</v>
      </c>
      <c r="E33" s="513"/>
      <c r="F33" s="495"/>
      <c r="G33" s="495"/>
      <c r="H33" s="495"/>
      <c r="I33" s="508">
        <f>$C33*VLOOKUP($B33,'Standard values'!$C$9:$S$162,3, FALSE)/$E$196</f>
        <v>0</v>
      </c>
      <c r="J33" s="508">
        <f>$C33*VLOOKUP($B33,'Standard values'!$C$9:$S$162,4, FALSE)/$E$196</f>
        <v>0</v>
      </c>
      <c r="K33" s="508">
        <f>$C33*VLOOKUP($B33,'Standard values'!$C$9:$S$162,5, FALSE)/$E$196</f>
        <v>0</v>
      </c>
      <c r="L33" s="509">
        <f>I33*'Standard values'!$D$10+J33*'Standard values'!$D$11+K33*'Standard values'!$D$12</f>
        <v>0</v>
      </c>
      <c r="M33" s="379"/>
      <c r="N33" s="562">
        <f t="shared" si="1"/>
        <v>0</v>
      </c>
      <c r="O33" s="663">
        <f t="shared" si="2"/>
        <v>0</v>
      </c>
    </row>
    <row r="34" spans="1:15" ht="14.25" x14ac:dyDescent="0.2">
      <c r="A34" s="503"/>
      <c r="B34" s="495" t="s">
        <v>234</v>
      </c>
      <c r="C34" s="664">
        <v>19</v>
      </c>
      <c r="D34" s="497" t="s">
        <v>745</v>
      </c>
      <c r="E34" s="513"/>
      <c r="F34" s="495"/>
      <c r="G34" s="495"/>
      <c r="H34" s="495"/>
      <c r="I34" s="508">
        <f>$C34*VLOOKUP($B34,'Standard values'!$C$9:$S$162,3, FALSE)/$E$196</f>
        <v>5.255075062353131E-2</v>
      </c>
      <c r="J34" s="508">
        <f>$C34*VLOOKUP($B34,'Standard values'!$C$9:$S$162,4, FALSE)/$E$196</f>
        <v>9.524922814416542E-5</v>
      </c>
      <c r="K34" s="508">
        <f>$C34*VLOOKUP($B34,'Standard values'!$C$9:$S$162,5, FALSE)/$E$196</f>
        <v>8.0734639881344488E-6</v>
      </c>
      <c r="L34" s="509">
        <f>I34*'Standard values'!$D$10+J34*'Standard values'!$D$11+K34*'Standard values'!$D$12</f>
        <v>5.7337873595599512E-2</v>
      </c>
      <c r="M34" s="379"/>
      <c r="N34" s="562">
        <f t="shared" si="1"/>
        <v>0.79313197880192365</v>
      </c>
      <c r="O34" s="663">
        <f t="shared" si="2"/>
        <v>2.4693711000000005</v>
      </c>
    </row>
    <row r="35" spans="1:15" ht="15.75" x14ac:dyDescent="0.3">
      <c r="A35" s="503"/>
      <c r="B35" s="495" t="s">
        <v>233</v>
      </c>
      <c r="C35" s="664">
        <v>49.456704071183701</v>
      </c>
      <c r="D35" s="497" t="s">
        <v>530</v>
      </c>
      <c r="E35" s="513"/>
      <c r="F35" s="495"/>
      <c r="G35" s="495"/>
      <c r="H35" s="495"/>
      <c r="I35" s="508">
        <f>$C35*VLOOKUP($B35,'Standard values'!$C$9:$S$162,3, FALSE)/$E$196</f>
        <v>0.61588129721866047</v>
      </c>
      <c r="J35" s="508">
        <f>$C35*VLOOKUP($B35,'Standard values'!$C$9:$S$162,4, FALSE)/$E$196</f>
        <v>1.803968425405476E-3</v>
      </c>
      <c r="K35" s="508">
        <f>$C35*VLOOKUP($B35,'Standard values'!$C$9:$S$162,5, FALSE)/$E$196</f>
        <v>1.4124903961097051E-5</v>
      </c>
      <c r="L35" s="509">
        <f>I35*'Standard values'!$D$10+J35*'Standard values'!$D$11+K35*'Standard values'!$D$12</f>
        <v>0.66518972923420427</v>
      </c>
      <c r="M35" s="379"/>
      <c r="N35" s="562">
        <f t="shared" si="1"/>
        <v>9.2013047073780996</v>
      </c>
      <c r="O35" s="663">
        <f t="shared" si="2"/>
        <v>28.647736485188272</v>
      </c>
    </row>
    <row r="36" spans="1:15" ht="15.75" x14ac:dyDescent="0.3">
      <c r="A36" s="503"/>
      <c r="B36" s="495" t="s">
        <v>232</v>
      </c>
      <c r="C36" s="664">
        <v>33.673145974586099</v>
      </c>
      <c r="D36" s="497" t="s">
        <v>531</v>
      </c>
      <c r="E36" s="513"/>
      <c r="F36" s="495"/>
      <c r="G36" s="495"/>
      <c r="H36" s="495"/>
      <c r="I36" s="508">
        <f>$C36*VLOOKUP($B36,'Standard values'!$C$9:$S$162,3, FALSE)/$E$196</f>
        <v>0.75442339029492855</v>
      </c>
      <c r="J36" s="508">
        <f>$C36*VLOOKUP($B36,'Standard values'!$C$9:$S$162,4, FALSE)/$E$196</f>
        <v>1.0406794296350399E-3</v>
      </c>
      <c r="K36" s="508">
        <f>$C36*VLOOKUP($B36,'Standard values'!$C$9:$S$162,5, FALSE)/$E$196</f>
        <v>4.0266709711648801E-5</v>
      </c>
      <c r="L36" s="509">
        <f>I36*'Standard values'!$D$10+J36*'Standard values'!$D$11+K36*'Standard values'!$D$12</f>
        <v>0.79243985552987584</v>
      </c>
      <c r="M36" s="379"/>
      <c r="N36" s="562">
        <f t="shared" si="1"/>
        <v>10.961505045177624</v>
      </c>
      <c r="O36" s="663">
        <f t="shared" si="2"/>
        <v>34.128019666983789</v>
      </c>
    </row>
    <row r="37" spans="1:15" ht="14.25" x14ac:dyDescent="0.2">
      <c r="A37" s="503"/>
      <c r="B37" s="495" t="s">
        <v>502</v>
      </c>
      <c r="C37" s="664">
        <v>1.23</v>
      </c>
      <c r="D37" s="497" t="s">
        <v>527</v>
      </c>
      <c r="E37" s="513"/>
      <c r="F37" s="665"/>
      <c r="G37" s="665"/>
      <c r="H37" s="665"/>
      <c r="I37" s="508">
        <f>$C37*VLOOKUP($B37,'Standard values'!$C$9:$S$162,3, FALSE)/$E$196</f>
        <v>0.28235988200952433</v>
      </c>
      <c r="J37" s="508">
        <f>$C37*VLOOKUP($B37,'Standard values'!$C$9:$S$162,4, FALSE)/$E$196</f>
        <v>7.2905755180602088E-4</v>
      </c>
      <c r="K37" s="508">
        <f>$C37*VLOOKUP($B37,'Standard values'!$C$9:$S$162,5, FALSE)/$E$196</f>
        <v>4.8021019528526284E-5</v>
      </c>
      <c r="L37" s="509">
        <f>I37*'Standard values'!$D$10+J37*'Standard values'!$D$11+K37*'Standard values'!$D$12</f>
        <v>0.31489658462417569</v>
      </c>
      <c r="M37" s="379"/>
      <c r="N37" s="562">
        <f t="shared" si="1"/>
        <v>4.3558390923675212</v>
      </c>
      <c r="O37" s="663">
        <f t="shared" si="2"/>
        <v>13.561656141</v>
      </c>
    </row>
    <row r="38" spans="1:15" x14ac:dyDescent="0.2">
      <c r="A38" s="503"/>
      <c r="B38" s="495"/>
      <c r="C38" s="666"/>
      <c r="D38" s="497"/>
      <c r="E38" s="513"/>
      <c r="F38" s="665"/>
      <c r="G38" s="665"/>
      <c r="H38" s="665"/>
      <c r="I38" s="508"/>
      <c r="J38" s="508"/>
      <c r="K38" s="508"/>
      <c r="L38" s="509"/>
      <c r="M38" s="379"/>
      <c r="N38" s="562"/>
      <c r="O38" s="663"/>
    </row>
    <row r="39" spans="1:15" x14ac:dyDescent="0.2">
      <c r="A39" s="503"/>
      <c r="B39" s="511" t="s">
        <v>511</v>
      </c>
      <c r="C39" s="666"/>
      <c r="D39" s="497"/>
      <c r="E39" s="513"/>
      <c r="F39" s="495"/>
      <c r="G39" s="495"/>
      <c r="H39" s="665"/>
      <c r="I39" s="508"/>
      <c r="J39" s="508"/>
      <c r="K39" s="508"/>
      <c r="L39" s="509"/>
      <c r="M39" s="379"/>
      <c r="N39" s="562"/>
      <c r="O39" s="663"/>
    </row>
    <row r="40" spans="1:15" ht="14.25" x14ac:dyDescent="0.2">
      <c r="A40" s="503"/>
      <c r="B40" s="499" t="s">
        <v>1075</v>
      </c>
      <c r="C40" s="667">
        <v>6</v>
      </c>
      <c r="D40" s="497" t="s">
        <v>527</v>
      </c>
      <c r="E40" s="513"/>
      <c r="F40" s="495"/>
      <c r="G40" s="495"/>
      <c r="H40" s="495"/>
      <c r="I40" s="508">
        <f>$C40*VLOOKUP($B40,'Standard values'!$C$9:$S$162,3, FALSE)/$E$196</f>
        <v>5.7410214340652813E-2</v>
      </c>
      <c r="J40" s="508">
        <f>$C40*VLOOKUP($B40,'Standard values'!$C$9:$S$162,4, FALSE)/$E$196</f>
        <v>1.2715531634116152E-4</v>
      </c>
      <c r="K40" s="508">
        <f>$C40*VLOOKUP($B40,'Standard values'!$C$9:$S$162,5, FALSE)/$E$196</f>
        <v>1.3970784620019369E-4</v>
      </c>
      <c r="L40" s="509">
        <f>I40*'Standard values'!$D$10+J40*'Standard values'!$D$11+K40*'Standard values'!$D$12</f>
        <v>0.10222203541683958</v>
      </c>
      <c r="M40" s="379"/>
      <c r="N40" s="562">
        <f>+L40/$E$26</f>
        <v>1.4139967205470376</v>
      </c>
      <c r="O40" s="663">
        <f>L40*$E$196/1000</f>
        <v>4.4023980000000007</v>
      </c>
    </row>
    <row r="41" spans="1:15" x14ac:dyDescent="0.2">
      <c r="A41" s="503"/>
      <c r="B41" s="511"/>
      <c r="C41" s="668"/>
      <c r="D41" s="497"/>
      <c r="E41" s="513"/>
      <c r="F41" s="495"/>
      <c r="G41" s="495"/>
      <c r="H41" s="495"/>
      <c r="I41" s="508"/>
      <c r="J41" s="508"/>
      <c r="K41" s="508"/>
      <c r="L41" s="509"/>
      <c r="M41" s="379"/>
      <c r="N41" s="562"/>
      <c r="O41" s="663"/>
    </row>
    <row r="42" spans="1:15" ht="15" x14ac:dyDescent="0.25">
      <c r="A42" s="503"/>
      <c r="B42" s="511" t="s">
        <v>1046</v>
      </c>
      <c r="C42" s="669">
        <v>3.1028571587511329</v>
      </c>
      <c r="D42" s="497" t="s">
        <v>527</v>
      </c>
      <c r="E42" s="513"/>
      <c r="F42" s="495"/>
      <c r="G42" s="495"/>
      <c r="H42" s="495"/>
      <c r="I42" s="508">
        <v>0</v>
      </c>
      <c r="J42" s="508">
        <v>0</v>
      </c>
      <c r="K42" s="508">
        <f>1000*$C42/$E$196</f>
        <v>7.2047183006909529E-2</v>
      </c>
      <c r="L42" s="509">
        <f>I42*'Standard values'!$D$10+J42*'Standard values'!$D$11+K42*'Standard values'!$D$12</f>
        <v>21.470060536059041</v>
      </c>
      <c r="M42" s="379"/>
      <c r="N42" s="562">
        <f>+L42/$E$26</f>
        <v>296.98680000000007</v>
      </c>
      <c r="O42" s="750">
        <f>L42*$E$196/1000</f>
        <v>924.65143330783769</v>
      </c>
    </row>
    <row r="43" spans="1:15" ht="15.75" x14ac:dyDescent="0.3">
      <c r="A43" s="503"/>
      <c r="B43" s="511"/>
      <c r="C43" s="670" t="s">
        <v>664</v>
      </c>
      <c r="D43" s="495"/>
      <c r="E43" s="513"/>
      <c r="F43" s="514"/>
      <c r="G43" s="514"/>
      <c r="H43" s="514" t="s">
        <v>1047</v>
      </c>
      <c r="I43" s="515">
        <f>SUM(I25:I42)</f>
        <v>16.813283256573975</v>
      </c>
      <c r="J43" s="515">
        <f>SUM(J25:J42)</f>
        <v>3.1490625109032361E-2</v>
      </c>
      <c r="K43" s="515">
        <f>SUM(K25:K42)</f>
        <v>0.10306487663314891</v>
      </c>
      <c r="L43" s="516">
        <f>I43*'Standard values'!$D$10+J43*'Standard values'!$D$11+K43*'Standard values'!$D$12</f>
        <v>48.313882120978157</v>
      </c>
      <c r="M43" s="379"/>
      <c r="N43" s="1201">
        <f>+L43/E$26</f>
        <v>668.3066972535089</v>
      </c>
      <c r="O43" s="1202">
        <f>L43*$E$196/1000</f>
        <v>2080.7347178550831</v>
      </c>
    </row>
    <row r="44" spans="1:15" x14ac:dyDescent="0.2">
      <c r="A44" s="503"/>
      <c r="B44" s="511"/>
      <c r="C44" s="671" t="s">
        <v>665</v>
      </c>
      <c r="D44" s="495"/>
      <c r="E44" s="513"/>
      <c r="F44" s="514"/>
      <c r="G44" s="514"/>
      <c r="H44" s="514"/>
      <c r="I44" s="416"/>
      <c r="J44" s="416"/>
      <c r="K44" s="416"/>
      <c r="L44" s="436"/>
      <c r="M44" s="379"/>
      <c r="N44" s="1203"/>
      <c r="O44" s="1204"/>
    </row>
    <row r="45" spans="1:15" ht="14.25" x14ac:dyDescent="0.25">
      <c r="A45" s="519"/>
      <c r="B45" s="520"/>
      <c r="C45" s="520"/>
      <c r="D45" s="520"/>
      <c r="E45" s="519"/>
      <c r="F45" s="521"/>
      <c r="G45" s="521"/>
      <c r="H45" s="521" t="s">
        <v>534</v>
      </c>
      <c r="I45" s="522"/>
      <c r="J45" s="523" t="s">
        <v>833</v>
      </c>
      <c r="K45" s="524"/>
      <c r="L45" s="525">
        <f>N43*E$26</f>
        <v>48.313882120978157</v>
      </c>
      <c r="M45" s="379"/>
      <c r="N45" s="390"/>
      <c r="O45" s="390"/>
    </row>
    <row r="46" spans="1:15" x14ac:dyDescent="0.2">
      <c r="A46" s="379"/>
      <c r="B46" s="379"/>
      <c r="C46" s="379"/>
      <c r="D46" s="379"/>
      <c r="E46" s="379"/>
      <c r="F46" s="526"/>
      <c r="G46" s="526"/>
      <c r="H46" s="526"/>
      <c r="I46" s="527"/>
      <c r="J46" s="528"/>
      <c r="K46" s="484"/>
      <c r="L46" s="430"/>
      <c r="M46" s="379"/>
      <c r="N46" s="390"/>
      <c r="O46" s="390"/>
    </row>
    <row r="47" spans="1:15" x14ac:dyDescent="0.2">
      <c r="A47" s="390"/>
      <c r="B47" s="390"/>
      <c r="C47" s="390"/>
      <c r="D47" s="390"/>
      <c r="E47" s="390"/>
      <c r="F47" s="390"/>
      <c r="G47" s="390"/>
      <c r="H47" s="390"/>
      <c r="I47" s="529"/>
      <c r="J47" s="529"/>
      <c r="K47" s="529"/>
      <c r="L47" s="529"/>
      <c r="M47" s="379"/>
      <c r="N47" s="390"/>
      <c r="O47" s="390"/>
    </row>
    <row r="48" spans="1:15" ht="15.75" x14ac:dyDescent="0.25">
      <c r="A48" s="530" t="s">
        <v>742</v>
      </c>
      <c r="B48" s="531"/>
      <c r="C48" s="531"/>
      <c r="D48" s="531"/>
      <c r="E48" s="530" t="s">
        <v>513</v>
      </c>
      <c r="F48" s="532"/>
      <c r="G48" s="532"/>
      <c r="H48" s="531"/>
      <c r="I48" s="532" t="s">
        <v>532</v>
      </c>
      <c r="J48" s="533"/>
      <c r="K48" s="533"/>
      <c r="L48" s="534"/>
      <c r="M48" s="379"/>
      <c r="N48" s="535" t="s">
        <v>162</v>
      </c>
      <c r="O48" s="390"/>
    </row>
    <row r="49" spans="1:15" ht="15.75" x14ac:dyDescent="0.3">
      <c r="A49" s="587"/>
      <c r="B49" s="511" t="s">
        <v>512</v>
      </c>
      <c r="C49" s="593">
        <v>1</v>
      </c>
      <c r="D49" s="495" t="s">
        <v>744</v>
      </c>
      <c r="E49" s="588">
        <f>E24*C49</f>
        <v>73975.402460291909</v>
      </c>
      <c r="F49" s="499" t="s">
        <v>739</v>
      </c>
      <c r="G49" s="499"/>
      <c r="H49" s="495"/>
      <c r="I49" s="492" t="s">
        <v>832</v>
      </c>
      <c r="J49" s="514"/>
      <c r="K49" s="514"/>
      <c r="L49" s="537"/>
      <c r="M49" s="379"/>
      <c r="N49" s="554" t="s">
        <v>637</v>
      </c>
      <c r="O49" s="390"/>
    </row>
    <row r="50" spans="1:15" ht="15.75" x14ac:dyDescent="0.3">
      <c r="A50" s="587"/>
      <c r="B50" s="495"/>
      <c r="C50" s="512"/>
      <c r="D50" s="495"/>
      <c r="E50" s="505">
        <f>E25*C49</f>
        <v>1</v>
      </c>
      <c r="F50" s="506" t="s">
        <v>740</v>
      </c>
      <c r="G50" s="506"/>
      <c r="H50" s="495"/>
      <c r="I50" s="539" t="s">
        <v>1053</v>
      </c>
      <c r="J50" s="539" t="s">
        <v>1054</v>
      </c>
      <c r="K50" s="539" t="s">
        <v>1055</v>
      </c>
      <c r="L50" s="540" t="s">
        <v>1056</v>
      </c>
      <c r="M50" s="379"/>
      <c r="N50" s="540" t="s">
        <v>1056</v>
      </c>
      <c r="O50" s="390"/>
    </row>
    <row r="51" spans="1:15" x14ac:dyDescent="0.2">
      <c r="A51" s="503"/>
      <c r="B51" s="511" t="s">
        <v>525</v>
      </c>
      <c r="C51" s="495"/>
      <c r="D51" s="495"/>
      <c r="E51" s="503"/>
      <c r="F51" s="495"/>
      <c r="G51" s="495"/>
      <c r="H51" s="495"/>
      <c r="I51" s="495"/>
      <c r="J51" s="495"/>
      <c r="K51" s="495"/>
      <c r="L51" s="541"/>
      <c r="M51" s="379"/>
      <c r="N51" s="541"/>
      <c r="O51" s="390"/>
    </row>
    <row r="52" spans="1:15" ht="15.75" x14ac:dyDescent="0.3">
      <c r="A52" s="503"/>
      <c r="B52" s="499" t="s">
        <v>509</v>
      </c>
      <c r="C52" s="672">
        <v>1.8100000000000001E-4</v>
      </c>
      <c r="D52" s="495" t="s">
        <v>638</v>
      </c>
      <c r="E52" s="503"/>
      <c r="F52" s="495"/>
      <c r="G52" s="495"/>
      <c r="H52" s="495"/>
      <c r="I52" s="544">
        <f>$C52*$E$50*VLOOKUP($B52,'Standard values'!$C$9:$S$162,7, FALSE)/$E$197</f>
        <v>2.7246956352324981E-2</v>
      </c>
      <c r="J52" s="544">
        <f>$C52*$E$50*VLOOKUP($B52,'Standard values'!$C$9:$S$162,8, FALSE)/$E$197</f>
        <v>0</v>
      </c>
      <c r="K52" s="544">
        <f>$C52*$E$50*VLOOKUP($B52,'Standard values'!$C$9:$S$162,9, FALSE)/$E$197</f>
        <v>0</v>
      </c>
      <c r="L52" s="419">
        <f>I52*'Standard values'!$D$10+J52*'Standard values'!$D$11+K52*'Standard values'!$D$12</f>
        <v>2.7246956352324981E-2</v>
      </c>
      <c r="M52" s="379"/>
      <c r="N52" s="562">
        <f>+L52/$E$26</f>
        <v>0.37689630000000007</v>
      </c>
      <c r="O52" s="390"/>
    </row>
    <row r="53" spans="1:15" ht="15.75" x14ac:dyDescent="0.3">
      <c r="A53" s="503"/>
      <c r="B53" s="1301" t="s">
        <v>49</v>
      </c>
      <c r="C53" s="559">
        <v>3.0790000000000001E-3</v>
      </c>
      <c r="D53" s="495" t="s">
        <v>638</v>
      </c>
      <c r="E53" s="503"/>
      <c r="F53" s="495"/>
      <c r="G53" s="495"/>
      <c r="H53" s="495"/>
      <c r="I53" s="544">
        <f>$C53*$E$50*VLOOKUP($B53,'Standard values'!$C$9:$S$162,7, FALSE)/$E$197</f>
        <v>0.63885074818541543</v>
      </c>
      <c r="J53" s="544">
        <f>$C53*$E$50*VLOOKUP($B53,'Standard values'!$C$9:$S$162,8, FALSE)/$E$197</f>
        <v>1.5579747662596692E-3</v>
      </c>
      <c r="K53" s="544">
        <f>$C53*$E$50*VLOOKUP($B53,'Standard values'!$C$9:$S$162,9, FALSE)/$E$197</f>
        <v>2.8941162560410638E-5</v>
      </c>
      <c r="L53" s="419">
        <f>I53*'Standard values'!$D$10+J53*'Standard values'!$D$11+K53*'Standard values'!$D$12</f>
        <v>0.68642458378490956</v>
      </c>
      <c r="M53" s="379"/>
      <c r="N53" s="562">
        <f>+L53/$E$26</f>
        <v>9.4950379966200025</v>
      </c>
      <c r="O53" s="390"/>
    </row>
    <row r="54" spans="1:15" x14ac:dyDescent="0.2">
      <c r="A54" s="503"/>
      <c r="B54" s="495"/>
      <c r="C54" s="495"/>
      <c r="D54" s="495"/>
      <c r="E54" s="503"/>
      <c r="F54" s="495"/>
      <c r="G54" s="495"/>
      <c r="H54" s="514" t="s">
        <v>1047</v>
      </c>
      <c r="I54" s="515">
        <f>SUM(I51:I53)</f>
        <v>0.66609770453774042</v>
      </c>
      <c r="J54" s="515">
        <f>SUM(J51:J53)</f>
        <v>1.5579747662596692E-3</v>
      </c>
      <c r="K54" s="515">
        <f>SUM(K51:K53)</f>
        <v>2.8941162560410638E-5</v>
      </c>
      <c r="L54" s="516">
        <f>I54*'Standard values'!$D$10+J54*'Standard values'!$D$11+K54*'Standard values'!$D$12</f>
        <v>0.71367154013723455</v>
      </c>
      <c r="M54" s="379"/>
      <c r="N54" s="1201">
        <f>+L54/E$26</f>
        <v>9.8719342966200028</v>
      </c>
      <c r="O54" s="518"/>
    </row>
    <row r="55" spans="1:15" x14ac:dyDescent="0.2">
      <c r="A55" s="590"/>
      <c r="B55" s="495"/>
      <c r="C55" s="492"/>
      <c r="D55" s="495"/>
      <c r="E55" s="503"/>
      <c r="F55" s="495"/>
      <c r="G55" s="495"/>
      <c r="H55" s="495"/>
      <c r="I55" s="495"/>
      <c r="J55" s="495"/>
      <c r="K55" s="495"/>
      <c r="L55" s="541"/>
      <c r="M55" s="379"/>
      <c r="N55" s="1203"/>
      <c r="O55" s="390"/>
    </row>
    <row r="56" spans="1:15" ht="14.25" x14ac:dyDescent="0.25">
      <c r="A56" s="519"/>
      <c r="B56" s="520"/>
      <c r="C56" s="520"/>
      <c r="D56" s="520"/>
      <c r="E56" s="519"/>
      <c r="F56" s="521"/>
      <c r="G56" s="521"/>
      <c r="H56" s="521" t="s">
        <v>534</v>
      </c>
      <c r="I56" s="520"/>
      <c r="J56" s="523" t="s">
        <v>833</v>
      </c>
      <c r="K56" s="549"/>
      <c r="L56" s="525">
        <f>N54*E$26</f>
        <v>0.71367154013723455</v>
      </c>
      <c r="M56" s="379"/>
      <c r="N56" s="390"/>
      <c r="O56" s="390"/>
    </row>
    <row r="57" spans="1:15" x14ac:dyDescent="0.2">
      <c r="A57" s="390"/>
      <c r="B57" s="390"/>
      <c r="C57" s="390"/>
      <c r="D57" s="390"/>
      <c r="E57" s="390"/>
      <c r="F57" s="376"/>
      <c r="G57" s="376"/>
      <c r="H57" s="376"/>
      <c r="I57" s="390"/>
      <c r="J57" s="550"/>
      <c r="K57" s="551"/>
      <c r="L57" s="552"/>
      <c r="M57" s="379"/>
      <c r="N57" s="390"/>
      <c r="O57" s="390"/>
    </row>
    <row r="58" spans="1:15" x14ac:dyDescent="0.2">
      <c r="A58" s="390"/>
      <c r="B58" s="390"/>
      <c r="C58" s="390"/>
      <c r="D58" s="390"/>
      <c r="E58" s="390"/>
      <c r="F58" s="390"/>
      <c r="G58" s="390"/>
      <c r="H58" s="390"/>
      <c r="I58" s="529"/>
      <c r="J58" s="529"/>
      <c r="K58" s="529"/>
      <c r="L58" s="529"/>
      <c r="M58" s="379"/>
      <c r="N58" s="390"/>
      <c r="O58" s="390"/>
    </row>
    <row r="59" spans="1:15" ht="15.75" x14ac:dyDescent="0.25">
      <c r="A59" s="530" t="s">
        <v>743</v>
      </c>
      <c r="B59" s="531"/>
      <c r="C59" s="531"/>
      <c r="D59" s="531"/>
      <c r="E59" s="530" t="s">
        <v>513</v>
      </c>
      <c r="F59" s="532"/>
      <c r="G59" s="532"/>
      <c r="H59" s="531"/>
      <c r="I59" s="532" t="s">
        <v>532</v>
      </c>
      <c r="J59" s="533"/>
      <c r="K59" s="533"/>
      <c r="L59" s="534"/>
      <c r="M59" s="379"/>
      <c r="N59" s="535" t="s">
        <v>162</v>
      </c>
      <c r="O59" s="390"/>
    </row>
    <row r="60" spans="1:15" ht="15.75" x14ac:dyDescent="0.3">
      <c r="A60" s="503"/>
      <c r="B60" s="511" t="s">
        <v>512</v>
      </c>
      <c r="C60" s="593">
        <v>0.99009900990099009</v>
      </c>
      <c r="D60" s="495" t="s">
        <v>744</v>
      </c>
      <c r="E60" s="553">
        <f>E49*C60</f>
        <v>73242.972732962284</v>
      </c>
      <c r="F60" s="499" t="s">
        <v>739</v>
      </c>
      <c r="G60" s="499"/>
      <c r="H60" s="495"/>
      <c r="I60" s="492" t="s">
        <v>832</v>
      </c>
      <c r="J60" s="514"/>
      <c r="K60" s="514"/>
      <c r="L60" s="537"/>
      <c r="M60" s="379"/>
      <c r="N60" s="554" t="s">
        <v>637</v>
      </c>
      <c r="O60" s="390"/>
    </row>
    <row r="61" spans="1:15" ht="15.75" x14ac:dyDescent="0.3">
      <c r="A61" s="503"/>
      <c r="B61" s="495"/>
      <c r="C61" s="495"/>
      <c r="D61" s="495"/>
      <c r="E61" s="505">
        <f>E50*C60</f>
        <v>0.99009900990099009</v>
      </c>
      <c r="F61" s="506" t="s">
        <v>740</v>
      </c>
      <c r="G61" s="506"/>
      <c r="H61" s="495"/>
      <c r="I61" s="539" t="s">
        <v>1053</v>
      </c>
      <c r="J61" s="539" t="s">
        <v>1054</v>
      </c>
      <c r="K61" s="539" t="s">
        <v>1055</v>
      </c>
      <c r="L61" s="540" t="s">
        <v>1056</v>
      </c>
      <c r="M61" s="379"/>
      <c r="N61" s="540" t="s">
        <v>1056</v>
      </c>
      <c r="O61" s="390"/>
    </row>
    <row r="62" spans="1:15" x14ac:dyDescent="0.2">
      <c r="A62" s="503"/>
      <c r="B62" s="511" t="s">
        <v>498</v>
      </c>
      <c r="C62" s="495"/>
      <c r="D62" s="495"/>
      <c r="E62" s="505"/>
      <c r="F62" s="506"/>
      <c r="G62" s="506"/>
      <c r="H62" s="495"/>
      <c r="I62" s="539"/>
      <c r="J62" s="539"/>
      <c r="K62" s="539"/>
      <c r="L62" s="540"/>
      <c r="M62" s="379"/>
      <c r="N62" s="541"/>
      <c r="O62" s="390"/>
    </row>
    <row r="63" spans="1:15" ht="15.75" x14ac:dyDescent="0.3">
      <c r="A63" s="503"/>
      <c r="B63" s="495" t="s">
        <v>1111</v>
      </c>
      <c r="C63" s="595">
        <v>50</v>
      </c>
      <c r="D63" s="495" t="s">
        <v>510</v>
      </c>
      <c r="E63" s="543">
        <f>(C63*E61)/(VLOOKUP($B60,'Standard values'!$C$9:$S$162,14, FALSE))/(1-$C$25)/1000</f>
        <v>2.0835416875020834E-3</v>
      </c>
      <c r="F63" s="495" t="s">
        <v>244</v>
      </c>
      <c r="G63" s="495"/>
      <c r="H63" s="495"/>
      <c r="I63" s="544">
        <f>$E63*VLOOKUP($B63,'Standard values'!$C$9:$S$162,15, FALSE)*VLOOKUP(C64,'Standard values'!$C$9:$S$162,7, FALSE)/$E$197</f>
        <v>0.29357391477840444</v>
      </c>
      <c r="J63" s="544">
        <f>$E63*((VLOOKUP($B63,'Standard values'!$C$9:$S$162,15, FALSE)*VLOOKUP(C64,'Standard values'!$C$9:$S$162,8, FALSE))+VLOOKUP($B63,'Standard values'!$C$9:$S$162,16, FALSE))/$E$197</f>
        <v>1.7894301766329662E-5</v>
      </c>
      <c r="K63" s="544">
        <f>$E63*((VLOOKUP($B63,'Standard values'!$C$9:$S$162,15, FALSE)*VLOOKUP(C64,'Standard values'!$C$9:$S$162,9, FALSE))+VLOOKUP($B63,'Standard values'!$C$9:$S$162,17, FALSE))/$E$197</f>
        <v>0</v>
      </c>
      <c r="L63" s="516">
        <f>I63*'Standard values'!$D$10+J63*'Standard values'!$D$11+K63*'Standard values'!$D$12</f>
        <v>0.2940212723225627</v>
      </c>
      <c r="M63" s="379"/>
      <c r="N63" s="1201">
        <f>+L63/E$26</f>
        <v>4.0670792079207931</v>
      </c>
      <c r="O63" s="390"/>
    </row>
    <row r="64" spans="1:15" x14ac:dyDescent="0.2">
      <c r="A64" s="503"/>
      <c r="B64" s="546" t="s">
        <v>54</v>
      </c>
      <c r="C64" s="673" t="s">
        <v>509</v>
      </c>
      <c r="D64" s="495"/>
      <c r="E64" s="543"/>
      <c r="F64" s="495"/>
      <c r="G64" s="495"/>
      <c r="H64" s="495"/>
      <c r="I64" s="544"/>
      <c r="J64" s="544"/>
      <c r="K64" s="544"/>
      <c r="L64" s="516"/>
      <c r="M64" s="379"/>
      <c r="N64" s="1203"/>
      <c r="O64" s="390"/>
    </row>
    <row r="65" spans="1:15" x14ac:dyDescent="0.2">
      <c r="A65" s="503"/>
      <c r="B65" s="495"/>
      <c r="C65" s="495"/>
      <c r="D65" s="495"/>
      <c r="E65" s="503"/>
      <c r="F65" s="495"/>
      <c r="G65" s="495"/>
      <c r="H65" s="548"/>
      <c r="I65" s="544"/>
      <c r="J65" s="544"/>
      <c r="K65" s="544"/>
      <c r="L65" s="516"/>
      <c r="M65" s="379"/>
      <c r="N65" s="390"/>
      <c r="O65" s="390"/>
    </row>
    <row r="66" spans="1:15" ht="14.25" x14ac:dyDescent="0.25">
      <c r="A66" s="519"/>
      <c r="B66" s="520"/>
      <c r="C66" s="520"/>
      <c r="D66" s="520"/>
      <c r="E66" s="519"/>
      <c r="F66" s="521"/>
      <c r="G66" s="521"/>
      <c r="H66" s="521" t="s">
        <v>534</v>
      </c>
      <c r="I66" s="520"/>
      <c r="J66" s="523" t="s">
        <v>833</v>
      </c>
      <c r="K66" s="549"/>
      <c r="L66" s="525">
        <f>N63*E$26</f>
        <v>0.2940212723225627</v>
      </c>
      <c r="M66" s="379"/>
      <c r="N66" s="390"/>
      <c r="O66" s="390"/>
    </row>
    <row r="67" spans="1:15" x14ac:dyDescent="0.2">
      <c r="A67" s="390"/>
      <c r="B67" s="390"/>
      <c r="C67" s="390"/>
      <c r="D67" s="390"/>
      <c r="E67" s="390"/>
      <c r="F67" s="376"/>
      <c r="G67" s="376"/>
      <c r="H67" s="376"/>
      <c r="I67" s="390"/>
      <c r="J67" s="550"/>
      <c r="K67" s="551"/>
      <c r="L67" s="552"/>
      <c r="M67" s="379"/>
      <c r="N67" s="379"/>
      <c r="O67" s="379"/>
    </row>
    <row r="68" spans="1:15" x14ac:dyDescent="0.2">
      <c r="A68" s="390"/>
      <c r="B68" s="390"/>
      <c r="C68" s="390"/>
      <c r="D68" s="390"/>
      <c r="E68" s="390"/>
      <c r="F68" s="390"/>
      <c r="G68" s="390"/>
      <c r="H68" s="390"/>
      <c r="I68" s="390"/>
      <c r="J68" s="390"/>
      <c r="K68" s="390"/>
      <c r="L68" s="375"/>
      <c r="M68" s="379"/>
      <c r="N68" s="379"/>
      <c r="O68" s="379"/>
    </row>
    <row r="69" spans="1:15" ht="15.75" x14ac:dyDescent="0.25">
      <c r="A69" s="530" t="s">
        <v>342</v>
      </c>
      <c r="B69" s="531"/>
      <c r="C69" s="531"/>
      <c r="D69" s="531"/>
      <c r="E69" s="530" t="s">
        <v>513</v>
      </c>
      <c r="F69" s="532"/>
      <c r="G69" s="532"/>
      <c r="H69" s="531"/>
      <c r="I69" s="532" t="s">
        <v>532</v>
      </c>
      <c r="J69" s="533"/>
      <c r="K69" s="533"/>
      <c r="L69" s="534"/>
      <c r="M69" s="379"/>
      <c r="N69" s="535" t="s">
        <v>162</v>
      </c>
      <c r="O69" s="379"/>
    </row>
    <row r="70" spans="1:15" x14ac:dyDescent="0.2">
      <c r="A70" s="503"/>
      <c r="B70" s="511" t="s">
        <v>524</v>
      </c>
      <c r="C70" s="495"/>
      <c r="D70" s="495"/>
      <c r="E70" s="553"/>
      <c r="F70" s="674"/>
      <c r="G70" s="674"/>
      <c r="H70" s="495"/>
      <c r="I70" s="492" t="s">
        <v>832</v>
      </c>
      <c r="J70" s="514"/>
      <c r="K70" s="514"/>
      <c r="L70" s="537"/>
      <c r="M70" s="379"/>
      <c r="N70" s="554" t="s">
        <v>588</v>
      </c>
      <c r="O70" s="379"/>
    </row>
    <row r="71" spans="1:15" ht="15.75" x14ac:dyDescent="0.3">
      <c r="A71" s="503"/>
      <c r="B71" s="495" t="s">
        <v>1039</v>
      </c>
      <c r="C71" s="675">
        <v>0.61250210048731302</v>
      </c>
      <c r="D71" s="495" t="s">
        <v>643</v>
      </c>
      <c r="E71" s="553">
        <f>E60*C71</f>
        <v>44861.47464487439</v>
      </c>
      <c r="F71" s="499" t="s">
        <v>654</v>
      </c>
      <c r="G71" s="499"/>
      <c r="H71" s="495"/>
      <c r="I71" s="539" t="s">
        <v>1053</v>
      </c>
      <c r="J71" s="539" t="s">
        <v>1054</v>
      </c>
      <c r="K71" s="539" t="s">
        <v>1055</v>
      </c>
      <c r="L71" s="540" t="s">
        <v>1056</v>
      </c>
      <c r="M71" s="379"/>
      <c r="N71" s="540" t="s">
        <v>1056</v>
      </c>
      <c r="O71" s="379"/>
    </row>
    <row r="72" spans="1:15" ht="15.75" x14ac:dyDescent="0.3">
      <c r="A72" s="563"/>
      <c r="B72" s="506" t="s">
        <v>127</v>
      </c>
      <c r="C72" s="675">
        <v>0.38749789951268698</v>
      </c>
      <c r="D72" s="495" t="s">
        <v>666</v>
      </c>
      <c r="E72" s="505">
        <f>E61*C71</f>
        <v>0.6064377232547653</v>
      </c>
      <c r="F72" s="506" t="s">
        <v>740</v>
      </c>
      <c r="G72" s="506"/>
      <c r="H72" s="495"/>
      <c r="I72" s="495"/>
      <c r="J72" s="495"/>
      <c r="K72" s="495"/>
      <c r="L72" s="541"/>
      <c r="M72" s="379"/>
      <c r="N72" s="541"/>
      <c r="O72" s="379"/>
    </row>
    <row r="73" spans="1:15" ht="15.75" x14ac:dyDescent="0.3">
      <c r="A73" s="563"/>
      <c r="B73" s="506"/>
      <c r="C73" s="564"/>
      <c r="D73" s="506"/>
      <c r="E73" s="557">
        <f>E71/$E$196/VLOOKUP($B71,'Standard values'!$C$9:$S$162,14, FALSE)</f>
        <v>2.8153153153153154E-2</v>
      </c>
      <c r="F73" s="499" t="s">
        <v>540</v>
      </c>
      <c r="G73" s="499"/>
      <c r="H73" s="495"/>
      <c r="I73" s="495"/>
      <c r="J73" s="495"/>
      <c r="K73" s="495"/>
      <c r="L73" s="541"/>
      <c r="M73" s="379"/>
      <c r="N73" s="541"/>
      <c r="O73" s="379"/>
    </row>
    <row r="74" spans="1:15" x14ac:dyDescent="0.2">
      <c r="A74" s="503"/>
      <c r="B74" s="511" t="s">
        <v>525</v>
      </c>
      <c r="C74" s="495"/>
      <c r="D74" s="495"/>
      <c r="E74" s="513"/>
      <c r="F74" s="495"/>
      <c r="G74" s="495"/>
      <c r="H74" s="495"/>
      <c r="I74" s="495"/>
      <c r="J74" s="495"/>
      <c r="K74" s="495"/>
      <c r="L74" s="541"/>
      <c r="M74" s="379"/>
      <c r="N74" s="541"/>
      <c r="O74" s="379"/>
    </row>
    <row r="75" spans="1:15" ht="15.75" x14ac:dyDescent="0.3">
      <c r="A75" s="503"/>
      <c r="B75" s="1301" t="s">
        <v>50</v>
      </c>
      <c r="C75" s="676">
        <f>1.4*0.00839506172839506</f>
        <v>1.1753086419753084E-2</v>
      </c>
      <c r="D75" s="495" t="s">
        <v>644</v>
      </c>
      <c r="E75" s="503"/>
      <c r="F75" s="495"/>
      <c r="G75" s="495"/>
      <c r="H75" s="495"/>
      <c r="I75" s="544">
        <f>$C75*$E$72*VLOOKUP($B75,'Standard values'!$C$9:$S$162,7, FALSE)/$E$197</f>
        <v>1.4613269375857336</v>
      </c>
      <c r="J75" s="544">
        <f>$C75*$E$72*VLOOKUP($B75,'Standard values'!$C$9:$S$162,8, FALSE)/$E$197</f>
        <v>3.5636745541838127E-3</v>
      </c>
      <c r="K75" s="544">
        <f>$C75*$E$72*VLOOKUP($B75,'Standard values'!$C$9:$S$162,9, FALSE)/$E$197</f>
        <v>6.5975080018289891E-5</v>
      </c>
      <c r="L75" s="419">
        <f>I75*'Standard values'!$D$10+J75*'Standard values'!$D$11+K75*'Standard values'!$D$12</f>
        <v>1.5700793752857791</v>
      </c>
      <c r="M75" s="379"/>
      <c r="N75" s="561">
        <f>L75/$E$73</f>
        <v>55.769219410150875</v>
      </c>
      <c r="O75" s="379"/>
    </row>
    <row r="76" spans="1:15" ht="15.75" x14ac:dyDescent="0.3">
      <c r="A76" s="503"/>
      <c r="B76" s="495" t="s">
        <v>827</v>
      </c>
      <c r="C76" s="676">
        <f>1.4*0.0397805212620027</f>
        <v>5.569272976680377E-2</v>
      </c>
      <c r="D76" s="495" t="s">
        <v>644</v>
      </c>
      <c r="E76" s="503"/>
      <c r="F76" s="495"/>
      <c r="G76" s="495"/>
      <c r="H76" s="495"/>
      <c r="I76" s="544"/>
      <c r="J76" s="544"/>
      <c r="K76" s="544"/>
      <c r="L76" s="677"/>
      <c r="M76" s="379"/>
      <c r="N76" s="562"/>
      <c r="O76" s="379"/>
    </row>
    <row r="77" spans="1:15" x14ac:dyDescent="0.2">
      <c r="A77" s="503"/>
      <c r="B77" s="571" t="s">
        <v>729</v>
      </c>
      <c r="C77" s="566"/>
      <c r="D77" s="566"/>
      <c r="E77" s="567"/>
      <c r="F77" s="568"/>
      <c r="G77" s="568"/>
      <c r="H77" s="568"/>
      <c r="I77" s="569" t="s">
        <v>830</v>
      </c>
      <c r="J77" s="568"/>
      <c r="K77" s="568"/>
      <c r="L77" s="678"/>
      <c r="M77" s="379"/>
      <c r="N77" s="562"/>
      <c r="O77" s="379"/>
    </row>
    <row r="78" spans="1:15" ht="15.75" x14ac:dyDescent="0.3">
      <c r="A78" s="503"/>
      <c r="B78" s="679" t="s">
        <v>826</v>
      </c>
      <c r="C78" s="573"/>
      <c r="D78" s="566"/>
      <c r="E78" s="567"/>
      <c r="F78" s="568"/>
      <c r="G78" s="568"/>
      <c r="H78" s="568"/>
      <c r="I78" s="574">
        <f>$C76*$E$72*VLOOKUP($B78,'Standard values'!$C$9:$S$159,7, FALSE)/$E$197</f>
        <v>0</v>
      </c>
      <c r="J78" s="574">
        <f>$C76*$E$72*VLOOKUP($B78,'Standard values'!$C$9:$S$159,8, FALSE)/$E$197</f>
        <v>1.6114794492709425E-4</v>
      </c>
      <c r="K78" s="574">
        <f>$C76*$E$72*VLOOKUP($B78,'Standard values'!$C$9:$S$159,9, FALSE)/$E$197</f>
        <v>6.4459177970837693E-5</v>
      </c>
      <c r="L78" s="575">
        <f>I78*'Standard values'!$D$10+J78*'Standard values'!$D$11+K78*'Standard values'!$D$12</f>
        <v>2.3237533658486992E-2</v>
      </c>
      <c r="M78" s="379"/>
      <c r="N78" s="561">
        <f>L78/$E$73</f>
        <v>0.8253971955494579</v>
      </c>
      <c r="O78" s="379"/>
    </row>
    <row r="79" spans="1:15" ht="14.25" x14ac:dyDescent="0.25">
      <c r="A79" s="503"/>
      <c r="B79" s="582" t="s">
        <v>828</v>
      </c>
      <c r="C79" s="536">
        <f>1/0.9</f>
        <v>1.1111111111111112</v>
      </c>
      <c r="D79" s="568" t="s">
        <v>419</v>
      </c>
      <c r="E79" s="567"/>
      <c r="F79" s="568"/>
      <c r="G79" s="568"/>
      <c r="H79" s="568"/>
      <c r="I79" s="574"/>
      <c r="J79" s="581"/>
      <c r="K79" s="581"/>
      <c r="L79" s="575"/>
      <c r="M79" s="379"/>
      <c r="N79" s="562"/>
      <c r="O79" s="379"/>
    </row>
    <row r="80" spans="1:15" ht="29.25" customHeight="1" x14ac:dyDescent="0.3">
      <c r="A80" s="503"/>
      <c r="B80" s="680" t="s">
        <v>158</v>
      </c>
      <c r="C80" s="573">
        <f>C79*C76</f>
        <v>6.1880810852004191E-2</v>
      </c>
      <c r="D80" s="568" t="s">
        <v>644</v>
      </c>
      <c r="E80" s="567"/>
      <c r="F80" s="568"/>
      <c r="G80" s="568"/>
      <c r="H80" s="568"/>
      <c r="I80" s="574">
        <f>$C80*$E$72*VLOOKUP($B80,'Standard values'!$C$9:$S$162,7, FALSE)/$E$197</f>
        <v>4.0586076817558254</v>
      </c>
      <c r="J80" s="574">
        <f>$C80*$E$72*VLOOKUP($B80,'Standard values'!$C$9:$S$162,8, FALSE)/$E$197</f>
        <v>1.2771869901832926E-2</v>
      </c>
      <c r="K80" s="574">
        <f>$C80*$E$72*VLOOKUP($B80,'Standard values'!$C$9:$S$162,9, FALSE)/$E$197</f>
        <v>1.4324261771297269E-5</v>
      </c>
      <c r="L80" s="575">
        <f>I80*'Standard values'!$D$10+J80*'Standard values'!$D$11+K80*'Standard values'!$D$12</f>
        <v>4.382173059309495</v>
      </c>
      <c r="M80" s="379"/>
      <c r="N80" s="561">
        <f>L80/$E$73</f>
        <v>155.65478706667326</v>
      </c>
      <c r="O80" s="379"/>
    </row>
    <row r="81" spans="1:15" ht="14.25" x14ac:dyDescent="0.25">
      <c r="A81" s="503"/>
      <c r="B81" s="582" t="s">
        <v>829</v>
      </c>
      <c r="C81" s="536">
        <v>0.02</v>
      </c>
      <c r="D81" s="568" t="s">
        <v>419</v>
      </c>
      <c r="E81" s="567"/>
      <c r="F81" s="568"/>
      <c r="G81" s="568"/>
      <c r="H81" s="568"/>
      <c r="I81" s="574"/>
      <c r="J81" s="581"/>
      <c r="K81" s="581"/>
      <c r="L81" s="575"/>
      <c r="M81" s="379"/>
      <c r="N81" s="561"/>
      <c r="O81" s="379"/>
    </row>
    <row r="82" spans="1:15" ht="15.75" x14ac:dyDescent="0.3">
      <c r="A82" s="503"/>
      <c r="B82" s="1301" t="s">
        <v>50</v>
      </c>
      <c r="C82" s="573">
        <f>C81*C76</f>
        <v>1.1138545953360754E-3</v>
      </c>
      <c r="D82" s="568" t="s">
        <v>644</v>
      </c>
      <c r="E82" s="567"/>
      <c r="F82" s="568"/>
      <c r="G82" s="568"/>
      <c r="H82" s="568"/>
      <c r="I82" s="574">
        <f>$C82*$E$72*VLOOKUP($B82,'Standard values'!$C$9:$S$162,7, FALSE)/$E$197</f>
        <v>0.13849176859472623</v>
      </c>
      <c r="J82" s="574">
        <f>$C82*$E$72*VLOOKUP($B82,'Standard values'!$C$9:$S$162,8, FALSE)/$E$197</f>
        <v>3.3773386297820414E-4</v>
      </c>
      <c r="K82" s="574">
        <f>$C82*$E$72*VLOOKUP($B82,'Standard values'!$C$9:$S$162,9, FALSE)/$E$197</f>
        <v>6.2525402631712564E-6</v>
      </c>
      <c r="L82" s="575">
        <f>I82*'Standard values'!$D$10+J82*'Standard values'!$D$11+K82*'Standard values'!$D$12</f>
        <v>0.14879837216760639</v>
      </c>
      <c r="M82" s="379"/>
      <c r="N82" s="561">
        <f>L82/$E$73</f>
        <v>5.2853181793933786</v>
      </c>
      <c r="O82" s="379"/>
    </row>
    <row r="83" spans="1:15" x14ac:dyDescent="0.2">
      <c r="A83" s="503"/>
      <c r="B83" s="495"/>
      <c r="C83" s="499"/>
      <c r="D83" s="495"/>
      <c r="E83" s="503"/>
      <c r="F83" s="495"/>
      <c r="G83" s="495"/>
      <c r="H83" s="495"/>
      <c r="I83" s="544"/>
      <c r="J83" s="544"/>
      <c r="K83" s="544"/>
      <c r="L83" s="419"/>
      <c r="M83" s="379"/>
      <c r="N83" s="561"/>
      <c r="O83" s="379"/>
    </row>
    <row r="84" spans="1:15" x14ac:dyDescent="0.2">
      <c r="A84" s="503"/>
      <c r="B84" s="511" t="s">
        <v>641</v>
      </c>
      <c r="C84" s="499"/>
      <c r="D84" s="495"/>
      <c r="E84" s="503"/>
      <c r="F84" s="495"/>
      <c r="G84" s="495"/>
      <c r="H84" s="495"/>
      <c r="I84" s="544"/>
      <c r="J84" s="544"/>
      <c r="K84" s="544"/>
      <c r="L84" s="419"/>
      <c r="M84" s="379"/>
      <c r="N84" s="561"/>
      <c r="O84" s="379"/>
    </row>
    <row r="85" spans="1:15" ht="15.75" x14ac:dyDescent="0.3">
      <c r="A85" s="503"/>
      <c r="B85" s="674" t="s">
        <v>1106</v>
      </c>
      <c r="C85" s="676">
        <f>1.4*0.00309382716049383</f>
        <v>4.3313580246913614E-3</v>
      </c>
      <c r="D85" s="495" t="s">
        <v>644</v>
      </c>
      <c r="E85" s="503"/>
      <c r="F85" s="495"/>
      <c r="G85" s="495"/>
      <c r="H85" s="495"/>
      <c r="I85" s="544">
        <f>$C85*$E$72*VLOOKUP($B85,'Standard values'!$C$9:$S$162,7, FALSE)/$E$197</f>
        <v>0.3613224879972568</v>
      </c>
      <c r="J85" s="544">
        <f>$C85*$E$72*VLOOKUP($B85,'Standard values'!$C$9:$S$162,8, FALSE)/$E$197</f>
        <v>6.5672210791038003E-5</v>
      </c>
      <c r="K85" s="544">
        <f>$C85*$E$72*VLOOKUP($B85,'Standard values'!$C$9:$S$162,9, FALSE)/$E$197</f>
        <v>1.2532864654778247E-6</v>
      </c>
      <c r="L85" s="419">
        <f>I85*'Standard values'!$D$10+J85*'Standard values'!$D$11+K85*'Standard values'!$D$12</f>
        <v>0.36333777263374517</v>
      </c>
      <c r="M85" s="379"/>
      <c r="N85" s="561">
        <f>L85/$E$73</f>
        <v>12.905757683950629</v>
      </c>
      <c r="O85" s="379"/>
    </row>
    <row r="86" spans="1:15" x14ac:dyDescent="0.2">
      <c r="A86" s="503"/>
      <c r="B86" s="495"/>
      <c r="C86" s="499"/>
      <c r="D86" s="499"/>
      <c r="E86" s="681"/>
      <c r="F86" s="495"/>
      <c r="G86" s="495"/>
      <c r="H86" s="514" t="s">
        <v>1047</v>
      </c>
      <c r="I86" s="583">
        <f>SUM(I72:I85)</f>
        <v>6.0197488759335416</v>
      </c>
      <c r="J86" s="583">
        <f>SUM(J72:J85)</f>
        <v>1.6900098474713073E-2</v>
      </c>
      <c r="K86" s="583">
        <f>SUM(K72:K85)</f>
        <v>1.5226434648907391E-4</v>
      </c>
      <c r="L86" s="516">
        <f>I86*'Standard values'!$D$10+J86*'Standard values'!$D$11+K86*'Standard values'!$D$12</f>
        <v>6.4876261130551116</v>
      </c>
      <c r="M86" s="379"/>
      <c r="N86" s="1201">
        <f>+L86/E$73</f>
        <v>230.44047953571757</v>
      </c>
      <c r="O86" s="379"/>
    </row>
    <row r="87" spans="1:15" x14ac:dyDescent="0.2">
      <c r="A87" s="503"/>
      <c r="B87" s="682"/>
      <c r="C87" s="499"/>
      <c r="D87" s="499"/>
      <c r="E87" s="503"/>
      <c r="F87" s="495"/>
      <c r="G87" s="495"/>
      <c r="H87" s="495"/>
      <c r="I87" s="495"/>
      <c r="J87" s="495"/>
      <c r="K87" s="495"/>
      <c r="L87" s="541"/>
      <c r="M87" s="379"/>
      <c r="N87" s="1203"/>
      <c r="O87" s="379"/>
    </row>
    <row r="88" spans="1:15" ht="14.25" x14ac:dyDescent="0.25">
      <c r="A88" s="519"/>
      <c r="B88" s="520"/>
      <c r="C88" s="520"/>
      <c r="D88" s="520"/>
      <c r="E88" s="519"/>
      <c r="F88" s="521"/>
      <c r="G88" s="521"/>
      <c r="H88" s="521" t="s">
        <v>534</v>
      </c>
      <c r="I88" s="520"/>
      <c r="J88" s="523" t="s">
        <v>833</v>
      </c>
      <c r="K88" s="549"/>
      <c r="L88" s="525">
        <f>N86*E$73</f>
        <v>6.4876261130551116</v>
      </c>
      <c r="M88" s="379"/>
      <c r="N88" s="390"/>
      <c r="O88" s="379"/>
    </row>
    <row r="89" spans="1:15" x14ac:dyDescent="0.2">
      <c r="A89" s="390"/>
      <c r="B89" s="390"/>
      <c r="C89" s="390"/>
      <c r="D89" s="390"/>
      <c r="E89" s="390"/>
      <c r="F89" s="376"/>
      <c r="G89" s="376"/>
      <c r="H89" s="376"/>
      <c r="I89" s="390"/>
      <c r="J89" s="550"/>
      <c r="K89" s="551"/>
      <c r="L89" s="585"/>
      <c r="M89" s="379"/>
      <c r="N89" s="390"/>
      <c r="O89" s="390"/>
    </row>
    <row r="90" spans="1:15" x14ac:dyDescent="0.2">
      <c r="A90" s="390"/>
      <c r="B90" s="390"/>
      <c r="C90" s="390"/>
      <c r="D90" s="390"/>
      <c r="E90" s="390"/>
      <c r="F90" s="376"/>
      <c r="G90" s="376"/>
      <c r="H90" s="376"/>
      <c r="I90" s="390"/>
      <c r="J90" s="550"/>
      <c r="K90" s="551"/>
      <c r="L90" s="585"/>
      <c r="M90" s="379"/>
      <c r="N90" s="390"/>
      <c r="O90" s="390"/>
    </row>
    <row r="91" spans="1:15" ht="15.75" x14ac:dyDescent="0.25">
      <c r="A91" s="530" t="s">
        <v>1057</v>
      </c>
      <c r="B91" s="531"/>
      <c r="C91" s="531"/>
      <c r="D91" s="531"/>
      <c r="E91" s="608" t="s">
        <v>526</v>
      </c>
      <c r="F91" s="606"/>
      <c r="G91" s="606"/>
      <c r="H91" s="606"/>
      <c r="I91" s="607"/>
      <c r="J91" s="608" t="s">
        <v>833</v>
      </c>
      <c r="K91" s="607"/>
      <c r="L91" s="609">
        <f>L45+L56+L66+L88</f>
        <v>55.809201046493065</v>
      </c>
      <c r="M91" s="379"/>
      <c r="N91" s="390"/>
      <c r="O91" s="390"/>
    </row>
    <row r="92" spans="1:15" ht="15.75" x14ac:dyDescent="0.25">
      <c r="A92" s="610" t="s">
        <v>937</v>
      </c>
      <c r="B92" s="611"/>
      <c r="C92" s="611"/>
      <c r="D92" s="611"/>
      <c r="E92" s="613"/>
      <c r="F92" s="613"/>
      <c r="G92" s="613"/>
      <c r="H92" s="613"/>
      <c r="I92" s="613"/>
      <c r="J92" s="613"/>
      <c r="K92" s="613"/>
      <c r="L92" s="614"/>
      <c r="M92" s="379"/>
      <c r="N92" s="535" t="s">
        <v>162</v>
      </c>
      <c r="O92" s="390"/>
    </row>
    <row r="93" spans="1:15" ht="15.75" x14ac:dyDescent="0.3">
      <c r="A93" s="567"/>
      <c r="B93" s="568"/>
      <c r="C93" s="568"/>
      <c r="D93" s="683"/>
      <c r="E93" s="683"/>
      <c r="F93" s="683"/>
      <c r="G93" s="683"/>
      <c r="H93" s="683" t="s">
        <v>667</v>
      </c>
      <c r="I93" s="684">
        <f>L91</f>
        <v>55.809201046493065</v>
      </c>
      <c r="J93" s="568" t="s">
        <v>841</v>
      </c>
      <c r="K93" s="568"/>
      <c r="L93" s="685"/>
      <c r="M93" s="379"/>
      <c r="N93" s="554" t="s">
        <v>588</v>
      </c>
      <c r="O93" s="390"/>
    </row>
    <row r="94" spans="1:15" ht="15.75" x14ac:dyDescent="0.3">
      <c r="A94" s="567"/>
      <c r="B94" s="568" t="s">
        <v>51</v>
      </c>
      <c r="C94" s="568" t="s">
        <v>640</v>
      </c>
      <c r="D94" s="568"/>
      <c r="E94" s="683" t="s">
        <v>659</v>
      </c>
      <c r="F94" s="686">
        <v>1</v>
      </c>
      <c r="G94" s="686"/>
      <c r="H94" s="568" t="s">
        <v>501</v>
      </c>
      <c r="I94" s="574">
        <f>$I$93*F94/F$96</f>
        <v>34.183252867495746</v>
      </c>
      <c r="J94" s="568" t="s">
        <v>841</v>
      </c>
      <c r="K94" s="568"/>
      <c r="L94" s="685"/>
      <c r="M94" s="379"/>
      <c r="N94" s="540" t="s">
        <v>1056</v>
      </c>
      <c r="O94" s="390"/>
    </row>
    <row r="95" spans="1:15" ht="15.75" x14ac:dyDescent="0.3">
      <c r="A95" s="567"/>
      <c r="B95" s="568" t="s">
        <v>123</v>
      </c>
      <c r="C95" s="568" t="s">
        <v>658</v>
      </c>
      <c r="D95" s="568"/>
      <c r="E95" s="683" t="s">
        <v>134</v>
      </c>
      <c r="F95" s="686">
        <f>C72/C71</f>
        <v>0.63264746227709201</v>
      </c>
      <c r="G95" s="686"/>
      <c r="H95" s="568" t="s">
        <v>501</v>
      </c>
      <c r="I95" s="574">
        <f>$I$93*F95/F$96</f>
        <v>21.625948178997316</v>
      </c>
      <c r="J95" s="568" t="s">
        <v>841</v>
      </c>
      <c r="K95" s="568"/>
      <c r="L95" s="685"/>
      <c r="M95" s="379"/>
      <c r="N95" s="541"/>
      <c r="O95" s="390"/>
    </row>
    <row r="96" spans="1:15" x14ac:dyDescent="0.2">
      <c r="A96" s="567"/>
      <c r="B96" s="568"/>
      <c r="C96" s="568"/>
      <c r="D96" s="568"/>
      <c r="E96" s="568" t="s">
        <v>533</v>
      </c>
      <c r="F96" s="686">
        <f>SUM(F94:F95)</f>
        <v>1.6326474622770921</v>
      </c>
      <c r="G96" s="686"/>
      <c r="H96" s="568" t="s">
        <v>501</v>
      </c>
      <c r="I96" s="568"/>
      <c r="J96" s="568"/>
      <c r="K96" s="568"/>
      <c r="L96" s="685"/>
      <c r="M96" s="379"/>
      <c r="N96" s="541"/>
      <c r="O96" s="390"/>
    </row>
    <row r="97" spans="1:15" ht="14.25" x14ac:dyDescent="0.25">
      <c r="A97" s="519"/>
      <c r="B97" s="520"/>
      <c r="C97" s="520"/>
      <c r="D97" s="520"/>
      <c r="E97" s="523" t="s">
        <v>1058</v>
      </c>
      <c r="F97" s="521"/>
      <c r="G97" s="521"/>
      <c r="H97" s="687"/>
      <c r="I97" s="520"/>
      <c r="J97" s="523" t="s">
        <v>833</v>
      </c>
      <c r="K97" s="687"/>
      <c r="L97" s="525">
        <f>I94</f>
        <v>34.183252867495746</v>
      </c>
      <c r="M97" s="379"/>
      <c r="N97" s="545">
        <f>L97/$E$73</f>
        <v>1214.189141853449</v>
      </c>
      <c r="O97" s="379"/>
    </row>
    <row r="98" spans="1:15" x14ac:dyDescent="0.2">
      <c r="A98" s="390"/>
      <c r="B98" s="390"/>
      <c r="C98" s="390"/>
      <c r="D98" s="379"/>
      <c r="E98" s="379"/>
      <c r="F98" s="551"/>
      <c r="G98" s="551"/>
      <c r="H98" s="437"/>
      <c r="I98" s="378"/>
      <c r="J98" s="379"/>
      <c r="K98" s="379"/>
      <c r="L98" s="586"/>
      <c r="M98" s="379"/>
      <c r="O98" s="379"/>
    </row>
    <row r="99" spans="1:15" x14ac:dyDescent="0.2">
      <c r="A99" s="390"/>
      <c r="B99" s="390"/>
      <c r="C99" s="390"/>
      <c r="D99" s="390"/>
      <c r="E99" s="390"/>
      <c r="F99" s="390"/>
      <c r="G99" s="390"/>
      <c r="H99" s="390"/>
      <c r="I99" s="529"/>
      <c r="J99" s="529"/>
      <c r="K99" s="529"/>
      <c r="L99" s="529"/>
      <c r="M99" s="379"/>
      <c r="N99" s="390"/>
      <c r="O99" s="390"/>
    </row>
    <row r="100" spans="1:15" ht="15.75" x14ac:dyDescent="0.25">
      <c r="A100" s="530" t="s">
        <v>1208</v>
      </c>
      <c r="B100" s="531"/>
      <c r="C100" s="531"/>
      <c r="D100" s="531"/>
      <c r="E100" s="530" t="s">
        <v>513</v>
      </c>
      <c r="F100" s="532"/>
      <c r="G100" s="532"/>
      <c r="H100" s="531"/>
      <c r="I100" s="532" t="s">
        <v>532</v>
      </c>
      <c r="J100" s="533"/>
      <c r="K100" s="533"/>
      <c r="L100" s="534"/>
      <c r="M100" s="379"/>
      <c r="N100" s="535" t="s">
        <v>162</v>
      </c>
      <c r="O100" s="390"/>
    </row>
    <row r="101" spans="1:15" ht="15.75" x14ac:dyDescent="0.3">
      <c r="A101" s="503"/>
      <c r="B101" s="511" t="s">
        <v>1039</v>
      </c>
      <c r="C101" s="593">
        <v>1</v>
      </c>
      <c r="D101" s="495" t="s">
        <v>645</v>
      </c>
      <c r="E101" s="553">
        <f>E71*C101</f>
        <v>44861.47464487439</v>
      </c>
      <c r="F101" s="499" t="s">
        <v>654</v>
      </c>
      <c r="G101" s="499"/>
      <c r="H101" s="495"/>
      <c r="I101" s="492" t="s">
        <v>832</v>
      </c>
      <c r="J101" s="514"/>
      <c r="K101" s="514"/>
      <c r="L101" s="537"/>
      <c r="M101" s="379"/>
      <c r="N101" s="554" t="s">
        <v>637</v>
      </c>
      <c r="O101" s="390"/>
    </row>
    <row r="102" spans="1:15" ht="15.75" x14ac:dyDescent="0.3">
      <c r="A102" s="503"/>
      <c r="B102" s="495"/>
      <c r="C102" s="495"/>
      <c r="D102" s="495"/>
      <c r="E102" s="505">
        <f>E72*C101</f>
        <v>0.6064377232547653</v>
      </c>
      <c r="F102" s="506" t="s">
        <v>740</v>
      </c>
      <c r="G102" s="506"/>
      <c r="H102" s="495"/>
      <c r="I102" s="539" t="s">
        <v>1053</v>
      </c>
      <c r="J102" s="539" t="s">
        <v>1054</v>
      </c>
      <c r="K102" s="539" t="s">
        <v>1055</v>
      </c>
      <c r="L102" s="540" t="s">
        <v>1056</v>
      </c>
      <c r="M102" s="379"/>
      <c r="N102" s="540" t="s">
        <v>1056</v>
      </c>
      <c r="O102" s="390"/>
    </row>
    <row r="103" spans="1:15" x14ac:dyDescent="0.2">
      <c r="A103" s="503"/>
      <c r="B103" s="511" t="s">
        <v>498</v>
      </c>
      <c r="C103" s="495"/>
      <c r="D103" s="495"/>
      <c r="E103" s="505"/>
      <c r="F103" s="506"/>
      <c r="G103" s="506"/>
      <c r="H103" s="495"/>
      <c r="I103" s="539"/>
      <c r="J103" s="539"/>
      <c r="K103" s="539"/>
      <c r="L103" s="540"/>
      <c r="M103" s="379"/>
      <c r="N103" s="541"/>
      <c r="O103" s="390"/>
    </row>
    <row r="104" spans="1:15" ht="15.75" x14ac:dyDescent="0.3">
      <c r="A104" s="503"/>
      <c r="B104" s="495" t="s">
        <v>159</v>
      </c>
      <c r="C104" s="595">
        <v>0</v>
      </c>
      <c r="D104" s="495" t="s">
        <v>510</v>
      </c>
      <c r="E104" s="543">
        <f>(C104*E102)/(VLOOKUP($B101,'Standard values'!$C$9:$S$162,14, FALSE))/1000</f>
        <v>0</v>
      </c>
      <c r="F104" s="495" t="s">
        <v>244</v>
      </c>
      <c r="G104" s="495"/>
      <c r="H104" s="495"/>
      <c r="I104" s="544">
        <f>$E104*VLOOKUP($B104,'Standard values'!$C$9:$S$162,15, FALSE)*VLOOKUP(C105,'Standard values'!$C$9:$S$162,7, FALSE)/$E$197</f>
        <v>0</v>
      </c>
      <c r="J104" s="544">
        <f>$E104*((VLOOKUP($B104,'Standard values'!$C$9:$S$162,15, FALSE)*VLOOKUP(C105,'Standard values'!$C$9:$S$162,8, FALSE))+VLOOKUP($B104,'Standard values'!$C$9:$S$162,16, FALSE))/$E$197</f>
        <v>0</v>
      </c>
      <c r="K104" s="544">
        <f>$E104*((VLOOKUP($B104,'Standard values'!$C$9:$S$162,15, FALSE)*VLOOKUP(C105,'Standard values'!$C$9:$S$162,9, FALSE))+VLOOKUP($B104,'Standard values'!$C$9:$S$162,17, FALSE))/$E$197</f>
        <v>0</v>
      </c>
      <c r="L104" s="516">
        <f>I104*'Standard values'!$D$10+J104*'Standard values'!$D$11+K104*'Standard values'!$D$12</f>
        <v>0</v>
      </c>
      <c r="M104" s="379"/>
      <c r="N104" s="545">
        <f>L104/$E$73</f>
        <v>0</v>
      </c>
      <c r="O104" s="390"/>
    </row>
    <row r="105" spans="1:15" x14ac:dyDescent="0.2">
      <c r="A105" s="503"/>
      <c r="B105" s="546" t="s">
        <v>54</v>
      </c>
      <c r="C105" s="673" t="s">
        <v>509</v>
      </c>
      <c r="D105" s="495"/>
      <c r="E105" s="543"/>
      <c r="F105" s="495"/>
      <c r="G105" s="495"/>
      <c r="H105" s="495"/>
      <c r="I105" s="544"/>
      <c r="J105" s="544"/>
      <c r="K105" s="544"/>
      <c r="L105" s="516"/>
      <c r="M105" s="379"/>
      <c r="O105" s="390"/>
    </row>
    <row r="106" spans="1:15" x14ac:dyDescent="0.2">
      <c r="A106" s="503"/>
      <c r="B106" s="495"/>
      <c r="C106" s="495"/>
      <c r="D106" s="495"/>
      <c r="E106" s="503"/>
      <c r="F106" s="495"/>
      <c r="G106" s="495"/>
      <c r="H106" s="548"/>
      <c r="I106" s="544"/>
      <c r="J106" s="544"/>
      <c r="K106" s="544"/>
      <c r="L106" s="516"/>
      <c r="M106" s="379"/>
      <c r="N106" s="390"/>
      <c r="O106" s="390"/>
    </row>
    <row r="107" spans="1:15" ht="14.25" x14ac:dyDescent="0.25">
      <c r="A107" s="519"/>
      <c r="B107" s="520"/>
      <c r="C107" s="520"/>
      <c r="D107" s="520"/>
      <c r="E107" s="519"/>
      <c r="F107" s="521"/>
      <c r="G107" s="521"/>
      <c r="H107" s="521" t="s">
        <v>534</v>
      </c>
      <c r="I107" s="520"/>
      <c r="J107" s="523" t="s">
        <v>833</v>
      </c>
      <c r="K107" s="549"/>
      <c r="L107" s="525">
        <f>L104</f>
        <v>0</v>
      </c>
      <c r="M107" s="379"/>
      <c r="N107" s="390"/>
      <c r="O107" s="390"/>
    </row>
    <row r="108" spans="1:15" x14ac:dyDescent="0.2">
      <c r="A108" s="390"/>
      <c r="B108" s="390"/>
      <c r="C108" s="390"/>
      <c r="D108" s="390"/>
      <c r="E108" s="390"/>
      <c r="F108" s="376"/>
      <c r="G108" s="376"/>
      <c r="H108" s="376"/>
      <c r="I108" s="390"/>
      <c r="J108" s="550"/>
      <c r="K108" s="551"/>
      <c r="L108" s="552"/>
      <c r="M108" s="379"/>
      <c r="N108" s="379"/>
      <c r="O108" s="379"/>
    </row>
    <row r="109" spans="1:15" x14ac:dyDescent="0.2">
      <c r="A109" s="390"/>
      <c r="B109" s="390"/>
      <c r="C109" s="390"/>
      <c r="D109" s="379"/>
      <c r="E109" s="379"/>
      <c r="F109" s="551"/>
      <c r="G109" s="551"/>
      <c r="H109" s="437"/>
      <c r="I109" s="378"/>
      <c r="J109" s="379"/>
      <c r="K109" s="379"/>
      <c r="L109" s="586"/>
      <c r="M109" s="379"/>
      <c r="N109" s="379"/>
      <c r="O109" s="379"/>
    </row>
    <row r="110" spans="1:15" ht="15.75" x14ac:dyDescent="0.25">
      <c r="A110" s="530" t="s">
        <v>922</v>
      </c>
      <c r="B110" s="531"/>
      <c r="C110" s="531"/>
      <c r="D110" s="531"/>
      <c r="E110" s="530" t="s">
        <v>513</v>
      </c>
      <c r="F110" s="532"/>
      <c r="G110" s="532"/>
      <c r="H110" s="531"/>
      <c r="I110" s="532" t="s">
        <v>532</v>
      </c>
      <c r="J110" s="533"/>
      <c r="K110" s="533"/>
      <c r="L110" s="534"/>
      <c r="M110" s="379"/>
      <c r="N110" s="535" t="s">
        <v>162</v>
      </c>
      <c r="O110" s="379"/>
    </row>
    <row r="111" spans="1:15" x14ac:dyDescent="0.2">
      <c r="A111" s="503"/>
      <c r="B111" s="511" t="s">
        <v>524</v>
      </c>
      <c r="C111" s="495"/>
      <c r="D111" s="495"/>
      <c r="E111" s="553"/>
      <c r="F111" s="499"/>
      <c r="G111" s="499"/>
      <c r="H111" s="495"/>
      <c r="I111" s="492" t="s">
        <v>832</v>
      </c>
      <c r="J111" s="514"/>
      <c r="K111" s="514"/>
      <c r="L111" s="537"/>
      <c r="M111" s="379"/>
      <c r="N111" s="554" t="s">
        <v>541</v>
      </c>
      <c r="O111" s="379"/>
    </row>
    <row r="112" spans="1:15" ht="15.75" x14ac:dyDescent="0.3">
      <c r="A112" s="503"/>
      <c r="B112" s="495" t="s">
        <v>682</v>
      </c>
      <c r="C112" s="593">
        <v>0.96</v>
      </c>
      <c r="D112" s="495" t="s">
        <v>838</v>
      </c>
      <c r="E112" s="553">
        <f>E101*C112</f>
        <v>43067.015659079414</v>
      </c>
      <c r="F112" s="499" t="s">
        <v>834</v>
      </c>
      <c r="G112" s="499"/>
      <c r="H112" s="495"/>
      <c r="I112" s="539" t="s">
        <v>1053</v>
      </c>
      <c r="J112" s="539" t="s">
        <v>1054</v>
      </c>
      <c r="K112" s="539" t="s">
        <v>1055</v>
      </c>
      <c r="L112" s="540" t="s">
        <v>1056</v>
      </c>
      <c r="M112" s="379"/>
      <c r="N112" s="540" t="s">
        <v>1056</v>
      </c>
      <c r="O112" s="379"/>
    </row>
    <row r="113" spans="1:15" ht="15.75" x14ac:dyDescent="0.3">
      <c r="A113" s="563"/>
      <c r="B113" s="506"/>
      <c r="C113" s="564"/>
      <c r="D113" s="506"/>
      <c r="E113" s="505">
        <f>E102*C112</f>
        <v>0.58218021432457467</v>
      </c>
      <c r="F113" s="506" t="s">
        <v>740</v>
      </c>
      <c r="G113" s="506"/>
      <c r="H113" s="495"/>
      <c r="I113" s="495"/>
      <c r="J113" s="495"/>
      <c r="K113" s="495"/>
      <c r="L113" s="541"/>
      <c r="M113" s="379"/>
      <c r="N113" s="541"/>
      <c r="O113" s="379"/>
    </row>
    <row r="114" spans="1:15" ht="15.75" x14ac:dyDescent="0.3">
      <c r="A114" s="563"/>
      <c r="B114" s="511" t="s">
        <v>525</v>
      </c>
      <c r="C114" s="495"/>
      <c r="D114" s="506"/>
      <c r="E114" s="557">
        <f>E112/$E$196/VLOOKUP($B112,'Standard values'!$C$9:$S$162,14, FALSE)</f>
        <v>2.7027027027027029E-2</v>
      </c>
      <c r="F114" s="499" t="s">
        <v>540</v>
      </c>
      <c r="G114" s="499"/>
      <c r="H114" s="495"/>
      <c r="I114" s="495"/>
      <c r="J114" s="495"/>
      <c r="K114" s="495"/>
      <c r="L114" s="541"/>
      <c r="M114" s="379"/>
      <c r="N114" s="541"/>
      <c r="O114" s="379"/>
    </row>
    <row r="115" spans="1:15" ht="15.75" x14ac:dyDescent="0.3">
      <c r="A115" s="503"/>
      <c r="B115" s="1301" t="s">
        <v>50</v>
      </c>
      <c r="C115" s="676">
        <f>1.4*0.0006</f>
        <v>8.3999999999999993E-4</v>
      </c>
      <c r="D115" s="495" t="s">
        <v>837</v>
      </c>
      <c r="E115" s="513"/>
      <c r="F115" s="495"/>
      <c r="G115" s="495"/>
      <c r="H115" s="495"/>
      <c r="I115" s="544">
        <f>$C115*$E$113*VLOOKUP($B115,'Standard values'!$C$9:$S$162,7, FALSE)/$E$197</f>
        <v>0.10026421999999997</v>
      </c>
      <c r="J115" s="544">
        <f>$C115*$E$113*VLOOKUP($B115,'Standard values'!$C$9:$S$162,8, FALSE)/$E$197</f>
        <v>2.4450999999999997E-4</v>
      </c>
      <c r="K115" s="544">
        <f>$C115*$E$113*VLOOKUP($B115,'Standard values'!$C$9:$S$162,9, FALSE)/$E$197</f>
        <v>4.526666666666666E-6</v>
      </c>
      <c r="L115" s="419">
        <f>I115*'Standard values'!$D$10+J115*'Standard values'!$D$11+K115*'Standard values'!$D$12</f>
        <v>0.10772591666666664</v>
      </c>
      <c r="M115" s="379"/>
      <c r="N115" s="562">
        <f>L115/$E$114</f>
        <v>3.9858589166666656</v>
      </c>
      <c r="O115" s="379"/>
    </row>
    <row r="116" spans="1:15" ht="15.75" x14ac:dyDescent="0.3">
      <c r="A116" s="503"/>
      <c r="B116" s="495" t="s">
        <v>827</v>
      </c>
      <c r="C116" s="675">
        <f>1.4*0.00822222222222222</f>
        <v>1.1511111111111106E-2</v>
      </c>
      <c r="D116" s="495" t="s">
        <v>837</v>
      </c>
      <c r="E116" s="503"/>
      <c r="F116" s="495"/>
      <c r="G116" s="495"/>
      <c r="H116" s="495"/>
      <c r="I116" s="544"/>
      <c r="J116" s="544"/>
      <c r="K116" s="544"/>
      <c r="L116" s="677"/>
      <c r="M116" s="379"/>
      <c r="N116" s="562"/>
      <c r="O116" s="379"/>
    </row>
    <row r="117" spans="1:15" x14ac:dyDescent="0.2">
      <c r="A117" s="503"/>
      <c r="B117" s="571" t="s">
        <v>729</v>
      </c>
      <c r="C117" s="566"/>
      <c r="D117" s="566"/>
      <c r="E117" s="567"/>
      <c r="F117" s="568"/>
      <c r="G117" s="568"/>
      <c r="H117" s="568"/>
      <c r="I117" s="569" t="s">
        <v>830</v>
      </c>
      <c r="J117" s="568"/>
      <c r="K117" s="568"/>
      <c r="L117" s="688"/>
      <c r="M117" s="379"/>
      <c r="N117" s="562"/>
      <c r="O117" s="379"/>
    </row>
    <row r="118" spans="1:15" ht="15.75" x14ac:dyDescent="0.3">
      <c r="A118" s="503"/>
      <c r="B118" s="679" t="s">
        <v>826</v>
      </c>
      <c r="C118" s="573"/>
      <c r="D118" s="566"/>
      <c r="E118" s="567"/>
      <c r="F118" s="568"/>
      <c r="G118" s="568"/>
      <c r="H118" s="568"/>
      <c r="I118" s="574">
        <f>$C116*$E$113*VLOOKUP($B118,'Standard values'!$C$9:$S$159,7, FALSE)/$E$197</f>
        <v>0</v>
      </c>
      <c r="J118" s="574">
        <f>$C116*$E$113*VLOOKUP($B118,'Standard values'!$C$9:$S$159,8, FALSE)/$E$197</f>
        <v>3.1975308641975297E-5</v>
      </c>
      <c r="K118" s="574">
        <f>$C116*$E$113*VLOOKUP($B118,'Standard values'!$C$9:$S$159,9, FALSE)/$E$197</f>
        <v>1.2790123456790118E-5</v>
      </c>
      <c r="L118" s="575">
        <f>I118*'Standard values'!$D$10+J118*'Standard values'!$D$11+K118*'Standard values'!$D$12</f>
        <v>4.6108395061728374E-3</v>
      </c>
      <c r="M118" s="379"/>
      <c r="N118" s="562">
        <f>L118/$E$114</f>
        <v>0.17060106172839498</v>
      </c>
      <c r="O118" s="379"/>
    </row>
    <row r="119" spans="1:15" ht="14.25" x14ac:dyDescent="0.25">
      <c r="A119" s="503"/>
      <c r="B119" s="582" t="s">
        <v>828</v>
      </c>
      <c r="C119" s="536">
        <f>1/0.9</f>
        <v>1.1111111111111112</v>
      </c>
      <c r="D119" s="568" t="s">
        <v>419</v>
      </c>
      <c r="E119" s="567"/>
      <c r="F119" s="568"/>
      <c r="G119" s="568"/>
      <c r="H119" s="568"/>
      <c r="I119" s="574"/>
      <c r="J119" s="581"/>
      <c r="K119" s="581"/>
      <c r="L119" s="575"/>
      <c r="M119" s="379"/>
      <c r="N119" s="562"/>
      <c r="O119" s="379"/>
    </row>
    <row r="120" spans="1:15" ht="29.25" customHeight="1" x14ac:dyDescent="0.3">
      <c r="A120" s="503"/>
      <c r="B120" s="680" t="s">
        <v>158</v>
      </c>
      <c r="C120" s="573">
        <f>C119*C116</f>
        <v>1.2790123456790118E-2</v>
      </c>
      <c r="D120" s="568" t="s">
        <v>644</v>
      </c>
      <c r="E120" s="567"/>
      <c r="F120" s="568"/>
      <c r="G120" s="568"/>
      <c r="H120" s="568"/>
      <c r="I120" s="574">
        <f>$C120*$E$113*VLOOKUP($B120,'Standard values'!$C$9:$S$162,7, FALSE)/$E$197</f>
        <v>0.80531733333333311</v>
      </c>
      <c r="J120" s="574">
        <f>$C120*$E$113*VLOOKUP($B120,'Standard values'!$C$9:$S$162,8, FALSE)/$E$197</f>
        <v>2.5342208504801089E-3</v>
      </c>
      <c r="K120" s="574">
        <f>$C120*$E$113*VLOOKUP($B120,'Standard values'!$C$9:$S$162,9, FALSE)/$E$197</f>
        <v>2.8422496570644712E-6</v>
      </c>
      <c r="L120" s="575">
        <f>I120*'Standard values'!$D$10+J120*'Standard values'!$D$11+K120*'Standard values'!$D$12</f>
        <v>0.86951984499314106</v>
      </c>
      <c r="M120" s="379"/>
      <c r="N120" s="562">
        <f t="shared" ref="N120:N126" si="3">L120/$E$114</f>
        <v>32.172234264746216</v>
      </c>
      <c r="O120" s="379"/>
    </row>
    <row r="121" spans="1:15" ht="14.25" x14ac:dyDescent="0.25">
      <c r="A121" s="503"/>
      <c r="B121" s="582" t="s">
        <v>829</v>
      </c>
      <c r="C121" s="536">
        <v>0.02</v>
      </c>
      <c r="D121" s="568" t="s">
        <v>419</v>
      </c>
      <c r="E121" s="567"/>
      <c r="F121" s="568"/>
      <c r="G121" s="568"/>
      <c r="H121" s="568"/>
      <c r="I121" s="574"/>
      <c r="J121" s="581"/>
      <c r="K121" s="581"/>
      <c r="L121" s="575"/>
      <c r="M121" s="379"/>
      <c r="N121" s="562"/>
      <c r="O121" s="379"/>
    </row>
    <row r="122" spans="1:15" ht="15.75" x14ac:dyDescent="0.3">
      <c r="A122" s="503"/>
      <c r="B122" s="1301" t="s">
        <v>50</v>
      </c>
      <c r="C122" s="573">
        <f>C121*C116</f>
        <v>2.3022222222222213E-4</v>
      </c>
      <c r="D122" s="568" t="s">
        <v>644</v>
      </c>
      <c r="E122" s="567"/>
      <c r="F122" s="568"/>
      <c r="G122" s="568"/>
      <c r="H122" s="568"/>
      <c r="I122" s="574">
        <f>$C122*$E$113*VLOOKUP($B122,'Standard values'!$C$9:$S$162,7, FALSE)/$E$197</f>
        <v>2.747982325925925E-2</v>
      </c>
      <c r="J122" s="574">
        <f>$C122*$E$113*VLOOKUP($B122,'Standard values'!$C$9:$S$162,8, FALSE)/$E$197</f>
        <v>6.7013851851851824E-5</v>
      </c>
      <c r="K122" s="574">
        <f>$C122*$E$113*VLOOKUP($B122,'Standard values'!$C$9:$S$162,9, FALSE)/$E$197</f>
        <v>1.2406419753086416E-6</v>
      </c>
      <c r="L122" s="575">
        <f>I122*'Standard values'!$D$10+J122*'Standard values'!$D$11+K122*'Standard values'!$D$12</f>
        <v>2.9524880864197519E-2</v>
      </c>
      <c r="M122" s="379"/>
      <c r="N122" s="562">
        <f t="shared" si="3"/>
        <v>1.0924205919753081</v>
      </c>
      <c r="O122" s="379"/>
    </row>
    <row r="123" spans="1:15" x14ac:dyDescent="0.2">
      <c r="A123" s="503"/>
      <c r="B123" s="495"/>
      <c r="C123" s="499"/>
      <c r="D123" s="495"/>
      <c r="E123" s="503"/>
      <c r="F123" s="495"/>
      <c r="G123" s="495"/>
      <c r="H123" s="495"/>
      <c r="I123" s="544"/>
      <c r="J123" s="544"/>
      <c r="K123" s="544"/>
      <c r="L123" s="419"/>
      <c r="M123" s="379"/>
      <c r="N123" s="562"/>
      <c r="O123" s="379"/>
    </row>
    <row r="124" spans="1:15" x14ac:dyDescent="0.2">
      <c r="A124" s="503"/>
      <c r="B124" s="511" t="s">
        <v>641</v>
      </c>
      <c r="C124" s="499"/>
      <c r="D124" s="495"/>
      <c r="E124" s="503"/>
      <c r="F124" s="495"/>
      <c r="G124" s="495"/>
      <c r="H124" s="495"/>
      <c r="I124" s="544"/>
      <c r="J124" s="544"/>
      <c r="K124" s="544"/>
      <c r="L124" s="419"/>
      <c r="M124" s="379"/>
      <c r="N124" s="562"/>
      <c r="O124" s="379"/>
    </row>
    <row r="125" spans="1:15" ht="15.75" x14ac:dyDescent="0.3">
      <c r="A125" s="503"/>
      <c r="B125" s="674" t="s">
        <v>142</v>
      </c>
      <c r="C125" s="675">
        <f>1.4*0.000166666666666667</f>
        <v>2.3333333333333379E-4</v>
      </c>
      <c r="D125" s="495" t="s">
        <v>839</v>
      </c>
      <c r="E125" s="503"/>
      <c r="F125" s="495"/>
      <c r="G125" s="495"/>
      <c r="H125" s="495"/>
      <c r="I125" s="544">
        <f>$C125*$E$113*VLOOKUP($B125,'Standard values'!$C$9:$S$162,3, FALSE)/$E$197</f>
        <v>4.596666666666676E-2</v>
      </c>
      <c r="J125" s="544">
        <f>$C125*$E$113*VLOOKUP($B125,'Standard values'!$C$9:$S$162,4, FALSE)/$E$197</f>
        <v>8.7033333333333505E-6</v>
      </c>
      <c r="K125" s="544">
        <f>$C125*$E$113*VLOOKUP($B125,'Standard values'!$C$9:$S$162,5, FALSE)/$E$197</f>
        <v>1.4700000000000031E-6</v>
      </c>
      <c r="L125" s="419">
        <f>I125*'Standard values'!$D$10+J125*'Standard values'!$D$11+K125*'Standard values'!$D$12</f>
        <v>4.6622310000000097E-2</v>
      </c>
      <c r="M125" s="379"/>
      <c r="N125" s="562">
        <f t="shared" si="3"/>
        <v>1.7250254700000036</v>
      </c>
      <c r="O125" s="379"/>
    </row>
    <row r="126" spans="1:15" x14ac:dyDescent="0.2">
      <c r="A126" s="503"/>
      <c r="B126" s="682"/>
      <c r="C126" s="499"/>
      <c r="D126" s="499"/>
      <c r="E126" s="681"/>
      <c r="F126" s="495"/>
      <c r="G126" s="495"/>
      <c r="H126" s="514" t="s">
        <v>1047</v>
      </c>
      <c r="I126" s="583">
        <f>SUM(I113:I125)</f>
        <v>0.97902804325925907</v>
      </c>
      <c r="J126" s="583">
        <f>SUM(J113:J125)</f>
        <v>2.8864233443072693E-3</v>
      </c>
      <c r="K126" s="583">
        <f>SUM(K113:K125)</f>
        <v>2.2869681755829901E-5</v>
      </c>
      <c r="L126" s="516">
        <f>I126*'Standard values'!$D$10+J126*'Standard values'!$D$11+K126*'Standard values'!$D$12</f>
        <v>1.0580037920301781</v>
      </c>
      <c r="M126" s="379"/>
      <c r="N126" s="545">
        <f t="shared" si="3"/>
        <v>39.146140305116589</v>
      </c>
      <c r="O126" s="379"/>
    </row>
    <row r="127" spans="1:15" x14ac:dyDescent="0.2">
      <c r="A127" s="503"/>
      <c r="B127" s="682"/>
      <c r="C127" s="499"/>
      <c r="D127" s="499"/>
      <c r="E127" s="503"/>
      <c r="F127" s="495"/>
      <c r="G127" s="495"/>
      <c r="H127" s="495"/>
      <c r="I127" s="495"/>
      <c r="J127" s="495"/>
      <c r="K127" s="495"/>
      <c r="L127" s="541"/>
      <c r="M127" s="379"/>
      <c r="N127" s="390"/>
      <c r="O127" s="379"/>
    </row>
    <row r="128" spans="1:15" ht="14.25" x14ac:dyDescent="0.25">
      <c r="A128" s="519"/>
      <c r="B128" s="520"/>
      <c r="C128" s="520"/>
      <c r="D128" s="520"/>
      <c r="E128" s="519"/>
      <c r="F128" s="521"/>
      <c r="G128" s="521"/>
      <c r="H128" s="521" t="s">
        <v>534</v>
      </c>
      <c r="I128" s="520"/>
      <c r="J128" s="523" t="s">
        <v>833</v>
      </c>
      <c r="K128" s="549"/>
      <c r="L128" s="525">
        <f>L126</f>
        <v>1.0580037920301781</v>
      </c>
      <c r="M128" s="379"/>
      <c r="N128" s="390"/>
      <c r="O128" s="379"/>
    </row>
    <row r="129" spans="1:15" x14ac:dyDescent="0.2">
      <c r="A129" s="390"/>
      <c r="B129" s="390"/>
      <c r="C129" s="390"/>
      <c r="D129" s="379"/>
      <c r="E129" s="379"/>
      <c r="F129" s="551"/>
      <c r="G129" s="551"/>
      <c r="H129" s="437"/>
      <c r="I129" s="378"/>
      <c r="J129" s="379"/>
      <c r="K129" s="379"/>
      <c r="L129" s="586"/>
      <c r="M129" s="379"/>
      <c r="N129" s="379"/>
      <c r="O129" s="379"/>
    </row>
    <row r="130" spans="1:15" x14ac:dyDescent="0.2">
      <c r="A130" s="375"/>
      <c r="B130" s="585"/>
      <c r="C130" s="386"/>
      <c r="D130" s="390"/>
      <c r="E130" s="379"/>
      <c r="F130" s="379"/>
      <c r="G130" s="379"/>
      <c r="H130" s="379"/>
      <c r="I130" s="379"/>
      <c r="J130" s="591"/>
      <c r="K130" s="379"/>
      <c r="L130" s="379"/>
      <c r="M130" s="379"/>
      <c r="N130" s="379"/>
      <c r="O130" s="379"/>
    </row>
    <row r="131" spans="1:15" ht="15.75" x14ac:dyDescent="0.25">
      <c r="A131" s="530" t="s">
        <v>443</v>
      </c>
      <c r="B131" s="532"/>
      <c r="C131" s="531"/>
      <c r="D131" s="531"/>
      <c r="E131" s="530" t="s">
        <v>513</v>
      </c>
      <c r="F131" s="532"/>
      <c r="G131" s="532"/>
      <c r="H131" s="531"/>
      <c r="I131" s="532" t="s">
        <v>532</v>
      </c>
      <c r="J131" s="533"/>
      <c r="K131" s="533"/>
      <c r="L131" s="534"/>
      <c r="M131" s="379"/>
      <c r="N131" s="535" t="s">
        <v>162</v>
      </c>
      <c r="O131" s="379"/>
    </row>
    <row r="132" spans="1:15" x14ac:dyDescent="0.2">
      <c r="A132" s="503"/>
      <c r="B132" s="511"/>
      <c r="C132" s="689"/>
      <c r="D132" s="495"/>
      <c r="E132" s="513"/>
      <c r="F132" s="499"/>
      <c r="G132" s="499"/>
      <c r="H132" s="594"/>
      <c r="I132" s="492"/>
      <c r="J132" s="514"/>
      <c r="K132" s="514"/>
      <c r="L132" s="537"/>
      <c r="M132" s="379"/>
      <c r="N132" s="554"/>
      <c r="O132" s="379"/>
    </row>
    <row r="133" spans="1:15" x14ac:dyDescent="0.2">
      <c r="A133" s="503"/>
      <c r="B133" s="495" t="s">
        <v>442</v>
      </c>
      <c r="C133" s="689"/>
      <c r="D133" s="495"/>
      <c r="E133" s="505"/>
      <c r="F133" s="506"/>
      <c r="G133" s="506"/>
      <c r="H133" s="594"/>
      <c r="I133" s="539"/>
      <c r="J133" s="539"/>
      <c r="K133" s="539"/>
      <c r="L133" s="540"/>
      <c r="M133" s="379"/>
      <c r="N133" s="540"/>
      <c r="O133" s="379"/>
    </row>
    <row r="134" spans="1:15" x14ac:dyDescent="0.2">
      <c r="A134" s="503"/>
      <c r="B134" s="511"/>
      <c r="C134" s="689"/>
      <c r="D134" s="495"/>
      <c r="E134" s="513"/>
      <c r="F134" s="495"/>
      <c r="G134" s="495"/>
      <c r="H134" s="495"/>
      <c r="I134" s="495"/>
      <c r="J134" s="495"/>
      <c r="K134" s="495"/>
      <c r="L134" s="541"/>
      <c r="M134" s="379"/>
      <c r="N134" s="541"/>
      <c r="O134" s="379"/>
    </row>
    <row r="135" spans="1:15" x14ac:dyDescent="0.2">
      <c r="A135" s="590"/>
      <c r="B135" s="495"/>
      <c r="C135" s="689"/>
      <c r="D135" s="495"/>
      <c r="E135" s="503"/>
      <c r="F135" s="495"/>
      <c r="G135" s="495"/>
      <c r="H135" s="495"/>
      <c r="I135" s="544"/>
      <c r="J135" s="544"/>
      <c r="K135" s="544"/>
      <c r="L135" s="516"/>
      <c r="M135" s="379"/>
      <c r="N135" s="562"/>
      <c r="O135" s="379"/>
    </row>
    <row r="136" spans="1:15" ht="14.25" x14ac:dyDescent="0.25">
      <c r="A136" s="519"/>
      <c r="B136" s="520"/>
      <c r="C136" s="520"/>
      <c r="D136" s="520"/>
      <c r="E136" s="519"/>
      <c r="F136" s="521"/>
      <c r="G136" s="521"/>
      <c r="H136" s="521" t="s">
        <v>534</v>
      </c>
      <c r="I136" s="520"/>
      <c r="J136" s="523" t="s">
        <v>833</v>
      </c>
      <c r="K136" s="549"/>
      <c r="L136" s="525">
        <f>L135</f>
        <v>0</v>
      </c>
      <c r="M136" s="379"/>
      <c r="N136" s="545"/>
      <c r="O136" s="379"/>
    </row>
    <row r="137" spans="1:15" x14ac:dyDescent="0.2">
      <c r="A137" s="390"/>
      <c r="B137" s="390"/>
      <c r="C137" s="390"/>
      <c r="D137" s="390"/>
      <c r="E137" s="390"/>
      <c r="F137" s="376"/>
      <c r="G137" s="376"/>
      <c r="H137" s="376"/>
      <c r="I137" s="390"/>
      <c r="J137" s="550"/>
      <c r="K137" s="551"/>
      <c r="L137" s="552"/>
      <c r="M137" s="379"/>
      <c r="N137" s="379"/>
      <c r="O137" s="379"/>
    </row>
    <row r="138" spans="1:15" x14ac:dyDescent="0.2">
      <c r="A138" s="390"/>
      <c r="B138" s="390"/>
      <c r="C138" s="390"/>
      <c r="D138" s="390"/>
      <c r="E138" s="390"/>
      <c r="F138" s="376"/>
      <c r="G138" s="376"/>
      <c r="H138" s="376"/>
      <c r="I138" s="390"/>
      <c r="J138" s="550"/>
      <c r="K138" s="551"/>
      <c r="L138" s="552"/>
      <c r="M138" s="379"/>
      <c r="N138" s="379"/>
      <c r="O138" s="379"/>
    </row>
    <row r="139" spans="1:15" ht="15.75" x14ac:dyDescent="0.25">
      <c r="A139" s="530" t="s">
        <v>810</v>
      </c>
      <c r="B139" s="531"/>
      <c r="C139" s="531"/>
      <c r="D139" s="531"/>
      <c r="E139" s="530" t="s">
        <v>513</v>
      </c>
      <c r="F139" s="531"/>
      <c r="G139" s="531"/>
      <c r="H139" s="531"/>
      <c r="I139" s="531"/>
      <c r="J139" s="531"/>
      <c r="K139" s="531"/>
      <c r="L139" s="596"/>
      <c r="M139" s="379"/>
      <c r="N139" s="535" t="s">
        <v>162</v>
      </c>
      <c r="O139" s="379"/>
    </row>
    <row r="140" spans="1:15" ht="15.75" x14ac:dyDescent="0.3">
      <c r="A140" s="503"/>
      <c r="B140" s="511" t="s">
        <v>682</v>
      </c>
      <c r="C140" s="593">
        <v>1</v>
      </c>
      <c r="D140" s="495" t="s">
        <v>840</v>
      </c>
      <c r="E140" s="513">
        <f>E112*C140</f>
        <v>43067.015659079414</v>
      </c>
      <c r="F140" s="499" t="s">
        <v>834</v>
      </c>
      <c r="G140" s="499"/>
      <c r="H140" s="495"/>
      <c r="I140" s="492" t="s">
        <v>832</v>
      </c>
      <c r="J140" s="514"/>
      <c r="K140" s="514"/>
      <c r="L140" s="537"/>
      <c r="M140" s="379"/>
      <c r="N140" s="554" t="s">
        <v>541</v>
      </c>
      <c r="O140" s="379"/>
    </row>
    <row r="141" spans="1:15" ht="15.75" x14ac:dyDescent="0.3">
      <c r="A141" s="503"/>
      <c r="B141" s="495"/>
      <c r="C141" s="689"/>
      <c r="D141" s="495"/>
      <c r="E141" s="505">
        <f>E113*C140</f>
        <v>0.58218021432457467</v>
      </c>
      <c r="F141" s="506" t="s">
        <v>740</v>
      </c>
      <c r="G141" s="506"/>
      <c r="H141" s="495"/>
      <c r="I141" s="539" t="s">
        <v>1053</v>
      </c>
      <c r="J141" s="539" t="s">
        <v>1054</v>
      </c>
      <c r="K141" s="539" t="s">
        <v>1055</v>
      </c>
      <c r="L141" s="540" t="s">
        <v>1056</v>
      </c>
      <c r="M141" s="379"/>
      <c r="N141" s="540" t="s">
        <v>1056</v>
      </c>
      <c r="O141" s="379"/>
    </row>
    <row r="142" spans="1:15" x14ac:dyDescent="0.2">
      <c r="A142" s="503"/>
      <c r="B142" s="511" t="s">
        <v>498</v>
      </c>
      <c r="C142" s="689"/>
      <c r="D142" s="495"/>
      <c r="E142" s="513"/>
      <c r="F142" s="495"/>
      <c r="G142" s="495"/>
      <c r="H142" s="495"/>
      <c r="I142" s="495"/>
      <c r="J142" s="495"/>
      <c r="K142" s="495"/>
      <c r="L142" s="541"/>
      <c r="M142" s="379"/>
      <c r="N142" s="541"/>
      <c r="O142" s="379"/>
    </row>
    <row r="143" spans="1:15" ht="15.75" x14ac:dyDescent="0.3">
      <c r="A143" s="503"/>
      <c r="B143" s="495" t="s">
        <v>159</v>
      </c>
      <c r="C143" s="595">
        <v>150</v>
      </c>
      <c r="D143" s="495" t="s">
        <v>510</v>
      </c>
      <c r="E143" s="543">
        <f>(C143*E141/VLOOKUP($B140,'Standard values'!$C$9:$S$162,14, FALSE))/1000</f>
        <v>2.3601900580726E-3</v>
      </c>
      <c r="F143" s="495" t="s">
        <v>244</v>
      </c>
      <c r="G143" s="495"/>
      <c r="H143" s="495"/>
      <c r="I143" s="544">
        <f>$E143*VLOOKUP($B143,'Standard values'!$C$9:$S$162,15, FALSE)*VLOOKUP(C144,'Standard values'!$C$9:$S$162,7, FALSE)/$E$197</f>
        <v>0.35813513513513512</v>
      </c>
      <c r="J143" s="544">
        <f>$E143*((VLOOKUP($B143,'Standard values'!$C$9:$S$162,15, FALSE)*VLOOKUP(C144,'Standard values'!$C$9:$S$162,8, FALSE))+VLOOKUP($B143,'Standard values'!$C$9:$S$162,16, FALSE))/$E$197</f>
        <v>2.0270270270270269E-5</v>
      </c>
      <c r="K143" s="544">
        <f>$E143*((VLOOKUP($B143,'Standard values'!$C$9:$S$162,15, FALSE)*VLOOKUP(C144,'Standard values'!$C$9:$S$162,9, FALSE))+VLOOKUP($B143,'Standard values'!$C$9:$S$162,17, FALSE))/$E$197</f>
        <v>0</v>
      </c>
      <c r="L143" s="516">
        <f>I143*'Standard values'!$D$10+J143*'Standard values'!$D$11+K143*'Standard values'!$D$12</f>
        <v>0.35864189189189188</v>
      </c>
      <c r="M143" s="379"/>
      <c r="N143" s="562">
        <f>L143/$E$114</f>
        <v>13.269749999999998</v>
      </c>
      <c r="O143" s="379"/>
    </row>
    <row r="144" spans="1:15" x14ac:dyDescent="0.2">
      <c r="A144" s="503"/>
      <c r="B144" s="546" t="s">
        <v>54</v>
      </c>
      <c r="C144" s="673" t="s">
        <v>509</v>
      </c>
      <c r="D144" s="495"/>
      <c r="E144" s="503"/>
      <c r="F144" s="495"/>
      <c r="G144" s="495"/>
      <c r="H144" s="495"/>
      <c r="I144" s="544"/>
      <c r="J144" s="544"/>
      <c r="K144" s="544"/>
      <c r="L144" s="516"/>
      <c r="M144" s="379"/>
      <c r="N144" s="562"/>
      <c r="O144" s="379"/>
    </row>
    <row r="145" spans="1:15" x14ac:dyDescent="0.2">
      <c r="A145" s="503"/>
      <c r="B145" s="495"/>
      <c r="C145" s="689"/>
      <c r="D145" s="495"/>
      <c r="E145" s="505"/>
      <c r="F145" s="506"/>
      <c r="G145" s="506"/>
      <c r="H145" s="495"/>
      <c r="I145" s="539"/>
      <c r="J145" s="539"/>
      <c r="K145" s="539"/>
      <c r="L145" s="690"/>
      <c r="M145" s="379"/>
      <c r="N145" s="540"/>
      <c r="O145" s="379"/>
    </row>
    <row r="146" spans="1:15" x14ac:dyDescent="0.2">
      <c r="A146" s="503"/>
      <c r="B146" s="511" t="s">
        <v>441</v>
      </c>
      <c r="C146" s="689"/>
      <c r="D146" s="495"/>
      <c r="E146" s="503"/>
      <c r="F146" s="495"/>
      <c r="G146" s="495"/>
      <c r="H146" s="495"/>
      <c r="I146" s="544"/>
      <c r="J146" s="544"/>
      <c r="K146" s="544"/>
      <c r="L146" s="584"/>
      <c r="M146" s="379"/>
      <c r="N146" s="541"/>
      <c r="O146" s="379"/>
    </row>
    <row r="147" spans="1:15" ht="15.75" x14ac:dyDescent="0.3">
      <c r="A147" s="503"/>
      <c r="B147" s="1301" t="s">
        <v>49</v>
      </c>
      <c r="C147" s="542">
        <v>3.3999999999999998E-3</v>
      </c>
      <c r="D147" s="495" t="s">
        <v>837</v>
      </c>
      <c r="E147" s="503"/>
      <c r="F147" s="495"/>
      <c r="G147" s="495"/>
      <c r="H147" s="495"/>
      <c r="I147" s="544">
        <f>$C147*$E$141*VLOOKUP($B147,'Standard values'!$C$9:$S$162,7, FALSE)/$E$197</f>
        <v>0.41070129999999999</v>
      </c>
      <c r="J147" s="544">
        <f>$C147*$E$141*VLOOKUP($B147,'Standard values'!$C$9:$S$162,8, FALSE)/$E$197</f>
        <v>1.0015833333333333E-3</v>
      </c>
      <c r="K147" s="544">
        <f>$C147*$E$141*VLOOKUP($B147,'Standard values'!$C$9:$S$162,9, FALSE)/$E$197</f>
        <v>1.8605555555555555E-5</v>
      </c>
      <c r="L147" s="516">
        <f>I147*'Standard values'!$D$10+J147*'Standard values'!$D$11+K147*'Standard values'!$D$12</f>
        <v>0.44128533888888888</v>
      </c>
      <c r="M147" s="379"/>
      <c r="N147" s="562">
        <f>L147/$E$114</f>
        <v>16.327557538888886</v>
      </c>
      <c r="O147" s="379"/>
    </row>
    <row r="148" spans="1:15" ht="14.25" x14ac:dyDescent="0.25">
      <c r="A148" s="519"/>
      <c r="B148" s="520"/>
      <c r="C148" s="520"/>
      <c r="D148" s="520"/>
      <c r="E148" s="519"/>
      <c r="F148" s="521"/>
      <c r="G148" s="521"/>
      <c r="H148" s="521" t="s">
        <v>534</v>
      </c>
      <c r="I148" s="520"/>
      <c r="J148" s="523" t="s">
        <v>833</v>
      </c>
      <c r="K148" s="549"/>
      <c r="L148" s="525">
        <f>L143+L147</f>
        <v>0.79992723078078076</v>
      </c>
      <c r="M148" s="379"/>
      <c r="N148" s="545">
        <f>L148/$E$114</f>
        <v>29.597307538888888</v>
      </c>
      <c r="O148" s="379"/>
    </row>
    <row r="149" spans="1:15" x14ac:dyDescent="0.2">
      <c r="A149" s="390"/>
      <c r="B149" s="390"/>
      <c r="C149" s="390"/>
      <c r="D149" s="390"/>
      <c r="E149" s="390"/>
      <c r="F149" s="376"/>
      <c r="G149" s="376"/>
      <c r="H149" s="376"/>
      <c r="I149" s="390"/>
      <c r="J149" s="550"/>
      <c r="K149" s="551"/>
      <c r="L149" s="597"/>
      <c r="M149" s="379"/>
      <c r="N149" s="390"/>
      <c r="O149" s="379"/>
    </row>
    <row r="150" spans="1:15" x14ac:dyDescent="0.2">
      <c r="A150" s="390"/>
      <c r="B150" s="390"/>
      <c r="C150" s="390"/>
      <c r="D150" s="390"/>
      <c r="E150" s="390"/>
      <c r="F150" s="376"/>
      <c r="G150" s="376"/>
      <c r="H150" s="376"/>
      <c r="I150" s="390"/>
      <c r="J150" s="550"/>
      <c r="K150" s="551"/>
      <c r="L150" s="597"/>
      <c r="M150" s="379"/>
      <c r="N150" s="379"/>
      <c r="O150" s="379"/>
    </row>
    <row r="151" spans="1:15" ht="15.75" x14ac:dyDescent="0.25">
      <c r="A151" s="530" t="s">
        <v>546</v>
      </c>
      <c r="B151" s="598"/>
      <c r="C151" s="599"/>
      <c r="D151" s="531"/>
      <c r="E151" s="600"/>
      <c r="F151" s="531"/>
      <c r="G151" s="531"/>
      <c r="H151" s="531"/>
      <c r="I151" s="531"/>
      <c r="J151" s="531"/>
      <c r="K151" s="531"/>
      <c r="L151" s="601"/>
      <c r="M151" s="379"/>
      <c r="N151" s="379"/>
      <c r="O151" s="379"/>
    </row>
    <row r="152" spans="1:15" ht="15.75" x14ac:dyDescent="0.25">
      <c r="A152" s="602"/>
      <c r="B152" s="603" t="s">
        <v>549</v>
      </c>
      <c r="C152" s="511" t="s">
        <v>908</v>
      </c>
      <c r="D152" s="495"/>
      <c r="E152" s="503"/>
      <c r="F152" s="495"/>
      <c r="G152" s="495"/>
      <c r="H152" s="495"/>
      <c r="I152" s="495"/>
      <c r="J152" s="495"/>
      <c r="K152" s="495"/>
      <c r="L152" s="537"/>
      <c r="M152" s="379"/>
      <c r="N152" s="379"/>
      <c r="O152" s="390"/>
    </row>
    <row r="153" spans="1:15" ht="15.75" customHeight="1" x14ac:dyDescent="0.25">
      <c r="A153" s="602"/>
      <c r="B153" s="511"/>
      <c r="C153" s="668"/>
      <c r="D153" s="691" t="s">
        <v>431</v>
      </c>
      <c r="E153" s="692" t="str">
        <f>IF(D155="Yes","From :  ", " ")</f>
        <v xml:space="preserve"> </v>
      </c>
      <c r="F153" s="1422" t="str">
        <f>IF(D155="Yes",LUC!H$35 &amp; " ; " &amp; LUC!H$36 &amp; " ; " &amp; LUC!H$39 &amp; " ; " &amp; LUC!H$40 &amp; " ; " &amp; LUC!H$45 &amp; " ; " &amp; LUC!H$46 &amp; " ; " &amp; LUC!H$47, " ")</f>
        <v xml:space="preserve"> </v>
      </c>
      <c r="G153" s="1422"/>
      <c r="H153" s="1422"/>
      <c r="I153" s="1422"/>
      <c r="J153" s="1422"/>
      <c r="K153" s="1422"/>
      <c r="L153" s="1423"/>
      <c r="M153" s="379"/>
      <c r="N153" s="379"/>
      <c r="O153" s="390"/>
    </row>
    <row r="154" spans="1:15" ht="15.75" x14ac:dyDescent="0.25">
      <c r="A154" s="602"/>
      <c r="B154" s="539" t="s">
        <v>450</v>
      </c>
      <c r="C154" s="693" t="s">
        <v>431</v>
      </c>
      <c r="D154" s="691" t="s">
        <v>432</v>
      </c>
      <c r="E154" s="513"/>
      <c r="F154" s="1422"/>
      <c r="G154" s="1422"/>
      <c r="H154" s="1422"/>
      <c r="I154" s="1422"/>
      <c r="J154" s="1422"/>
      <c r="K154" s="1422"/>
      <c r="L154" s="1423"/>
      <c r="M154" s="379"/>
      <c r="N154" s="379"/>
      <c r="O154" s="390"/>
    </row>
    <row r="155" spans="1:15" ht="15.75" customHeight="1" x14ac:dyDescent="0.25">
      <c r="A155" s="602"/>
      <c r="B155" s="511"/>
      <c r="C155" s="670" t="str">
        <f>IF(D155="Yes","Go to", " ")</f>
        <v xml:space="preserve"> </v>
      </c>
      <c r="D155" s="691" t="s">
        <v>432</v>
      </c>
      <c r="E155" s="692" t="str">
        <f>IF(D155="Yes","To    :   ", " ")</f>
        <v xml:space="preserve"> </v>
      </c>
      <c r="F155" s="1424" t="str">
        <f>IF(D155="Yes", LUC!D$35 &amp; " ; " &amp; LUC!D$36 &amp; " ; " &amp; LUC!D$39 &amp; " ; " &amp; LUC!D$40 &amp; " ; " &amp; LUC!D$45 &amp; " ; " &amp; LUC!D$46 &amp; " ; " &amp; LUC!D$47, " ")</f>
        <v xml:space="preserve"> </v>
      </c>
      <c r="G155" s="1424"/>
      <c r="H155" s="1424"/>
      <c r="I155" s="1424"/>
      <c r="J155" s="1424"/>
      <c r="K155" s="1424"/>
      <c r="L155" s="1425"/>
      <c r="M155" s="379"/>
      <c r="N155" s="379"/>
      <c r="O155" s="390"/>
    </row>
    <row r="156" spans="1:15" ht="15.75" x14ac:dyDescent="0.25">
      <c r="A156" s="602"/>
      <c r="B156" s="416"/>
      <c r="C156" s="671" t="str">
        <f>IF(D155="Yes","sheet 'LUC' ", " ")</f>
        <v xml:space="preserve"> </v>
      </c>
      <c r="D156" s="495"/>
      <c r="E156" s="696"/>
      <c r="F156" s="1424"/>
      <c r="G156" s="1424"/>
      <c r="H156" s="1424"/>
      <c r="I156" s="1424"/>
      <c r="J156" s="1424"/>
      <c r="K156" s="1424"/>
      <c r="L156" s="1425"/>
      <c r="M156" s="379"/>
      <c r="N156" s="379"/>
      <c r="O156" s="390"/>
    </row>
    <row r="157" spans="1:15" ht="15.75" x14ac:dyDescent="0.25">
      <c r="A157" s="602"/>
      <c r="B157" s="416"/>
      <c r="C157" s="670" t="str">
        <f>IF(D155="Yes","to calculate the land use change", " ")</f>
        <v xml:space="preserve"> </v>
      </c>
      <c r="D157" s="495"/>
      <c r="E157" s="696"/>
      <c r="F157" s="694"/>
      <c r="G157" s="694"/>
      <c r="H157" s="694"/>
      <c r="I157" s="492" t="s">
        <v>674</v>
      </c>
      <c r="J157" s="514"/>
      <c r="K157" s="694"/>
      <c r="L157" s="695"/>
      <c r="M157" s="379"/>
      <c r="N157" s="379"/>
      <c r="O157" s="390"/>
    </row>
    <row r="158" spans="1:15" ht="16.5" x14ac:dyDescent="0.3">
      <c r="A158" s="602"/>
      <c r="B158" s="416"/>
      <c r="C158" s="670"/>
      <c r="D158" s="495"/>
      <c r="E158" s="696"/>
      <c r="F158" s="694"/>
      <c r="G158" s="694"/>
      <c r="H158" s="694"/>
      <c r="I158" s="539" t="s">
        <v>1053</v>
      </c>
      <c r="J158" s="539" t="s">
        <v>1054</v>
      </c>
      <c r="K158" s="539" t="s">
        <v>1055</v>
      </c>
      <c r="L158" s="540" t="s">
        <v>1056</v>
      </c>
      <c r="M158" s="379"/>
      <c r="N158" s="379"/>
      <c r="O158" s="390"/>
    </row>
    <row r="159" spans="1:15" ht="16.5" x14ac:dyDescent="0.3">
      <c r="A159" s="602"/>
      <c r="B159" s="507" t="s">
        <v>451</v>
      </c>
      <c r="C159" s="697">
        <f>IF(D155="Yes",LUC!$J$86,0)</f>
        <v>0</v>
      </c>
      <c r="D159" s="497" t="s">
        <v>449</v>
      </c>
      <c r="E159" s="503"/>
      <c r="F159" s="495"/>
      <c r="G159" s="495"/>
      <c r="H159" s="495"/>
      <c r="I159" s="544">
        <f>$C159*1000000/$E$196</f>
        <v>0</v>
      </c>
      <c r="J159" s="544">
        <v>0</v>
      </c>
      <c r="K159" s="544">
        <v>0</v>
      </c>
      <c r="L159" s="419">
        <f>I159*'Standard values'!$D$10+J159*'Standard values'!$D$11+K159*'Standard values'!$D$12</f>
        <v>0</v>
      </c>
      <c r="M159" s="379"/>
      <c r="N159" s="379"/>
      <c r="O159" s="390"/>
    </row>
    <row r="160" spans="1:15" ht="15.75" x14ac:dyDescent="0.25">
      <c r="A160" s="602"/>
      <c r="B160" s="507"/>
      <c r="C160" s="698"/>
      <c r="D160" s="497"/>
      <c r="E160" s="503"/>
      <c r="F160" s="495"/>
      <c r="G160" s="495"/>
      <c r="H160" s="495"/>
      <c r="I160" s="544"/>
      <c r="J160" s="544"/>
      <c r="K160" s="544"/>
      <c r="L160" s="516">
        <f>SUM(L159:L159)</f>
        <v>0</v>
      </c>
      <c r="M160" s="379"/>
      <c r="N160" s="379"/>
      <c r="O160" s="390"/>
    </row>
    <row r="161" spans="1:15" ht="15.75" x14ac:dyDescent="0.25">
      <c r="A161" s="602"/>
      <c r="B161" s="416"/>
      <c r="C161" s="492"/>
      <c r="D161" s="495"/>
      <c r="E161" s="503"/>
      <c r="F161" s="495"/>
      <c r="G161" s="495"/>
      <c r="H161" s="495"/>
      <c r="I161" s="544"/>
      <c r="J161" s="544"/>
      <c r="K161" s="544"/>
      <c r="L161" s="516"/>
      <c r="M161" s="379"/>
      <c r="N161" s="379"/>
      <c r="O161" s="390"/>
    </row>
    <row r="162" spans="1:15" ht="15.75" x14ac:dyDescent="0.3">
      <c r="A162" s="503"/>
      <c r="B162" s="539" t="s">
        <v>452</v>
      </c>
      <c r="C162" s="595">
        <v>0</v>
      </c>
      <c r="D162" s="605" t="s">
        <v>673</v>
      </c>
      <c r="E162" s="699"/>
      <c r="F162" s="495"/>
      <c r="G162" s="495"/>
      <c r="H162" s="495"/>
      <c r="I162" s="544">
        <f>-C162</f>
        <v>0</v>
      </c>
      <c r="J162" s="544">
        <v>0</v>
      </c>
      <c r="K162" s="544">
        <v>0</v>
      </c>
      <c r="L162" s="419">
        <f>I162*'Standard values'!$D$10+J162*'Standard values'!$D$11+K162*'Standard values'!$D$12</f>
        <v>0</v>
      </c>
      <c r="M162" s="379"/>
      <c r="N162" s="379"/>
      <c r="O162" s="390"/>
    </row>
    <row r="163" spans="1:15" x14ac:dyDescent="0.2">
      <c r="A163" s="503"/>
      <c r="B163" s="539" t="str">
        <f>IF(C162=-29,"Year of conversion:","")</f>
        <v/>
      </c>
      <c r="C163" s="539" t="str">
        <f>IF(D162=-29,"Year of conversion:","")</f>
        <v/>
      </c>
      <c r="D163" s="605" t="str">
        <f>IF(C162=-29,"Fill in the year of conversion","")</f>
        <v/>
      </c>
      <c r="E163" s="503"/>
      <c r="F163" s="495"/>
      <c r="G163" s="495"/>
      <c r="H163" s="495"/>
      <c r="I163" s="495"/>
      <c r="J163" s="495"/>
      <c r="K163" s="544"/>
      <c r="L163" s="516">
        <f>SUM(L162:L162)</f>
        <v>0</v>
      </c>
      <c r="M163" s="379"/>
      <c r="N163" s="379"/>
      <c r="O163" s="390"/>
    </row>
    <row r="164" spans="1:15" x14ac:dyDescent="0.2">
      <c r="A164" s="503"/>
      <c r="B164" s="539"/>
      <c r="C164" s="539"/>
      <c r="D164" s="605"/>
      <c r="E164" s="503"/>
      <c r="F164" s="495"/>
      <c r="G164" s="495"/>
      <c r="H164" s="495"/>
      <c r="I164" s="495"/>
      <c r="J164" s="495"/>
      <c r="K164" s="544"/>
      <c r="L164" s="700"/>
      <c r="M164" s="379"/>
      <c r="N164" s="379"/>
      <c r="O164" s="390"/>
    </row>
    <row r="165" spans="1:15" ht="14.25" x14ac:dyDescent="0.25">
      <c r="A165" s="519"/>
      <c r="B165" s="520"/>
      <c r="C165" s="520"/>
      <c r="D165" s="520"/>
      <c r="E165" s="519"/>
      <c r="F165" s="521"/>
      <c r="G165" s="521"/>
      <c r="H165" s="521" t="s">
        <v>534</v>
      </c>
      <c r="I165" s="520"/>
      <c r="J165" s="523" t="s">
        <v>675</v>
      </c>
      <c r="K165" s="549"/>
      <c r="L165" s="525">
        <f>L160+L163</f>
        <v>0</v>
      </c>
      <c r="M165" s="379"/>
      <c r="N165" s="379"/>
      <c r="O165" s="390"/>
    </row>
    <row r="166" spans="1:15" x14ac:dyDescent="0.2">
      <c r="A166" s="390"/>
      <c r="B166" s="390"/>
      <c r="C166" s="390"/>
      <c r="D166" s="390"/>
      <c r="E166" s="390"/>
      <c r="F166" s="376"/>
      <c r="G166" s="376"/>
      <c r="H166" s="376"/>
      <c r="I166" s="390"/>
      <c r="J166" s="550"/>
      <c r="K166" s="551"/>
      <c r="L166" s="604"/>
      <c r="M166" s="379"/>
      <c r="N166" s="390"/>
      <c r="O166" s="390"/>
    </row>
    <row r="167" spans="1:15" x14ac:dyDescent="0.2">
      <c r="A167" s="390"/>
      <c r="B167" s="390"/>
      <c r="C167" s="390"/>
      <c r="D167" s="390"/>
      <c r="E167" s="390"/>
      <c r="F167" s="376"/>
      <c r="G167" s="376"/>
      <c r="H167" s="376"/>
      <c r="I167" s="390"/>
      <c r="J167" s="550"/>
      <c r="K167" s="551"/>
      <c r="L167" s="604"/>
      <c r="M167" s="379"/>
      <c r="N167" s="390"/>
      <c r="O167" s="390"/>
    </row>
    <row r="168" spans="1:15" ht="15.75" x14ac:dyDescent="0.25">
      <c r="A168" s="530" t="s">
        <v>547</v>
      </c>
      <c r="B168" s="598"/>
      <c r="C168" s="599"/>
      <c r="D168" s="531"/>
      <c r="E168" s="600"/>
      <c r="F168" s="531"/>
      <c r="G168" s="531"/>
      <c r="H168" s="531"/>
      <c r="I168" s="531"/>
      <c r="J168" s="531"/>
      <c r="K168" s="531"/>
      <c r="L168" s="601"/>
      <c r="M168" s="379"/>
      <c r="N168" s="390"/>
      <c r="O168" s="390"/>
    </row>
    <row r="169" spans="1:15" ht="15.75" x14ac:dyDescent="0.25">
      <c r="A169" s="602"/>
      <c r="B169" s="416" t="s">
        <v>548</v>
      </c>
      <c r="C169" s="492" t="s">
        <v>429</v>
      </c>
      <c r="D169" s="616"/>
      <c r="E169" s="503"/>
      <c r="F169" s="495"/>
      <c r="G169" s="495"/>
      <c r="H169" s="495"/>
      <c r="I169" s="492" t="s">
        <v>832</v>
      </c>
      <c r="J169" s="514"/>
      <c r="K169" s="514"/>
      <c r="L169" s="537"/>
      <c r="M169" s="379"/>
      <c r="N169" s="390"/>
      <c r="O169" s="390"/>
    </row>
    <row r="170" spans="1:15" ht="15.75" customHeight="1" x14ac:dyDescent="0.25">
      <c r="A170" s="602"/>
      <c r="B170" s="511"/>
      <c r="C170" s="668"/>
      <c r="D170" s="691" t="s">
        <v>431</v>
      </c>
      <c r="E170" s="692" t="str">
        <f>IF(D172="Yes","From :  ", " ")</f>
        <v xml:space="preserve"> </v>
      </c>
      <c r="F170" s="1422" t="str">
        <f>IF(D172="Yes",Esca!H$42 &amp; ", " &amp; Esca!H$43 &amp; " input ","")</f>
        <v/>
      </c>
      <c r="G170" s="1422"/>
      <c r="H170" s="1422"/>
      <c r="I170" s="1422"/>
      <c r="J170" s="1422"/>
      <c r="K170" s="1422"/>
      <c r="L170" s="1423"/>
      <c r="M170" s="379"/>
      <c r="N170" s="390"/>
      <c r="O170" s="390"/>
    </row>
    <row r="171" spans="1:15" ht="15.75" x14ac:dyDescent="0.25">
      <c r="A171" s="602"/>
      <c r="B171" s="539" t="s">
        <v>430</v>
      </c>
      <c r="C171" s="668"/>
      <c r="D171" s="691" t="s">
        <v>432</v>
      </c>
      <c r="E171" s="513"/>
      <c r="F171" s="1422"/>
      <c r="G171" s="1422"/>
      <c r="H171" s="1422"/>
      <c r="I171" s="1422"/>
      <c r="J171" s="1422"/>
      <c r="K171" s="1422"/>
      <c r="L171" s="1423"/>
      <c r="M171" s="379"/>
      <c r="N171" s="390"/>
      <c r="O171" s="390"/>
    </row>
    <row r="172" spans="1:15" ht="15.75" customHeight="1" x14ac:dyDescent="0.25">
      <c r="A172" s="602"/>
      <c r="B172" s="511"/>
      <c r="C172" s="670" t="str">
        <f>IF(D172="Yes","Go to", " ")</f>
        <v xml:space="preserve"> </v>
      </c>
      <c r="D172" s="691" t="s">
        <v>432</v>
      </c>
      <c r="E172" s="692" t="str">
        <f>IF(D172="Yes","To    :   ", " ")</f>
        <v xml:space="preserve"> </v>
      </c>
      <c r="F172" s="1422" t="str">
        <f>IF(D172="Yes",Esca!D$42 &amp; ", " &amp; Esca!D$43 &amp; " input ","")</f>
        <v/>
      </c>
      <c r="G172" s="1422"/>
      <c r="H172" s="1422"/>
      <c r="I172" s="1422"/>
      <c r="J172" s="1422"/>
      <c r="K172" s="1422"/>
      <c r="L172" s="1423"/>
      <c r="M172" s="379"/>
      <c r="N172" s="390"/>
      <c r="O172" s="390"/>
    </row>
    <row r="173" spans="1:15" ht="15.75" x14ac:dyDescent="0.25">
      <c r="A173" s="602"/>
      <c r="B173" s="416"/>
      <c r="C173" s="671" t="str">
        <f>IF(D172="Yes","sheet 'Esca' ", " ")</f>
        <v xml:space="preserve"> </v>
      </c>
      <c r="D173" s="495"/>
      <c r="E173" s="696"/>
      <c r="F173" s="1422"/>
      <c r="G173" s="1422"/>
      <c r="H173" s="1422"/>
      <c r="I173" s="1422"/>
      <c r="J173" s="1422"/>
      <c r="K173" s="1422"/>
      <c r="L173" s="1423"/>
      <c r="M173" s="379"/>
      <c r="N173" s="390"/>
      <c r="O173" s="390"/>
    </row>
    <row r="174" spans="1:15" ht="15.75" x14ac:dyDescent="0.25">
      <c r="A174" s="602"/>
      <c r="B174" s="416"/>
      <c r="C174" s="670" t="str">
        <f>IF(D172="Yes","to calculate the soil carbon accumulation", " ")</f>
        <v xml:space="preserve"> </v>
      </c>
      <c r="D174" s="495"/>
      <c r="E174" s="696"/>
      <c r="F174" s="694"/>
      <c r="G174" s="694"/>
      <c r="H174" s="694"/>
      <c r="I174" s="492" t="s">
        <v>832</v>
      </c>
      <c r="J174" s="514"/>
      <c r="K174" s="694"/>
      <c r="L174" s="695"/>
      <c r="M174" s="379"/>
      <c r="N174" s="390"/>
      <c r="O174" s="390"/>
    </row>
    <row r="175" spans="1:15" ht="16.5" x14ac:dyDescent="0.3">
      <c r="A175" s="602"/>
      <c r="B175" s="416"/>
      <c r="C175" s="670"/>
      <c r="D175" s="495"/>
      <c r="E175" s="696"/>
      <c r="F175" s="694"/>
      <c r="G175" s="694"/>
      <c r="H175" s="694"/>
      <c r="I175" s="539" t="s">
        <v>1053</v>
      </c>
      <c r="J175" s="539" t="s">
        <v>1054</v>
      </c>
      <c r="K175" s="539" t="s">
        <v>1055</v>
      </c>
      <c r="L175" s="540" t="s">
        <v>1056</v>
      </c>
      <c r="M175" s="379"/>
      <c r="N175" s="390"/>
      <c r="O175" s="390"/>
    </row>
    <row r="176" spans="1:15" ht="16.5" x14ac:dyDescent="0.3">
      <c r="A176" s="602"/>
      <c r="B176" s="507" t="s">
        <v>807</v>
      </c>
      <c r="C176" s="697">
        <f>IF(D172="yes",Esca!$J$81,0)</f>
        <v>0</v>
      </c>
      <c r="D176" s="497" t="s">
        <v>449</v>
      </c>
      <c r="E176" s="503"/>
      <c r="F176" s="495"/>
      <c r="G176" s="495"/>
      <c r="H176" s="495"/>
      <c r="I176" s="544">
        <f>$C176*1000000/$E$196</f>
        <v>0</v>
      </c>
      <c r="J176" s="544">
        <v>0</v>
      </c>
      <c r="K176" s="544">
        <v>0</v>
      </c>
      <c r="L176" s="419">
        <f>I176*'Standard values'!$D$10+J176*'Standard values'!$D$11+K176*'Standard values'!$D$12</f>
        <v>0</v>
      </c>
      <c r="M176" s="379"/>
      <c r="N176" s="390"/>
      <c r="O176" s="390"/>
    </row>
    <row r="177" spans="1:15" x14ac:dyDescent="0.2">
      <c r="A177" s="503"/>
      <c r="B177" s="539"/>
      <c r="C177" s="539"/>
      <c r="D177" s="605"/>
      <c r="E177" s="503"/>
      <c r="F177" s="495"/>
      <c r="G177" s="495"/>
      <c r="H177" s="495"/>
      <c r="I177" s="495"/>
      <c r="J177" s="495"/>
      <c r="K177" s="544"/>
      <c r="L177" s="516">
        <f>SUM(L176:L176)</f>
        <v>0</v>
      </c>
      <c r="M177" s="379"/>
      <c r="N177" s="390"/>
      <c r="O177" s="390"/>
    </row>
    <row r="178" spans="1:15" x14ac:dyDescent="0.2">
      <c r="A178" s="503"/>
      <c r="B178" s="539"/>
      <c r="C178" s="539"/>
      <c r="D178" s="605"/>
      <c r="E178" s="503"/>
      <c r="F178" s="495"/>
      <c r="G178" s="495"/>
      <c r="H178" s="495"/>
      <c r="I178" s="495"/>
      <c r="J178" s="495"/>
      <c r="K178" s="544"/>
      <c r="L178" s="700"/>
      <c r="M178" s="379"/>
      <c r="N178" s="390"/>
      <c r="O178" s="390"/>
    </row>
    <row r="179" spans="1:15" ht="14.25" x14ac:dyDescent="0.25">
      <c r="A179" s="519"/>
      <c r="B179" s="520"/>
      <c r="C179" s="520"/>
      <c r="D179" s="520"/>
      <c r="E179" s="519"/>
      <c r="F179" s="521"/>
      <c r="G179" s="521"/>
      <c r="H179" s="521" t="s">
        <v>534</v>
      </c>
      <c r="I179" s="520"/>
      <c r="J179" s="523" t="s">
        <v>833</v>
      </c>
      <c r="K179" s="549"/>
      <c r="L179" s="525">
        <f>L177</f>
        <v>0</v>
      </c>
      <c r="M179" s="379"/>
      <c r="N179" s="390"/>
      <c r="O179" s="390"/>
    </row>
    <row r="180" spans="1:15" x14ac:dyDescent="0.2">
      <c r="A180" s="390"/>
      <c r="B180" s="390"/>
      <c r="C180" s="390"/>
      <c r="D180" s="390"/>
      <c r="E180" s="390"/>
      <c r="F180" s="376"/>
      <c r="G180" s="376"/>
      <c r="H180" s="376"/>
      <c r="I180" s="390"/>
      <c r="J180" s="550"/>
      <c r="K180" s="551"/>
      <c r="L180" s="604"/>
      <c r="M180" s="379"/>
      <c r="N180" s="390"/>
      <c r="O180" s="390"/>
    </row>
    <row r="181" spans="1:15" x14ac:dyDescent="0.2">
      <c r="A181" s="390"/>
      <c r="B181" s="390"/>
      <c r="C181" s="390"/>
      <c r="D181" s="390"/>
      <c r="E181" s="390"/>
      <c r="F181" s="376"/>
      <c r="G181" s="376"/>
      <c r="H181" s="376"/>
      <c r="I181" s="390"/>
      <c r="J181" s="550"/>
      <c r="K181" s="551"/>
      <c r="L181" s="604"/>
      <c r="M181" s="379"/>
      <c r="N181" s="390"/>
      <c r="O181" s="390"/>
    </row>
    <row r="182" spans="1:15" ht="18.75" x14ac:dyDescent="0.35">
      <c r="A182" s="530" t="s">
        <v>168</v>
      </c>
      <c r="B182" s="598"/>
      <c r="C182" s="599"/>
      <c r="D182" s="531"/>
      <c r="E182" s="600"/>
      <c r="F182" s="531"/>
      <c r="G182" s="531"/>
      <c r="H182" s="531"/>
      <c r="I182" s="531"/>
      <c r="J182" s="531"/>
      <c r="K182" s="531"/>
      <c r="L182" s="601"/>
      <c r="M182" s="379"/>
      <c r="N182" s="390"/>
      <c r="O182" s="390"/>
    </row>
    <row r="183" spans="1:15" ht="15.75" x14ac:dyDescent="0.25">
      <c r="A183" s="602"/>
      <c r="B183" s="416" t="s">
        <v>166</v>
      </c>
      <c r="C183" s="492"/>
      <c r="D183" s="495"/>
      <c r="E183" s="503"/>
      <c r="F183" s="495"/>
      <c r="G183" s="495"/>
      <c r="H183" s="495"/>
      <c r="I183" s="492" t="s">
        <v>832</v>
      </c>
      <c r="J183" s="514"/>
      <c r="K183" s="514"/>
      <c r="L183" s="537"/>
      <c r="M183" s="379"/>
      <c r="N183" s="390"/>
      <c r="O183" s="390"/>
    </row>
    <row r="184" spans="1:15" ht="15.75" x14ac:dyDescent="0.3">
      <c r="A184" s="503"/>
      <c r="B184" s="539"/>
      <c r="C184" s="595">
        <v>0</v>
      </c>
      <c r="D184" s="605" t="s">
        <v>836</v>
      </c>
      <c r="E184" s="503"/>
      <c r="F184" s="495"/>
      <c r="G184" s="495"/>
      <c r="H184" s="495"/>
      <c r="I184" s="495"/>
      <c r="J184" s="495"/>
      <c r="K184" s="544"/>
      <c r="L184" s="516">
        <f>C184</f>
        <v>0</v>
      </c>
      <c r="M184" s="379"/>
      <c r="N184" s="390"/>
      <c r="O184" s="390"/>
    </row>
    <row r="185" spans="1:15" ht="14.25" x14ac:dyDescent="0.25">
      <c r="A185" s="519"/>
      <c r="B185" s="520"/>
      <c r="C185" s="701"/>
      <c r="D185" s="520"/>
      <c r="E185" s="519"/>
      <c r="F185" s="521"/>
      <c r="G185" s="521"/>
      <c r="H185" s="521" t="s">
        <v>534</v>
      </c>
      <c r="I185" s="520"/>
      <c r="J185" s="523" t="s">
        <v>833</v>
      </c>
      <c r="K185" s="549"/>
      <c r="L185" s="525">
        <f>C184</f>
        <v>0</v>
      </c>
      <c r="M185" s="379"/>
      <c r="N185" s="390"/>
      <c r="O185" s="390"/>
    </row>
    <row r="186" spans="1:15" x14ac:dyDescent="0.2">
      <c r="A186" s="390"/>
      <c r="B186" s="390"/>
      <c r="C186" s="390"/>
      <c r="D186" s="390"/>
      <c r="E186" s="390"/>
      <c r="F186" s="376"/>
      <c r="G186" s="376"/>
      <c r="H186" s="376"/>
      <c r="I186" s="390"/>
      <c r="J186" s="550"/>
      <c r="K186" s="551"/>
      <c r="L186" s="604"/>
      <c r="M186" s="379"/>
      <c r="N186" s="390"/>
      <c r="O186" s="390"/>
    </row>
    <row r="187" spans="1:15" x14ac:dyDescent="0.2">
      <c r="A187" s="390"/>
      <c r="B187" s="390"/>
      <c r="C187" s="390"/>
      <c r="D187" s="390"/>
      <c r="E187" s="390"/>
      <c r="F187" s="376"/>
      <c r="G187" s="376"/>
      <c r="H187" s="376"/>
      <c r="I187" s="390"/>
      <c r="J187" s="550"/>
      <c r="K187" s="551"/>
      <c r="L187" s="604"/>
      <c r="M187" s="379"/>
      <c r="N187" s="390"/>
      <c r="O187" s="390"/>
    </row>
    <row r="188" spans="1:15" ht="18.75" x14ac:dyDescent="0.35">
      <c r="A188" s="530" t="s">
        <v>169</v>
      </c>
      <c r="B188" s="598"/>
      <c r="C188" s="599"/>
      <c r="D188" s="531"/>
      <c r="E188" s="600"/>
      <c r="F188" s="531"/>
      <c r="G188" s="531"/>
      <c r="H188" s="531"/>
      <c r="I188" s="531"/>
      <c r="J188" s="531"/>
      <c r="K188" s="531"/>
      <c r="L188" s="601"/>
      <c r="M188" s="379"/>
      <c r="N188" s="390"/>
      <c r="O188" s="390"/>
    </row>
    <row r="189" spans="1:15" ht="15.75" x14ac:dyDescent="0.25">
      <c r="A189" s="602"/>
      <c r="B189" s="416" t="s">
        <v>167</v>
      </c>
      <c r="C189" s="492"/>
      <c r="D189" s="495"/>
      <c r="E189" s="503"/>
      <c r="F189" s="495"/>
      <c r="G189" s="495"/>
      <c r="H189" s="495"/>
      <c r="I189" s="492" t="s">
        <v>832</v>
      </c>
      <c r="J189" s="514"/>
      <c r="K189" s="514"/>
      <c r="L189" s="537"/>
      <c r="M189" s="379"/>
      <c r="N189" s="390"/>
      <c r="O189" s="390"/>
    </row>
    <row r="190" spans="1:15" ht="15.75" x14ac:dyDescent="0.3">
      <c r="A190" s="503"/>
      <c r="B190" s="539"/>
      <c r="C190" s="595">
        <v>0</v>
      </c>
      <c r="D190" s="605" t="s">
        <v>836</v>
      </c>
      <c r="E190" s="503"/>
      <c r="F190" s="495"/>
      <c r="G190" s="495"/>
      <c r="H190" s="495"/>
      <c r="I190" s="495"/>
      <c r="J190" s="495"/>
      <c r="K190" s="544"/>
      <c r="L190" s="516">
        <f>C190</f>
        <v>0</v>
      </c>
      <c r="M190" s="379"/>
      <c r="N190" s="390"/>
      <c r="O190" s="390"/>
    </row>
    <row r="191" spans="1:15" ht="14.25" x14ac:dyDescent="0.25">
      <c r="A191" s="519"/>
      <c r="B191" s="520"/>
      <c r="C191" s="520"/>
      <c r="D191" s="520"/>
      <c r="E191" s="519"/>
      <c r="F191" s="521"/>
      <c r="G191" s="521"/>
      <c r="H191" s="521" t="s">
        <v>534</v>
      </c>
      <c r="I191" s="520"/>
      <c r="J191" s="523" t="s">
        <v>833</v>
      </c>
      <c r="K191" s="549"/>
      <c r="L191" s="525">
        <f>C190</f>
        <v>0</v>
      </c>
      <c r="M191" s="379"/>
      <c r="N191" s="390"/>
      <c r="O191" s="390"/>
    </row>
    <row r="192" spans="1:15" x14ac:dyDescent="0.2">
      <c r="A192" s="390"/>
      <c r="B192" s="390"/>
      <c r="C192" s="390"/>
      <c r="D192" s="390"/>
      <c r="E192" s="390"/>
      <c r="F192" s="376"/>
      <c r="G192" s="376"/>
      <c r="H192" s="376"/>
      <c r="I192" s="390"/>
      <c r="J192" s="550"/>
      <c r="K192" s="551"/>
      <c r="L192" s="604"/>
      <c r="M192" s="379"/>
      <c r="N192" s="390"/>
      <c r="O192" s="390"/>
    </row>
    <row r="193" spans="1:15" x14ac:dyDescent="0.2">
      <c r="A193" s="390"/>
      <c r="B193" s="390"/>
      <c r="C193" s="390"/>
      <c r="D193" s="390"/>
      <c r="E193" s="390"/>
      <c r="F193" s="376"/>
      <c r="G193" s="376"/>
      <c r="H193" s="376"/>
      <c r="I193" s="390"/>
      <c r="J193" s="550"/>
      <c r="K193" s="551"/>
      <c r="L193" s="604"/>
      <c r="M193" s="379"/>
      <c r="N193" s="390"/>
      <c r="O193" s="390"/>
    </row>
    <row r="194" spans="1:15" ht="15.75" x14ac:dyDescent="0.25">
      <c r="A194" s="530" t="s">
        <v>457</v>
      </c>
      <c r="B194" s="531"/>
      <c r="C194" s="531"/>
      <c r="D194" s="531"/>
      <c r="E194" s="532"/>
      <c r="F194" s="606"/>
      <c r="G194" s="606"/>
      <c r="H194" s="606"/>
      <c r="I194" s="607"/>
      <c r="J194" s="608"/>
      <c r="K194" s="607"/>
      <c r="L194" s="609"/>
      <c r="M194" s="379"/>
      <c r="N194" s="390"/>
      <c r="O194" s="390"/>
    </row>
    <row r="195" spans="1:15" ht="15.75" x14ac:dyDescent="0.25">
      <c r="A195" s="610"/>
      <c r="B195" s="611"/>
      <c r="C195" s="611"/>
      <c r="D195" s="611"/>
      <c r="E195" s="612"/>
      <c r="F195" s="613"/>
      <c r="G195" s="613"/>
      <c r="H195" s="613"/>
      <c r="I195" s="613"/>
      <c r="J195" s="613"/>
      <c r="K195" s="613"/>
      <c r="L195" s="614"/>
      <c r="M195" s="379"/>
      <c r="N195" s="390"/>
      <c r="O195" s="390"/>
    </row>
    <row r="196" spans="1:15" ht="15.75" x14ac:dyDescent="0.3">
      <c r="A196" s="503"/>
      <c r="B196" s="495"/>
      <c r="C196" s="495"/>
      <c r="D196" s="546" t="s">
        <v>300</v>
      </c>
      <c r="E196" s="702">
        <f>E24*C49*C60*C71*C101*C112*C140</f>
        <v>43067.015659079414</v>
      </c>
      <c r="F196" s="499" t="s">
        <v>834</v>
      </c>
      <c r="G196" s="499"/>
      <c r="H196" s="495"/>
      <c r="I196" s="495"/>
      <c r="J196" s="495"/>
      <c r="K196" s="495"/>
      <c r="L196" s="616"/>
      <c r="M196" s="379"/>
      <c r="N196" s="390"/>
      <c r="O196" s="390"/>
    </row>
    <row r="197" spans="1:15" ht="15.75" x14ac:dyDescent="0.3">
      <c r="A197" s="503"/>
      <c r="B197" s="495"/>
      <c r="C197" s="495"/>
      <c r="D197" s="546" t="s">
        <v>299</v>
      </c>
      <c r="E197" s="615">
        <f>E196/E24</f>
        <v>0.58218021432457467</v>
      </c>
      <c r="F197" s="495" t="s">
        <v>835</v>
      </c>
      <c r="G197" s="495"/>
      <c r="H197" s="495"/>
      <c r="I197" s="544"/>
      <c r="J197" s="495"/>
      <c r="K197" s="495"/>
      <c r="L197" s="616"/>
      <c r="M197" s="379"/>
      <c r="N197" s="390"/>
      <c r="O197" s="390"/>
    </row>
    <row r="198" spans="1:15" x14ac:dyDescent="0.2">
      <c r="A198" s="503"/>
      <c r="B198" s="495"/>
      <c r="C198" s="495"/>
      <c r="D198" s="495"/>
      <c r="E198" s="495"/>
      <c r="F198" s="617"/>
      <c r="G198" s="617"/>
      <c r="H198" s="495"/>
      <c r="I198" s="544"/>
      <c r="J198" s="495"/>
      <c r="K198" s="495"/>
      <c r="L198" s="616"/>
      <c r="M198" s="379"/>
      <c r="N198" s="390"/>
      <c r="O198" s="390"/>
    </row>
    <row r="199" spans="1:15" x14ac:dyDescent="0.2">
      <c r="A199" s="503"/>
      <c r="B199" s="495"/>
      <c r="C199" s="495"/>
      <c r="D199" s="495"/>
      <c r="E199" s="495"/>
      <c r="F199" s="617"/>
      <c r="G199" s="617"/>
      <c r="H199" s="495"/>
      <c r="I199" s="495"/>
      <c r="J199" s="495"/>
      <c r="K199" s="495"/>
      <c r="L199" s="616"/>
      <c r="M199" s="379"/>
      <c r="N199" s="390"/>
      <c r="O199" s="390"/>
    </row>
    <row r="200" spans="1:15" ht="14.25" x14ac:dyDescent="0.25">
      <c r="A200" s="703"/>
      <c r="B200" s="404"/>
      <c r="C200" s="404"/>
      <c r="D200" s="404"/>
      <c r="E200" s="704" t="s">
        <v>1059</v>
      </c>
      <c r="F200" s="705"/>
      <c r="G200" s="705"/>
      <c r="H200" s="423"/>
      <c r="I200" s="404"/>
      <c r="J200" s="704" t="s">
        <v>833</v>
      </c>
      <c r="K200" s="423"/>
      <c r="L200" s="706">
        <f>L45+L56+L66+L88+L107+L128+L148+L165-L179-L185-L191</f>
        <v>57.667132069304024</v>
      </c>
      <c r="M200" s="379"/>
      <c r="N200" s="390"/>
      <c r="O200" s="390"/>
    </row>
    <row r="201" spans="1:15" ht="14.25" x14ac:dyDescent="0.25">
      <c r="A201" s="707"/>
      <c r="B201" s="708"/>
      <c r="C201" s="709"/>
      <c r="D201" s="404"/>
      <c r="E201" s="704" t="s">
        <v>1060</v>
      </c>
      <c r="F201" s="404"/>
      <c r="G201" s="404"/>
      <c r="H201" s="404"/>
      <c r="I201" s="404"/>
      <c r="J201" s="704" t="s">
        <v>833</v>
      </c>
      <c r="K201" s="404"/>
      <c r="L201" s="710">
        <f>L97+L107+L128+L148+(L160*J6)+L163-L179-L185-L191</f>
        <v>36.041183890306705</v>
      </c>
      <c r="M201" s="379"/>
      <c r="N201" s="390"/>
      <c r="O201" s="390"/>
    </row>
    <row r="202" spans="1:15" x14ac:dyDescent="0.2">
      <c r="A202" s="703"/>
      <c r="B202" s="404"/>
      <c r="C202" s="404"/>
      <c r="D202" s="404"/>
      <c r="E202" s="404"/>
      <c r="F202" s="711"/>
      <c r="G202" s="711"/>
      <c r="H202" s="404"/>
      <c r="I202" s="404"/>
      <c r="J202" s="404"/>
      <c r="K202" s="404"/>
      <c r="L202" s="712"/>
      <c r="M202" s="379"/>
      <c r="N202" s="390"/>
      <c r="O202" s="390"/>
    </row>
    <row r="203" spans="1:15" x14ac:dyDescent="0.2">
      <c r="A203" s="519"/>
      <c r="B203" s="520"/>
      <c r="C203" s="520"/>
      <c r="D203" s="520"/>
      <c r="E203" s="713" t="s">
        <v>1061</v>
      </c>
      <c r="F203" s="632"/>
      <c r="G203" s="632"/>
      <c r="H203" s="632"/>
      <c r="I203" s="632"/>
      <c r="J203" s="632"/>
      <c r="K203" s="632"/>
      <c r="L203" s="633">
        <f>(83.8-L201)/83.8</f>
        <v>0.56991427338536149</v>
      </c>
      <c r="M203" s="379"/>
      <c r="N203" s="390"/>
      <c r="O203" s="390"/>
    </row>
    <row r="204" spans="1:15" x14ac:dyDescent="0.2">
      <c r="M204" s="361"/>
    </row>
    <row r="205" spans="1:15" x14ac:dyDescent="0.2">
      <c r="E205" s="634"/>
      <c r="F205" s="634"/>
      <c r="G205" s="634"/>
      <c r="H205" s="635"/>
      <c r="I205" s="634"/>
      <c r="J205" s="634"/>
      <c r="K205" s="634"/>
      <c r="L205" s="636"/>
      <c r="M205" s="361"/>
    </row>
    <row r="206" spans="1:15" x14ac:dyDescent="0.2">
      <c r="F206" s="634"/>
      <c r="G206" s="634"/>
      <c r="H206" s="634"/>
      <c r="I206" s="637"/>
      <c r="J206" s="634"/>
      <c r="K206" s="634"/>
      <c r="L206" s="638"/>
      <c r="M206" s="639"/>
      <c r="N206" s="361"/>
    </row>
    <row r="207" spans="1:15" x14ac:dyDescent="0.2">
      <c r="F207" s="634"/>
      <c r="G207" s="634"/>
      <c r="H207" s="634"/>
      <c r="I207" s="637"/>
      <c r="J207" s="634"/>
      <c r="K207" s="634"/>
      <c r="L207" s="638"/>
      <c r="M207" s="639"/>
      <c r="N207" s="361"/>
    </row>
    <row r="208" spans="1:15" ht="15.75" x14ac:dyDescent="0.25">
      <c r="F208" s="640"/>
      <c r="G208" s="640"/>
      <c r="H208" s="634"/>
      <c r="I208" s="634"/>
      <c r="J208" s="634"/>
      <c r="K208" s="634"/>
      <c r="L208" s="634"/>
      <c r="M208" s="634"/>
      <c r="N208" s="361"/>
    </row>
    <row r="209" spans="6:14" x14ac:dyDescent="0.2">
      <c r="F209" s="634"/>
      <c r="G209" s="634"/>
      <c r="H209" s="637"/>
      <c r="I209" s="634"/>
      <c r="J209" s="634"/>
      <c r="K209" s="634"/>
      <c r="L209" s="634"/>
      <c r="M209" s="634"/>
      <c r="N209" s="634"/>
    </row>
    <row r="210" spans="6:14" x14ac:dyDescent="0.2">
      <c r="F210" s="637"/>
      <c r="G210" s="637"/>
      <c r="H210" s="634"/>
      <c r="I210" s="641"/>
      <c r="J210" s="634"/>
      <c r="K210" s="634"/>
      <c r="L210" s="634"/>
      <c r="M210" s="634"/>
      <c r="N210" s="634"/>
    </row>
    <row r="211" spans="6:14" x14ac:dyDescent="0.2">
      <c r="F211" s="637"/>
      <c r="G211" s="637"/>
      <c r="H211" s="634"/>
      <c r="I211" s="641"/>
      <c r="J211" s="634"/>
      <c r="K211" s="634"/>
      <c r="L211" s="634"/>
      <c r="M211" s="634"/>
      <c r="N211" s="634"/>
    </row>
    <row r="212" spans="6:14" x14ac:dyDescent="0.2">
      <c r="F212" s="634"/>
      <c r="G212" s="634"/>
      <c r="H212" s="639"/>
      <c r="I212" s="634"/>
      <c r="J212" s="634"/>
      <c r="K212" s="634"/>
      <c r="L212" s="634"/>
      <c r="M212" s="634"/>
      <c r="N212" s="634"/>
    </row>
    <row r="213" spans="6:14" x14ac:dyDescent="0.2">
      <c r="F213" s="634"/>
      <c r="G213" s="634"/>
      <c r="H213" s="634"/>
      <c r="I213" s="634"/>
      <c r="J213" s="634"/>
      <c r="K213" s="634"/>
      <c r="L213" s="634"/>
      <c r="M213" s="634"/>
      <c r="N213" s="634"/>
    </row>
    <row r="214" spans="6:14" x14ac:dyDescent="0.2">
      <c r="F214" s="634"/>
      <c r="G214" s="634"/>
      <c r="H214" s="634"/>
      <c r="I214" s="634"/>
      <c r="J214" s="634"/>
      <c r="K214" s="634"/>
      <c r="L214" s="634"/>
      <c r="M214" s="634"/>
      <c r="N214" s="634"/>
    </row>
    <row r="215" spans="6:14" x14ac:dyDescent="0.2">
      <c r="F215" s="634"/>
      <c r="G215" s="634"/>
      <c r="H215" s="634"/>
      <c r="I215" s="634"/>
      <c r="J215" s="634"/>
      <c r="K215" s="634"/>
      <c r="L215" s="634"/>
      <c r="M215" s="634"/>
      <c r="N215" s="634"/>
    </row>
    <row r="216" spans="6:14" x14ac:dyDescent="0.2">
      <c r="F216" s="634"/>
      <c r="G216" s="634"/>
      <c r="H216" s="634"/>
      <c r="I216" s="634"/>
      <c r="J216" s="634"/>
      <c r="K216" s="634"/>
      <c r="L216" s="634"/>
      <c r="M216" s="634"/>
      <c r="N216" s="634"/>
    </row>
    <row r="217" spans="6:14" x14ac:dyDescent="0.2">
      <c r="F217" s="634"/>
      <c r="G217" s="634"/>
      <c r="H217" s="634"/>
      <c r="I217" s="634"/>
      <c r="J217" s="634"/>
      <c r="K217" s="634"/>
      <c r="L217" s="634"/>
      <c r="M217" s="634"/>
      <c r="N217" s="634"/>
    </row>
    <row r="218" spans="6:14" x14ac:dyDescent="0.2">
      <c r="F218" s="634"/>
      <c r="G218" s="634"/>
      <c r="H218" s="634"/>
      <c r="I218" s="634"/>
      <c r="J218" s="634"/>
      <c r="K218" s="634"/>
      <c r="L218" s="634"/>
      <c r="M218" s="634"/>
      <c r="N218" s="634"/>
    </row>
    <row r="219" spans="6:14" x14ac:dyDescent="0.2">
      <c r="F219" s="634"/>
      <c r="G219" s="634"/>
      <c r="H219" s="634"/>
      <c r="I219" s="634"/>
      <c r="J219" s="634"/>
      <c r="K219" s="634"/>
      <c r="L219" s="634"/>
      <c r="M219" s="634"/>
      <c r="N219" s="634"/>
    </row>
    <row r="220" spans="6:14" x14ac:dyDescent="0.2">
      <c r="F220" s="634"/>
      <c r="G220" s="634"/>
      <c r="H220" s="634"/>
      <c r="I220" s="634"/>
      <c r="J220" s="634"/>
      <c r="K220" s="634"/>
      <c r="L220" s="634"/>
      <c r="M220" s="634"/>
      <c r="N220" s="634"/>
    </row>
    <row r="221" spans="6:14" x14ac:dyDescent="0.2">
      <c r="F221" s="634"/>
      <c r="G221" s="634"/>
      <c r="H221" s="634"/>
      <c r="I221" s="634"/>
      <c r="J221" s="634"/>
      <c r="K221" s="634"/>
      <c r="L221" s="634"/>
      <c r="M221" s="634"/>
      <c r="N221" s="634"/>
    </row>
    <row r="222" spans="6:14" x14ac:dyDescent="0.2">
      <c r="F222" s="634"/>
      <c r="G222" s="634"/>
      <c r="H222" s="634"/>
      <c r="I222" s="634"/>
      <c r="J222" s="634"/>
      <c r="K222" s="634"/>
      <c r="L222" s="634"/>
      <c r="M222" s="634"/>
      <c r="N222" s="634"/>
    </row>
    <row r="223" spans="6:14" x14ac:dyDescent="0.2">
      <c r="F223" s="634"/>
      <c r="G223" s="634"/>
      <c r="H223" s="634"/>
      <c r="I223" s="634"/>
      <c r="J223" s="634"/>
      <c r="K223" s="634"/>
      <c r="L223" s="634"/>
      <c r="M223" s="634"/>
      <c r="N223" s="634"/>
    </row>
    <row r="224" spans="6:14" x14ac:dyDescent="0.2">
      <c r="F224" s="634"/>
      <c r="G224" s="634"/>
      <c r="H224" s="634"/>
      <c r="I224" s="634"/>
      <c r="J224" s="634"/>
      <c r="K224" s="634"/>
      <c r="L224" s="634"/>
      <c r="M224" s="634"/>
      <c r="N224" s="634"/>
    </row>
  </sheetData>
  <sheetProtection insertColumns="0" insertRows="0" deleteColumns="0" deleteRows="0"/>
  <customSheetViews>
    <customSheetView guid="{AD88818B-9F97-4B1E-9426-0DECE603685E}" scale="80" showGridLines="0" fitToPage="1" showRuler="0">
      <pane ySplit="20" topLeftCell="A21" activePane="bottomLeft" state="frozen"/>
      <selection pane="bottomLeft" activeCell="E3" sqref="E3"/>
      <pageMargins left="0.75" right="0.75" top="1" bottom="1" header="0.5" footer="0.5"/>
      <pageSetup paperSize="8" fitToHeight="0" orientation="landscape"/>
      <headerFooter alignWithMargins="0">
        <oddFooter>&amp;L&amp;8&amp;F&amp;C&amp;8&amp;A&amp;R&amp;8page&amp;P</oddFooter>
      </headerFooter>
    </customSheetView>
    <customSheetView guid="{7EB5D807-CE20-46E2-AEE6-2C193E010EA4}" scale="80" showGridLines="0" fitToPage="1" showRuler="0">
      <pane ySplit="20" topLeftCell="A21" activePane="bottomLeft" state="frozen"/>
      <selection pane="bottomLeft" activeCell="E3" sqref="E3"/>
      <pageMargins left="0.75" right="0.75" top="1" bottom="1" header="0.5" footer="0.5"/>
      <pageSetup paperSize="8" fitToHeight="0" orientation="landscape"/>
      <headerFooter alignWithMargins="0">
        <oddFooter>&amp;L&amp;8&amp;F&amp;C&amp;8&amp;A&amp;R&amp;8page&amp;P</oddFooter>
      </headerFooter>
    </customSheetView>
  </customSheetViews>
  <mergeCells count="4">
    <mergeCell ref="F153:L154"/>
    <mergeCell ref="F155:L156"/>
    <mergeCell ref="F170:L171"/>
    <mergeCell ref="F172:L173"/>
  </mergeCells>
  <phoneticPr fontId="0" type="noConversion"/>
  <conditionalFormatting sqref="O9:O20">
    <cfRule type="cellIs" dxfId="17" priority="2" stopIfTrue="1" operator="notBetween">
      <formula>-0.05</formula>
      <formula>0.05</formula>
    </cfRule>
  </conditionalFormatting>
  <conditionalFormatting sqref="E16">
    <cfRule type="expression" dxfId="16" priority="4" stopIfTrue="1">
      <formula>($E16="Combined result of previous calculation")</formula>
    </cfRule>
  </conditionalFormatting>
  <conditionalFormatting sqref="A16:D16 F16:G16">
    <cfRule type="expression" dxfId="15" priority="5" stopIfTrue="1">
      <formula>($E16="Combined result of previous calculation")</formula>
    </cfRule>
  </conditionalFormatting>
  <conditionalFormatting sqref="A10:G10 A7:G8 A13:G13">
    <cfRule type="expression" dxfId="14" priority="6" stopIfTrue="1">
      <formula>($E7&lt;&gt;"")</formula>
    </cfRule>
  </conditionalFormatting>
  <conditionalFormatting sqref="A17:D17 F17:G17">
    <cfRule type="expression" dxfId="13" priority="7" stopIfTrue="1">
      <formula>($E17="Esca included in combined result of previous calculation")</formula>
    </cfRule>
  </conditionalFormatting>
  <conditionalFormatting sqref="E17">
    <cfRule type="expression" dxfId="12" priority="8" stopIfTrue="1">
      <formula>($E17="Esca included in combined result of previous calculation")</formula>
    </cfRule>
  </conditionalFormatting>
  <conditionalFormatting sqref="A14:B14 D14:G14">
    <cfRule type="expression" dxfId="11" priority="1" stopIfTrue="1">
      <formula>($E14&lt;&gt;"")</formula>
    </cfRule>
  </conditionalFormatting>
  <dataValidations count="8">
    <dataValidation type="list" allowBlank="1" showInputMessage="1" showErrorMessage="1" sqref="F6 F9 F12" xr:uid="{00000000-0002-0000-1B00-000000000000}">
      <formula1>"A,D"</formula1>
    </dataValidation>
    <dataValidation type="list" showDropDown="1" showInputMessage="1" showErrorMessage="1" errorTitle="Wrong input" error="Only values &quot;0&quot; and &quot;29&quot; are allowed_x000a_" sqref="C162" xr:uid="{00000000-0002-0000-1B00-000001000000}">
      <formula1>"0,29"</formula1>
    </dataValidation>
    <dataValidation allowBlank="1" showInputMessage="1" showErrorMessage="1" promptTitle="Input value for manure" prompt="Use of manure will not lead to direct GHG emissions as the emission coeffient is 0 g CO2,eq/MJ._x000a_Use of manure will indirectly lead to GHG emissions. When using actual inputs, field N2O emissions must be calculated which increase due to use of manure." sqref="C33" xr:uid="{00000000-0002-0000-1B00-000002000000}"/>
    <dataValidation type="list" allowBlank="1" showInputMessage="1" showErrorMessage="1" sqref="E16" xr:uid="{00000000-0002-0000-1B00-000003000000}">
      <formula1>"- , Combined result of previous calculation"</formula1>
    </dataValidation>
    <dataValidation type="list" allowBlank="1" showInputMessage="1" showErrorMessage="1" sqref="E7:E8 E10 E13:E14" xr:uid="{00000000-0002-0000-1B00-000004000000}">
      <formula1>"- ,Individual result of previous calculation, Combined result of previous calculation"</formula1>
    </dataValidation>
    <dataValidation type="list" allowBlank="1" showInputMessage="1" showErrorMessage="1" sqref="E17" xr:uid="{00000000-0002-0000-1B00-000005000000}">
      <formula1>"- , Esca included in combined result of previous calculation"</formula1>
    </dataValidation>
    <dataValidation allowBlank="1" showInputMessage="1" showErrorMessage="1" promptTitle="Please note !" prompt="When changing the value in this cell, you must indicate in column E under &quot;overview results&quot; that you have used the result of a previous calculation. Please refer to paragraph 4.2 of the user manual for further instructions and examples." sqref="N43 N54 N63 N86" xr:uid="{00000000-0002-0000-1B00-000006000000}"/>
    <dataValidation allowBlank="1" showInputMessage="1" showErrorMessage="1" promptTitle="Electricity mix" sqref="B147 B122 B115 B82 B75 B53" xr:uid="{00000000-0002-0000-1B00-000007000000}"/>
  </dataValidations>
  <hyperlinks>
    <hyperlink ref="O51" location="Menu!A6" display="Back to menu" xr:uid="{00000000-0004-0000-1B00-000000000000}"/>
    <hyperlink ref="O62" location="Menu!A6" display="Back to menu" xr:uid="{00000000-0004-0000-1B00-000001000000}"/>
    <hyperlink ref="O50" location="Menu!A6" display="Back to menu" xr:uid="{00000000-0004-0000-1B00-000002000000}"/>
    <hyperlink ref="O61" location="Menu!A6" display="Back to menu" xr:uid="{00000000-0004-0000-1B00-000003000000}"/>
    <hyperlink ref="C173" location="Esca!A1" display="Esca!A1" xr:uid="{00000000-0004-0000-1B00-000004000000}"/>
    <hyperlink ref="C156" location="LUC!A1" display="LUC!A1" xr:uid="{00000000-0004-0000-1B00-000005000000}"/>
    <hyperlink ref="C44" location="'N2O emissions IPCC '!A1" display="N2O emissions IPCC" xr:uid="{00000000-0004-0000-1B00-000006000000}"/>
    <hyperlink ref="O132" location="Menu!A6" display="Back to menu" xr:uid="{00000000-0004-0000-1B00-000007000000}"/>
    <hyperlink ref="O133" location="Menu!A6" display="Back to menu" xr:uid="{00000000-0004-0000-1B00-000008000000}"/>
    <hyperlink ref="O103" location="Menu!A6" display="Back to menu" xr:uid="{00000000-0004-0000-1B00-000009000000}"/>
    <hyperlink ref="O102" location="Menu!A6" display="Back to menu" xr:uid="{00000000-0004-0000-1B00-00000A000000}"/>
  </hyperlinks>
  <pageMargins left="0.75" right="0.75" top="1" bottom="1" header="0.5" footer="0.5"/>
  <pageSetup paperSize="8" fitToHeight="0" orientation="landscape"/>
  <headerFooter alignWithMargins="0">
    <oddFooter>&amp;L&amp;8&amp;F&amp;C&amp;8&amp;A&amp;R&amp;8page&amp;P</oddFooter>
  </headerFooter>
  <drawing r:id="rId1"/>
  <legacyDrawing r:id="rId2"/>
  <controls>
    <mc:AlternateContent xmlns:mc="http://schemas.openxmlformats.org/markup-compatibility/2006">
      <mc:Choice Requires="x14">
        <control shapeId="27652" r:id="rId3" name="CheckBox2">
          <controlPr autoLine="0" linkedCell="About!N86" r:id="rId4">
            <anchor moveWithCells="1">
              <from>
                <xdr:col>9</xdr:col>
                <xdr:colOff>38100</xdr:colOff>
                <xdr:row>15</xdr:row>
                <xdr:rowOff>47625</xdr:rowOff>
              </from>
              <to>
                <xdr:col>13</xdr:col>
                <xdr:colOff>885825</xdr:colOff>
                <xdr:row>17</xdr:row>
                <xdr:rowOff>85725</xdr:rowOff>
              </to>
            </anchor>
          </controlPr>
        </control>
      </mc:Choice>
      <mc:Fallback>
        <control shapeId="27652" r:id="rId3" name="CheckBox2"/>
      </mc:Fallback>
    </mc:AlternateContent>
    <mc:AlternateContent xmlns:mc="http://schemas.openxmlformats.org/markup-compatibility/2006">
      <mc:Choice Requires="x14">
        <control shapeId="27653" r:id="rId5" name="CheckBox1">
          <controlPr autoLine="0" linkedCell="About!N88" r:id="rId6">
            <anchor moveWithCells="1">
              <from>
                <xdr:col>9</xdr:col>
                <xdr:colOff>47625</xdr:colOff>
                <xdr:row>13</xdr:row>
                <xdr:rowOff>0</xdr:rowOff>
              </from>
              <to>
                <xdr:col>13</xdr:col>
                <xdr:colOff>876300</xdr:colOff>
                <xdr:row>15</xdr:row>
                <xdr:rowOff>171450</xdr:rowOff>
              </to>
            </anchor>
          </controlPr>
        </control>
      </mc:Choice>
      <mc:Fallback>
        <control shapeId="27653" r:id="rId5" name="CheckBox1"/>
      </mc:Fallback>
    </mc:AlternateContent>
    <mc:AlternateContent xmlns:mc="http://schemas.openxmlformats.org/markup-compatibility/2006">
      <mc:Choice Requires="x14">
        <control shapeId="27847" r:id="rId7" name="ComboBox1">
          <controlPr locked="0" defaultSize="0" autoLine="0" linkedCell="D155" listFillRange="D153:D154" r:id="rId8">
            <anchor moveWithCells="1">
              <from>
                <xdr:col>1</xdr:col>
                <xdr:colOff>1714500</xdr:colOff>
                <xdr:row>153</xdr:row>
                <xdr:rowOff>0</xdr:rowOff>
              </from>
              <to>
                <xdr:col>3</xdr:col>
                <xdr:colOff>38100</xdr:colOff>
                <xdr:row>154</xdr:row>
                <xdr:rowOff>28575</xdr:rowOff>
              </to>
            </anchor>
          </controlPr>
        </control>
      </mc:Choice>
      <mc:Fallback>
        <control shapeId="27847" r:id="rId7" name="ComboBox1"/>
      </mc:Fallback>
    </mc:AlternateContent>
    <mc:AlternateContent xmlns:mc="http://schemas.openxmlformats.org/markup-compatibility/2006">
      <mc:Choice Requires="x14">
        <control shapeId="28080" r:id="rId9" name="ComboBox2">
          <controlPr locked="0" defaultSize="0" autoLine="0" linkedCell="D172" listFillRange="D170:D171" r:id="rId10">
            <anchor moveWithCells="1">
              <from>
                <xdr:col>1</xdr:col>
                <xdr:colOff>1676400</xdr:colOff>
                <xdr:row>170</xdr:row>
                <xdr:rowOff>9525</xdr:rowOff>
              </from>
              <to>
                <xdr:col>2</xdr:col>
                <xdr:colOff>609600</xdr:colOff>
                <xdr:row>171</xdr:row>
                <xdr:rowOff>19050</xdr:rowOff>
              </to>
            </anchor>
          </controlPr>
        </control>
      </mc:Choice>
      <mc:Fallback>
        <control shapeId="28080" r:id="rId9" name="ComboBox2"/>
      </mc:Fallback>
    </mc:AlternateContent>
    <mc:AlternateContent xmlns:mc="http://schemas.openxmlformats.org/markup-compatibility/2006">
      <mc:Choice Requires="x14">
        <control shapeId="28412" r:id="rId11" name="cmdTrackChanges">
          <controlPr defaultSize="0" autoLine="0" r:id="rId12">
            <anchor moveWithCells="1">
              <from>
                <xdr:col>1</xdr:col>
                <xdr:colOff>1076325</xdr:colOff>
                <xdr:row>19</xdr:row>
                <xdr:rowOff>95250</xdr:rowOff>
              </from>
              <to>
                <xdr:col>3</xdr:col>
                <xdr:colOff>247650</xdr:colOff>
                <xdr:row>20</xdr:row>
                <xdr:rowOff>219075</xdr:rowOff>
              </to>
            </anchor>
          </controlPr>
        </control>
      </mc:Choice>
      <mc:Fallback>
        <control shapeId="28412" r:id="rId11" name="cmdTrackChanges"/>
      </mc:Fallback>
    </mc:AlternateContent>
    <mc:AlternateContent xmlns:mc="http://schemas.openxmlformats.org/markup-compatibility/2006">
      <mc:Choice Requires="x14">
        <control shapeId="28486" r:id="rId13" name="Label 838">
          <controlPr defaultSize="0" autoFill="0" autoLine="0" autoPict="0" macro="[0]!GoToAbout">
            <anchor moveWithCells="1" sizeWithCells="1">
              <from>
                <xdr:col>10</xdr:col>
                <xdr:colOff>438150</xdr:colOff>
                <xdr:row>0</xdr:row>
                <xdr:rowOff>800100</xdr:rowOff>
              </from>
              <to>
                <xdr:col>12</xdr:col>
                <xdr:colOff>85725</xdr:colOff>
                <xdr:row>1</xdr:row>
                <xdr:rowOff>0</xdr:rowOff>
              </to>
            </anchor>
          </controlPr>
        </control>
      </mc:Choice>
    </mc:AlternateContent>
    <mc:AlternateContent xmlns:mc="http://schemas.openxmlformats.org/markup-compatibility/2006">
      <mc:Choice Requires="x14">
        <control shapeId="28487" r:id="rId14" name="Label 839">
          <controlPr defaultSize="0" autoFill="0" autoLine="0" autoPict="0" macro="[0]!GoToDirectory">
            <anchor moveWithCells="1" sizeWithCells="1">
              <from>
                <xdr:col>12</xdr:col>
                <xdr:colOff>161925</xdr:colOff>
                <xdr:row>0</xdr:row>
                <xdr:rowOff>800100</xdr:rowOff>
              </from>
              <to>
                <xdr:col>13</xdr:col>
                <xdr:colOff>990600</xdr:colOff>
                <xdr:row>1</xdr:row>
                <xdr:rowOff>0</xdr:rowOff>
              </to>
            </anchor>
          </controlPr>
        </control>
      </mc:Choice>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C1">
    <pageSetUpPr fitToPage="1"/>
  </sheetPr>
  <dimension ref="A1:R150"/>
  <sheetViews>
    <sheetView showGridLines="0" zoomScale="80" workbookViewId="0">
      <selection activeCell="A2" sqref="A2"/>
    </sheetView>
  </sheetViews>
  <sheetFormatPr baseColWidth="10" defaultColWidth="8.85546875" defaultRowHeight="12.75" x14ac:dyDescent="0.2"/>
  <cols>
    <col min="1" max="1" width="22.5703125" style="360" customWidth="1"/>
    <col min="2" max="2" width="25.85546875" style="360" customWidth="1"/>
    <col min="3" max="3" width="9.7109375" style="360" customWidth="1"/>
    <col min="4" max="4" width="20.140625" style="360" customWidth="1"/>
    <col min="5" max="5" width="14.85546875" style="360" customWidth="1"/>
    <col min="6" max="6" width="8.5703125" style="360" customWidth="1"/>
    <col min="7" max="7" width="2.85546875" style="360" customWidth="1"/>
    <col min="8" max="8" width="19.5703125" style="360" customWidth="1"/>
    <col min="9" max="12" width="9.140625" style="360" customWidth="1"/>
    <col min="13" max="13" width="2.5703125" style="360" customWidth="1"/>
    <col min="14" max="14" width="16.7109375" style="360" customWidth="1"/>
    <col min="15" max="15" width="13.7109375" style="360" customWidth="1"/>
    <col min="16" max="16384" width="8.85546875" style="361"/>
  </cols>
  <sheetData>
    <row r="1" spans="1:18" ht="102" customHeight="1" x14ac:dyDescent="0.2"/>
    <row r="2" spans="1:18" ht="27.75" customHeight="1" x14ac:dyDescent="0.25">
      <c r="A2" s="362" t="s">
        <v>961</v>
      </c>
      <c r="B2" s="363"/>
      <c r="C2" s="364"/>
      <c r="D2" s="364"/>
      <c r="E2" s="364"/>
      <c r="F2" s="365"/>
      <c r="G2" s="365"/>
      <c r="H2" s="366"/>
      <c r="I2" s="367"/>
      <c r="J2" s="368"/>
      <c r="K2" s="369"/>
      <c r="L2" s="370"/>
      <c r="M2" s="367"/>
      <c r="N2" s="367"/>
      <c r="O2" s="371" t="str">
        <f>About!D2</f>
        <v>Version 4d for Testing</v>
      </c>
    </row>
    <row r="3" spans="1:18" ht="27.75" customHeight="1" x14ac:dyDescent="0.25">
      <c r="A3" s="372" t="s">
        <v>1050</v>
      </c>
      <c r="B3" s="373"/>
      <c r="C3" s="374"/>
      <c r="D3" s="374"/>
      <c r="E3" s="373"/>
      <c r="F3" s="373"/>
      <c r="G3" s="373"/>
      <c r="H3" s="375"/>
      <c r="I3" s="376"/>
      <c r="J3" s="377"/>
      <c r="K3" s="378"/>
      <c r="L3" s="377"/>
      <c r="M3" s="377"/>
      <c r="N3" s="379"/>
      <c r="O3" s="378"/>
    </row>
    <row r="4" spans="1:18" ht="16.5" customHeight="1" x14ac:dyDescent="0.25">
      <c r="A4" s="380" t="s">
        <v>861</v>
      </c>
      <c r="B4" s="381" t="s">
        <v>854</v>
      </c>
      <c r="C4" s="381" t="s">
        <v>1057</v>
      </c>
      <c r="D4" s="381" t="s">
        <v>852</v>
      </c>
      <c r="E4" s="382" t="s">
        <v>1047</v>
      </c>
      <c r="F4" s="383" t="s">
        <v>1125</v>
      </c>
      <c r="G4" s="384"/>
      <c r="H4" s="385" t="s">
        <v>869</v>
      </c>
      <c r="I4" s="386"/>
      <c r="J4" s="387" t="s">
        <v>1063</v>
      </c>
      <c r="K4" s="388"/>
      <c r="L4" s="389"/>
      <c r="M4" s="390"/>
      <c r="N4" s="387" t="s">
        <v>391</v>
      </c>
      <c r="O4" s="391"/>
    </row>
    <row r="5" spans="1:18" ht="16.5" customHeight="1" x14ac:dyDescent="0.25">
      <c r="A5" s="392" t="s">
        <v>184</v>
      </c>
      <c r="B5" s="393" t="s">
        <v>853</v>
      </c>
      <c r="C5" s="393" t="s">
        <v>1062</v>
      </c>
      <c r="D5" s="393" t="s">
        <v>853</v>
      </c>
      <c r="E5" s="394"/>
      <c r="F5" s="395" t="s">
        <v>1126</v>
      </c>
      <c r="G5" s="396"/>
      <c r="H5" s="397" t="s">
        <v>866</v>
      </c>
      <c r="I5" s="390"/>
      <c r="J5" s="398" t="str">
        <f>A29</f>
        <v xml:space="preserve">Biogas generation </v>
      </c>
      <c r="K5" s="399"/>
      <c r="L5" s="400"/>
      <c r="M5" s="390"/>
      <c r="N5" s="398" t="s">
        <v>392</v>
      </c>
      <c r="O5" s="400"/>
    </row>
    <row r="6" spans="1:18" ht="16.5" customHeight="1" x14ac:dyDescent="0.35">
      <c r="A6" s="401" t="s">
        <v>170</v>
      </c>
      <c r="B6" s="402"/>
      <c r="C6" s="403"/>
      <c r="D6" s="404"/>
      <c r="E6" s="405">
        <f>IF(F6="A",D7,H6)</f>
        <v>0</v>
      </c>
      <c r="F6" s="406" t="s">
        <v>1127</v>
      </c>
      <c r="G6" s="407"/>
      <c r="H6" s="408">
        <v>0</v>
      </c>
      <c r="I6" s="390"/>
      <c r="J6" s="409">
        <v>1</v>
      </c>
      <c r="K6" s="410" t="s">
        <v>183</v>
      </c>
      <c r="L6" s="411"/>
      <c r="M6" s="390"/>
      <c r="N6" s="412">
        <v>83.8</v>
      </c>
      <c r="O6" s="413" t="s">
        <v>394</v>
      </c>
    </row>
    <row r="7" spans="1:18" x14ac:dyDescent="0.2">
      <c r="A7" s="398" t="str">
        <f>A19</f>
        <v>Collection organic waste</v>
      </c>
      <c r="B7" s="414">
        <f>L26</f>
        <v>0</v>
      </c>
      <c r="C7" s="415">
        <f>J6</f>
        <v>1</v>
      </c>
      <c r="D7" s="416">
        <f>C7*B7</f>
        <v>0</v>
      </c>
      <c r="E7" s="1215"/>
      <c r="F7" s="418"/>
      <c r="G7" s="418"/>
      <c r="H7" s="419">
        <f>0</f>
        <v>0</v>
      </c>
      <c r="I7" s="390"/>
      <c r="J7" s="420">
        <f>1-J6</f>
        <v>0</v>
      </c>
      <c r="K7" s="421" t="s">
        <v>759</v>
      </c>
      <c r="L7" s="422"/>
      <c r="M7" s="390"/>
      <c r="N7" s="398" t="s">
        <v>393</v>
      </c>
      <c r="O7" s="400"/>
    </row>
    <row r="8" spans="1:18" ht="16.5" customHeight="1" x14ac:dyDescent="0.35">
      <c r="A8" s="401" t="s">
        <v>544</v>
      </c>
      <c r="B8" s="423"/>
      <c r="C8" s="423"/>
      <c r="D8" s="424"/>
      <c r="E8" s="425">
        <f>IF(F8="A",D9+D10,H8)</f>
        <v>25.157546007526477</v>
      </c>
      <c r="F8" s="406" t="s">
        <v>1127</v>
      </c>
      <c r="G8" s="407"/>
      <c r="H8" s="408">
        <v>20</v>
      </c>
      <c r="I8" s="390"/>
      <c r="J8" s="390"/>
      <c r="K8" s="390"/>
      <c r="L8" s="390"/>
      <c r="M8" s="390"/>
      <c r="N8" s="426">
        <f>(N6-E15)/N6</f>
        <v>0.66571692446600594</v>
      </c>
      <c r="O8" s="427"/>
    </row>
    <row r="9" spans="1:18" ht="12" customHeight="1" x14ac:dyDescent="0.2">
      <c r="A9" s="398" t="str">
        <f>A29</f>
        <v xml:space="preserve">Biogas generation </v>
      </c>
      <c r="B9" s="414">
        <f>L61</f>
        <v>12.706374174193142</v>
      </c>
      <c r="C9" s="415">
        <f>J6</f>
        <v>1</v>
      </c>
      <c r="D9" s="416">
        <f>C9*B9</f>
        <v>12.706374174193142</v>
      </c>
      <c r="E9" s="417"/>
      <c r="F9" s="418"/>
      <c r="G9" s="418"/>
      <c r="H9" s="419">
        <f>1.4*14.08</f>
        <v>19.712</v>
      </c>
      <c r="I9" s="390"/>
      <c r="J9" s="390"/>
      <c r="K9" s="390"/>
      <c r="L9" s="390"/>
      <c r="M9" s="390"/>
      <c r="N9" s="390"/>
      <c r="O9" s="428"/>
    </row>
    <row r="10" spans="1:18" ht="12" customHeight="1" thickBot="1" x14ac:dyDescent="0.25">
      <c r="A10" s="398" t="str">
        <f>A65</f>
        <v xml:space="preserve">CH4 extraction </v>
      </c>
      <c r="B10" s="414">
        <f>L77</f>
        <v>12.451171833333333</v>
      </c>
      <c r="C10" s="415">
        <f>J6</f>
        <v>1</v>
      </c>
      <c r="D10" s="416">
        <f>C10*B10</f>
        <v>12.451171833333333</v>
      </c>
      <c r="E10" s="417"/>
      <c r="F10" s="418"/>
      <c r="G10" s="418"/>
      <c r="H10" s="419"/>
      <c r="I10" s="390"/>
      <c r="J10" s="390"/>
      <c r="K10" s="390"/>
      <c r="L10" s="390"/>
      <c r="M10" s="390"/>
      <c r="N10" s="390"/>
      <c r="O10" s="428"/>
    </row>
    <row r="11" spans="1:18" ht="16.5" customHeight="1" x14ac:dyDescent="0.35">
      <c r="A11" s="401" t="s">
        <v>545</v>
      </c>
      <c r="B11" s="423"/>
      <c r="C11" s="423"/>
      <c r="D11" s="424"/>
      <c r="E11" s="425">
        <f>IF(F11="A",D12+D13, H11)</f>
        <v>2.8553757222222225</v>
      </c>
      <c r="F11" s="406" t="s">
        <v>1127</v>
      </c>
      <c r="G11" s="407"/>
      <c r="H11" s="408">
        <v>3</v>
      </c>
      <c r="I11" s="390"/>
      <c r="J11" s="432" t="s">
        <v>140</v>
      </c>
      <c r="K11" s="433"/>
      <c r="L11" s="433"/>
      <c r="M11" s="433"/>
      <c r="N11" s="434"/>
      <c r="O11" s="430"/>
    </row>
    <row r="12" spans="1:18" ht="12" customHeight="1" x14ac:dyDescent="0.2">
      <c r="A12" s="398" t="str">
        <f>A80</f>
        <v xml:space="preserve">Transport of CH4 </v>
      </c>
      <c r="B12" s="414">
        <f>L86</f>
        <v>0</v>
      </c>
      <c r="C12" s="415">
        <v>1</v>
      </c>
      <c r="D12" s="416">
        <f>C12*B12</f>
        <v>0</v>
      </c>
      <c r="E12" s="436"/>
      <c r="F12" s="437"/>
      <c r="G12" s="437"/>
      <c r="H12" s="419">
        <v>0</v>
      </c>
      <c r="I12" s="390"/>
      <c r="J12" s="438"/>
      <c r="K12" s="439"/>
      <c r="L12" s="439"/>
      <c r="M12" s="439"/>
      <c r="N12" s="440"/>
      <c r="O12" s="441"/>
    </row>
    <row r="13" spans="1:18" ht="12" customHeight="1" x14ac:dyDescent="0.2">
      <c r="A13" s="398" t="str">
        <f>A89</f>
        <v>CNG filling station</v>
      </c>
      <c r="B13" s="414">
        <f>L94</f>
        <v>2.8553757222222225</v>
      </c>
      <c r="C13" s="415">
        <v>1</v>
      </c>
      <c r="D13" s="416">
        <f>C13*B13</f>
        <v>2.8553757222222225</v>
      </c>
      <c r="E13" s="436"/>
      <c r="F13" s="437"/>
      <c r="G13" s="437"/>
      <c r="H13" s="419">
        <v>2.86</v>
      </c>
      <c r="I13" s="390"/>
      <c r="J13" s="438"/>
      <c r="K13" s="439"/>
      <c r="L13" s="439"/>
      <c r="M13" s="442"/>
      <c r="N13" s="440"/>
      <c r="O13" s="441"/>
      <c r="Q13" s="429"/>
    </row>
    <row r="14" spans="1:18" ht="17.25" customHeight="1" x14ac:dyDescent="0.35">
      <c r="A14" s="444" t="s">
        <v>725</v>
      </c>
      <c r="B14" s="445">
        <f>L112+L118</f>
        <v>0</v>
      </c>
      <c r="C14" s="446">
        <v>1</v>
      </c>
      <c r="D14" s="445">
        <f>C14*B14</f>
        <v>0</v>
      </c>
      <c r="E14" s="425">
        <f>D14</f>
        <v>0</v>
      </c>
      <c r="F14" s="451"/>
      <c r="G14" s="451"/>
      <c r="H14" s="447">
        <v>0</v>
      </c>
      <c r="I14" s="390"/>
      <c r="J14" s="438"/>
      <c r="K14" s="439"/>
      <c r="L14" s="439"/>
      <c r="M14" s="448"/>
      <c r="N14" s="449"/>
      <c r="O14" s="450"/>
    </row>
    <row r="15" spans="1:18" ht="16.5" customHeight="1" x14ac:dyDescent="0.25">
      <c r="A15" s="452" t="s">
        <v>1049</v>
      </c>
      <c r="B15" s="453">
        <f>SUM(B7:B13)-B14</f>
        <v>28.012921729748701</v>
      </c>
      <c r="C15" s="454"/>
      <c r="D15" s="455"/>
      <c r="E15" s="456">
        <f>SUM(E6:E13)-E14</f>
        <v>28.012921729748701</v>
      </c>
      <c r="F15" s="457"/>
      <c r="G15" s="457"/>
      <c r="H15" s="458">
        <v>23</v>
      </c>
      <c r="I15" s="379"/>
      <c r="J15" s="438"/>
      <c r="K15" s="439"/>
      <c r="L15" s="439"/>
      <c r="M15" s="448"/>
      <c r="N15" s="449"/>
      <c r="O15" s="450"/>
    </row>
    <row r="16" spans="1:18" ht="16.5" customHeight="1" thickBot="1" x14ac:dyDescent="0.3">
      <c r="I16" s="379"/>
      <c r="J16" s="459" t="s">
        <v>1</v>
      </c>
      <c r="K16" s="460"/>
      <c r="L16" s="460"/>
      <c r="M16" s="461"/>
      <c r="N16" s="462"/>
      <c r="O16" s="463"/>
      <c r="R16" s="429"/>
    </row>
    <row r="17" spans="1:15" ht="16.5" customHeight="1" x14ac:dyDescent="0.25">
      <c r="A17" s="464"/>
      <c r="B17" s="465"/>
      <c r="E17" s="466" t="s">
        <v>859</v>
      </c>
      <c r="F17" s="467"/>
      <c r="G17" s="467"/>
      <c r="H17" s="468"/>
      <c r="I17" s="469"/>
      <c r="J17" s="470"/>
      <c r="K17" s="433"/>
      <c r="L17" s="471"/>
      <c r="M17" s="433"/>
      <c r="N17" s="433"/>
      <c r="O17" s="472"/>
    </row>
    <row r="18" spans="1:15" ht="22.5" customHeight="1" thickBot="1" x14ac:dyDescent="0.25">
      <c r="A18" s="473" t="s">
        <v>1051</v>
      </c>
      <c r="B18" s="379"/>
      <c r="E18" s="474" t="s">
        <v>860</v>
      </c>
      <c r="F18" s="442"/>
      <c r="G18" s="442"/>
      <c r="H18" s="442"/>
      <c r="I18" s="439"/>
      <c r="J18" s="475"/>
      <c r="K18" s="475"/>
      <c r="L18" s="476"/>
      <c r="M18" s="477"/>
      <c r="N18" s="477"/>
      <c r="O18" s="478"/>
    </row>
    <row r="19" spans="1:15" ht="15.75" x14ac:dyDescent="0.25">
      <c r="A19" s="479" t="s">
        <v>343</v>
      </c>
      <c r="B19" s="480"/>
      <c r="C19" s="480"/>
      <c r="D19" s="480"/>
      <c r="E19" s="479" t="s">
        <v>513</v>
      </c>
      <c r="F19" s="481"/>
      <c r="G19" s="481"/>
      <c r="H19" s="480"/>
      <c r="I19" s="482" t="s">
        <v>532</v>
      </c>
      <c r="J19" s="481"/>
      <c r="K19" s="481"/>
      <c r="L19" s="483"/>
      <c r="M19" s="484"/>
      <c r="N19" s="485"/>
      <c r="O19" s="485"/>
    </row>
    <row r="20" spans="1:15" ht="15.75" x14ac:dyDescent="0.25">
      <c r="A20" s="486"/>
      <c r="B20" s="487" t="s">
        <v>524</v>
      </c>
      <c r="C20" s="488"/>
      <c r="D20" s="488"/>
      <c r="E20" s="489" t="s">
        <v>524</v>
      </c>
      <c r="F20" s="490"/>
      <c r="G20" s="490"/>
      <c r="H20" s="491"/>
      <c r="I20" s="492" t="s">
        <v>899</v>
      </c>
      <c r="J20" s="490"/>
      <c r="K20" s="490"/>
      <c r="L20" s="493"/>
      <c r="M20" s="484"/>
      <c r="N20" s="378"/>
      <c r="O20" s="484"/>
    </row>
    <row r="21" spans="1:15" ht="16.5" x14ac:dyDescent="0.3">
      <c r="A21" s="494"/>
      <c r="B21" s="495" t="s">
        <v>571</v>
      </c>
      <c r="C21" s="496">
        <v>1</v>
      </c>
      <c r="D21" s="497" t="s">
        <v>501</v>
      </c>
      <c r="E21" s="498">
        <f>C21</f>
        <v>1</v>
      </c>
      <c r="F21" s="499" t="s">
        <v>563</v>
      </c>
      <c r="G21" s="499"/>
      <c r="H21" s="499"/>
      <c r="I21" s="500" t="s">
        <v>1053</v>
      </c>
      <c r="J21" s="500" t="s">
        <v>1054</v>
      </c>
      <c r="K21" s="500" t="s">
        <v>1055</v>
      </c>
      <c r="L21" s="501" t="s">
        <v>1056</v>
      </c>
      <c r="M21" s="379"/>
      <c r="N21" s="502"/>
      <c r="O21" s="502"/>
    </row>
    <row r="22" spans="1:15" x14ac:dyDescent="0.2">
      <c r="A22" s="503"/>
      <c r="B22" s="495"/>
      <c r="C22" s="495"/>
      <c r="D22" s="497"/>
      <c r="E22" s="505"/>
      <c r="F22" s="506"/>
      <c r="G22" s="506"/>
      <c r="H22" s="495"/>
      <c r="I22" s="507"/>
      <c r="J22" s="508"/>
      <c r="K22" s="508"/>
      <c r="L22" s="509"/>
      <c r="M22" s="379"/>
      <c r="N22" s="379"/>
      <c r="O22" s="379"/>
    </row>
    <row r="23" spans="1:15" x14ac:dyDescent="0.2">
      <c r="A23" s="503"/>
      <c r="B23" s="495"/>
      <c r="C23" s="495"/>
      <c r="D23" s="497"/>
      <c r="E23" s="510"/>
      <c r="F23" s="506"/>
      <c r="G23" s="506"/>
      <c r="H23" s="495"/>
      <c r="I23" s="508"/>
      <c r="J23" s="508"/>
      <c r="K23" s="508"/>
      <c r="L23" s="509"/>
      <c r="M23" s="379"/>
      <c r="N23" s="379"/>
      <c r="O23" s="379"/>
    </row>
    <row r="24" spans="1:15" x14ac:dyDescent="0.2">
      <c r="A24" s="503"/>
      <c r="B24" s="511"/>
      <c r="C24" s="512"/>
      <c r="D24" s="495"/>
      <c r="E24" s="513"/>
      <c r="F24" s="514"/>
      <c r="G24" s="514"/>
      <c r="H24" s="514" t="s">
        <v>1047</v>
      </c>
      <c r="I24" s="515">
        <f>SUM(I22:I23)</f>
        <v>0</v>
      </c>
      <c r="J24" s="515">
        <f>SUM(J22:J23)</f>
        <v>0</v>
      </c>
      <c r="K24" s="515">
        <f>SUM(K22:K23)</f>
        <v>0</v>
      </c>
      <c r="L24" s="516">
        <f>I24*'Standard values'!$D$10+J24*'Standard values'!$D$11+K24*'Standard values'!$D$12</f>
        <v>0</v>
      </c>
      <c r="M24" s="379"/>
      <c r="N24" s="517"/>
      <c r="O24" s="518"/>
    </row>
    <row r="25" spans="1:15" x14ac:dyDescent="0.2">
      <c r="A25" s="503"/>
      <c r="B25" s="511"/>
      <c r="C25" s="512"/>
      <c r="D25" s="495"/>
      <c r="E25" s="513"/>
      <c r="F25" s="514"/>
      <c r="G25" s="514"/>
      <c r="H25" s="514"/>
      <c r="I25" s="416"/>
      <c r="J25" s="416"/>
      <c r="K25" s="416"/>
      <c r="L25" s="436"/>
      <c r="M25" s="379"/>
      <c r="N25" s="390"/>
      <c r="O25" s="390"/>
    </row>
    <row r="26" spans="1:15" ht="14.25" x14ac:dyDescent="0.25">
      <c r="A26" s="519"/>
      <c r="B26" s="520"/>
      <c r="C26" s="520"/>
      <c r="D26" s="520"/>
      <c r="E26" s="519"/>
      <c r="F26" s="521"/>
      <c r="G26" s="521"/>
      <c r="H26" s="521" t="s">
        <v>534</v>
      </c>
      <c r="I26" s="522"/>
      <c r="J26" s="523" t="s">
        <v>175</v>
      </c>
      <c r="K26" s="524"/>
      <c r="L26" s="525">
        <f>L24</f>
        <v>0</v>
      </c>
      <c r="M26" s="379"/>
      <c r="N26" s="390"/>
      <c r="O26" s="390"/>
    </row>
    <row r="27" spans="1:15" x14ac:dyDescent="0.2">
      <c r="A27" s="379"/>
      <c r="B27" s="379"/>
      <c r="C27" s="379"/>
      <c r="D27" s="379"/>
      <c r="E27" s="379"/>
      <c r="F27" s="526"/>
      <c r="G27" s="526"/>
      <c r="H27" s="526"/>
      <c r="I27" s="527"/>
      <c r="J27" s="528"/>
      <c r="K27" s="484"/>
      <c r="L27" s="430"/>
      <c r="M27" s="379"/>
      <c r="N27" s="390"/>
      <c r="O27" s="390"/>
    </row>
    <row r="28" spans="1:15" x14ac:dyDescent="0.2">
      <c r="A28" s="390"/>
      <c r="B28" s="390"/>
      <c r="C28" s="390"/>
      <c r="D28" s="390"/>
      <c r="E28" s="390"/>
      <c r="F28" s="390"/>
      <c r="G28" s="390"/>
      <c r="H28" s="390"/>
      <c r="I28" s="390"/>
      <c r="J28" s="390"/>
      <c r="K28" s="390"/>
      <c r="L28" s="375"/>
      <c r="M28" s="379"/>
      <c r="N28" s="379"/>
      <c r="O28" s="379"/>
    </row>
    <row r="29" spans="1:15" ht="15.75" x14ac:dyDescent="0.25">
      <c r="A29" s="530" t="s">
        <v>756</v>
      </c>
      <c r="B29" s="532" t="s">
        <v>757</v>
      </c>
      <c r="C29" s="531"/>
      <c r="D29" s="531"/>
      <c r="E29" s="530" t="s">
        <v>513</v>
      </c>
      <c r="F29" s="532"/>
      <c r="G29" s="532"/>
      <c r="H29" s="531"/>
      <c r="I29" s="532" t="s">
        <v>532</v>
      </c>
      <c r="J29" s="533"/>
      <c r="K29" s="533"/>
      <c r="L29" s="534"/>
      <c r="M29" s="379"/>
      <c r="N29" s="535" t="s">
        <v>162</v>
      </c>
      <c r="O29" s="379"/>
    </row>
    <row r="30" spans="1:15" x14ac:dyDescent="0.2">
      <c r="A30" s="503"/>
      <c r="B30" s="511" t="s">
        <v>524</v>
      </c>
      <c r="C30" s="495"/>
      <c r="D30" s="495"/>
      <c r="E30" s="553"/>
      <c r="F30" s="495"/>
      <c r="G30" s="495"/>
      <c r="H30" s="495"/>
      <c r="I30" s="492" t="s">
        <v>899</v>
      </c>
      <c r="J30" s="514"/>
      <c r="K30" s="514"/>
      <c r="L30" s="537"/>
      <c r="M30" s="379"/>
      <c r="N30" s="554" t="s">
        <v>576</v>
      </c>
      <c r="O30" s="379"/>
    </row>
    <row r="31" spans="1:15" ht="15.75" x14ac:dyDescent="0.3">
      <c r="A31" s="503"/>
      <c r="B31" s="506" t="s">
        <v>762</v>
      </c>
      <c r="C31" s="536">
        <f>1/1.4286</f>
        <v>0.69998600027999436</v>
      </c>
      <c r="D31" s="495" t="s">
        <v>567</v>
      </c>
      <c r="E31" s="553" t="s">
        <v>761</v>
      </c>
      <c r="F31" s="495"/>
      <c r="G31" s="495"/>
      <c r="H31" s="495"/>
      <c r="I31" s="492"/>
      <c r="J31" s="514"/>
      <c r="K31" s="514"/>
      <c r="L31" s="537"/>
      <c r="M31" s="379"/>
      <c r="N31" s="554"/>
      <c r="O31" s="379"/>
    </row>
    <row r="32" spans="1:15" ht="15.75" x14ac:dyDescent="0.3">
      <c r="A32" s="503"/>
      <c r="B32" s="506" t="s">
        <v>763</v>
      </c>
      <c r="C32" s="555">
        <f>C31-(C45*C40*C31)-(C58*C31)</f>
        <v>0.59005319893602126</v>
      </c>
      <c r="D32" s="495" t="s">
        <v>567</v>
      </c>
      <c r="E32" s="505">
        <f>E21*C32</f>
        <v>0.59005319893602126</v>
      </c>
      <c r="F32" s="499" t="s">
        <v>568</v>
      </c>
      <c r="G32" s="499"/>
      <c r="H32" s="495"/>
      <c r="I32" s="539" t="s">
        <v>1053</v>
      </c>
      <c r="J32" s="539" t="s">
        <v>1054</v>
      </c>
      <c r="K32" s="539" t="s">
        <v>1055</v>
      </c>
      <c r="L32" s="540" t="s">
        <v>1056</v>
      </c>
      <c r="M32" s="379"/>
      <c r="N32" s="540" t="s">
        <v>1056</v>
      </c>
      <c r="O32" s="379"/>
    </row>
    <row r="33" spans="1:15" ht="15.75" x14ac:dyDescent="0.3">
      <c r="A33" s="503"/>
      <c r="B33" s="506"/>
      <c r="C33" s="555"/>
      <c r="D33" s="495"/>
      <c r="E33" s="557">
        <f>E32/E123</f>
        <v>1.01</v>
      </c>
      <c r="F33" s="506" t="s">
        <v>407</v>
      </c>
      <c r="G33" s="506"/>
      <c r="H33" s="495"/>
      <c r="I33" s="539"/>
      <c r="J33" s="539"/>
      <c r="K33" s="539"/>
      <c r="L33" s="540"/>
      <c r="M33" s="379"/>
      <c r="N33" s="540"/>
      <c r="O33" s="379"/>
    </row>
    <row r="34" spans="1:15" x14ac:dyDescent="0.2">
      <c r="A34" s="503"/>
      <c r="B34" s="506" t="s">
        <v>579</v>
      </c>
      <c r="C34" s="556">
        <v>1.4</v>
      </c>
      <c r="D34" s="495"/>
      <c r="E34" s="505"/>
      <c r="F34" s="499"/>
      <c r="G34" s="499"/>
      <c r="H34" s="495"/>
      <c r="I34" s="539"/>
      <c r="J34" s="539"/>
      <c r="K34" s="539"/>
      <c r="L34" s="540"/>
      <c r="M34" s="379"/>
      <c r="N34" s="540"/>
      <c r="O34" s="379"/>
    </row>
    <row r="35" spans="1:15" x14ac:dyDescent="0.2">
      <c r="A35" s="503"/>
      <c r="B35" s="506"/>
      <c r="C35" s="555"/>
      <c r="D35" s="495"/>
      <c r="E35" s="505"/>
      <c r="F35" s="499"/>
      <c r="G35" s="499"/>
      <c r="H35" s="495"/>
      <c r="I35" s="539"/>
      <c r="J35" s="539"/>
      <c r="K35" s="539"/>
      <c r="L35" s="540"/>
      <c r="M35" s="379"/>
      <c r="N35" s="540"/>
      <c r="O35" s="379"/>
    </row>
    <row r="36" spans="1:15" ht="15.75" x14ac:dyDescent="0.3">
      <c r="A36" s="558" t="s">
        <v>133</v>
      </c>
      <c r="B36" s="506" t="s">
        <v>231</v>
      </c>
      <c r="C36" s="559">
        <v>5.4000000000000001E-4</v>
      </c>
      <c r="D36" s="506" t="s">
        <v>913</v>
      </c>
      <c r="E36" s="557" t="s">
        <v>850</v>
      </c>
      <c r="F36" s="506"/>
      <c r="G36" s="506"/>
      <c r="H36" s="495"/>
      <c r="I36" s="544"/>
      <c r="J36" s="544"/>
      <c r="K36" s="544"/>
      <c r="L36" s="561"/>
      <c r="M36" s="379"/>
      <c r="N36" s="562"/>
      <c r="O36" s="379"/>
    </row>
    <row r="37" spans="1:15" x14ac:dyDescent="0.2">
      <c r="A37" s="563"/>
      <c r="B37" s="506"/>
      <c r="C37" s="564"/>
      <c r="D37" s="506"/>
      <c r="E37" s="557"/>
      <c r="F37" s="506"/>
      <c r="G37" s="506"/>
      <c r="H37" s="495"/>
      <c r="I37" s="495"/>
      <c r="J37" s="495"/>
      <c r="K37" s="495"/>
      <c r="L37" s="541"/>
      <c r="M37" s="379"/>
      <c r="N37" s="562"/>
      <c r="O37" s="379"/>
    </row>
    <row r="38" spans="1:15" x14ac:dyDescent="0.2">
      <c r="A38" s="503"/>
      <c r="B38" s="511" t="s">
        <v>525</v>
      </c>
      <c r="C38" s="495"/>
      <c r="D38" s="495"/>
      <c r="E38" s="513"/>
      <c r="F38" s="495"/>
      <c r="G38" s="495"/>
      <c r="H38" s="495"/>
      <c r="I38" s="495"/>
      <c r="J38" s="495"/>
      <c r="K38" s="495"/>
      <c r="L38" s="541"/>
      <c r="M38" s="379"/>
      <c r="N38" s="562"/>
      <c r="O38" s="379"/>
    </row>
    <row r="39" spans="1:15" ht="15.75" x14ac:dyDescent="0.3">
      <c r="A39" s="503"/>
      <c r="B39" s="495" t="s">
        <v>507</v>
      </c>
      <c r="C39" s="536">
        <f>0.0622</f>
        <v>6.2199999999999998E-2</v>
      </c>
      <c r="D39" s="495" t="s">
        <v>254</v>
      </c>
      <c r="E39" s="503" t="s">
        <v>250</v>
      </c>
      <c r="F39" s="495"/>
      <c r="G39" s="495"/>
      <c r="H39" s="495"/>
      <c r="I39" s="544"/>
      <c r="J39" s="544"/>
      <c r="K39" s="544"/>
      <c r="L39" s="419"/>
      <c r="M39" s="379"/>
      <c r="N39" s="562"/>
      <c r="O39" s="379"/>
    </row>
    <row r="40" spans="1:15" ht="15.75" x14ac:dyDescent="0.3">
      <c r="A40" s="503"/>
      <c r="B40" s="495" t="s">
        <v>251</v>
      </c>
      <c r="C40" s="536">
        <f>0.0865</f>
        <v>8.6499999999999994E-2</v>
      </c>
      <c r="D40" s="495" t="s">
        <v>254</v>
      </c>
      <c r="E40" s="503"/>
      <c r="F40" s="495"/>
      <c r="G40" s="495"/>
      <c r="H40" s="495"/>
      <c r="I40" s="544"/>
      <c r="J40" s="544"/>
      <c r="K40" s="544"/>
      <c r="L40" s="419"/>
      <c r="M40" s="379"/>
      <c r="N40" s="562"/>
      <c r="O40" s="379"/>
    </row>
    <row r="41" spans="1:15" x14ac:dyDescent="0.2">
      <c r="A41" s="503"/>
      <c r="B41" s="565" t="s">
        <v>252</v>
      </c>
      <c r="C41" s="566"/>
      <c r="D41" s="566"/>
      <c r="E41" s="567"/>
      <c r="F41" s="568"/>
      <c r="G41" s="568"/>
      <c r="H41" s="568"/>
      <c r="I41" s="569"/>
      <c r="J41" s="568"/>
      <c r="K41" s="568"/>
      <c r="L41" s="570"/>
      <c r="M41" s="379"/>
      <c r="N41" s="562"/>
      <c r="O41" s="379"/>
    </row>
    <row r="42" spans="1:15" x14ac:dyDescent="0.2">
      <c r="A42" s="503"/>
      <c r="B42" s="571" t="s">
        <v>377</v>
      </c>
      <c r="C42" s="566"/>
      <c r="D42" s="566"/>
      <c r="E42" s="567" t="s">
        <v>799</v>
      </c>
      <c r="F42" s="568"/>
      <c r="G42" s="568"/>
      <c r="H42" s="568"/>
      <c r="I42" s="569"/>
      <c r="J42" s="568"/>
      <c r="K42" s="568"/>
      <c r="L42" s="570"/>
      <c r="M42" s="379"/>
      <c r="N42" s="562"/>
      <c r="O42" s="379"/>
    </row>
    <row r="43" spans="1:15" ht="15.75" x14ac:dyDescent="0.3">
      <c r="A43" s="503"/>
      <c r="B43" s="572" t="s">
        <v>380</v>
      </c>
      <c r="C43" s="573">
        <f>C40</f>
        <v>8.6499999999999994E-2</v>
      </c>
      <c r="D43" s="568" t="s">
        <v>254</v>
      </c>
      <c r="E43" s="567" t="s">
        <v>768</v>
      </c>
      <c r="F43" s="568"/>
      <c r="G43" s="568"/>
      <c r="H43" s="568"/>
      <c r="I43" s="574"/>
      <c r="J43" s="574"/>
      <c r="K43" s="574"/>
      <c r="L43" s="575"/>
      <c r="M43" s="379"/>
      <c r="N43" s="562"/>
      <c r="O43" s="379"/>
    </row>
    <row r="44" spans="1:15" x14ac:dyDescent="0.2">
      <c r="A44" s="503"/>
      <c r="B44" s="571" t="s">
        <v>378</v>
      </c>
      <c r="C44" s="573"/>
      <c r="D44" s="566"/>
      <c r="E44" s="576"/>
      <c r="F44" s="568"/>
      <c r="G44" s="568"/>
      <c r="H44" s="568"/>
      <c r="I44" s="574"/>
      <c r="J44" s="574"/>
      <c r="K44" s="574"/>
      <c r="L44" s="575"/>
      <c r="M44" s="379"/>
      <c r="N44" s="562"/>
      <c r="O44" s="379"/>
    </row>
    <row r="45" spans="1:15" ht="14.25" x14ac:dyDescent="0.25">
      <c r="A45" s="503"/>
      <c r="B45" s="577" t="s">
        <v>253</v>
      </c>
      <c r="C45" s="536">
        <v>1.7</v>
      </c>
      <c r="D45" s="568" t="s">
        <v>419</v>
      </c>
      <c r="E45" s="578"/>
      <c r="F45" s="568"/>
      <c r="G45" s="568"/>
      <c r="H45" s="568"/>
      <c r="I45" s="574"/>
      <c r="J45" s="574"/>
      <c r="K45" s="574"/>
      <c r="L45" s="575"/>
      <c r="M45" s="379"/>
      <c r="N45" s="562"/>
      <c r="O45" s="379"/>
    </row>
    <row r="46" spans="1:15" ht="15.75" x14ac:dyDescent="0.3">
      <c r="A46" s="503"/>
      <c r="B46" s="572" t="s">
        <v>773</v>
      </c>
      <c r="C46" s="536">
        <v>0</v>
      </c>
      <c r="D46" s="568" t="s">
        <v>254</v>
      </c>
      <c r="E46" s="578"/>
      <c r="F46" s="568"/>
      <c r="G46" s="568"/>
      <c r="H46" s="568"/>
      <c r="I46" s="574"/>
      <c r="J46" s="574"/>
      <c r="K46" s="574"/>
      <c r="L46" s="575"/>
      <c r="M46" s="379"/>
      <c r="N46" s="562"/>
      <c r="O46" s="379"/>
    </row>
    <row r="47" spans="1:15" x14ac:dyDescent="0.2">
      <c r="A47" s="503"/>
      <c r="B47" s="571" t="s">
        <v>935</v>
      </c>
      <c r="C47" s="573"/>
      <c r="D47" s="566"/>
      <c r="E47" s="567"/>
      <c r="F47" s="568"/>
      <c r="G47" s="568"/>
      <c r="H47" s="568"/>
      <c r="I47" s="569" t="s">
        <v>532</v>
      </c>
      <c r="J47" s="574"/>
      <c r="K47" s="574"/>
      <c r="L47" s="575"/>
      <c r="M47" s="379"/>
      <c r="N47" s="562"/>
      <c r="O47" s="379"/>
    </row>
    <row r="48" spans="1:15" ht="15.75" x14ac:dyDescent="0.3">
      <c r="A48" s="503"/>
      <c r="B48" s="572" t="s">
        <v>581</v>
      </c>
      <c r="C48" s="573"/>
      <c r="D48" s="566"/>
      <c r="E48" s="567"/>
      <c r="F48" s="568"/>
      <c r="G48" s="568"/>
      <c r="H48" s="568"/>
      <c r="I48" s="574">
        <f>$C40*$C$31*$C$34*VLOOKUP($B48,'Standard values'!$C$9:$S$159,7, FALSE)/$E$123</f>
        <v>0</v>
      </c>
      <c r="J48" s="574">
        <f>$C40*$C$31*$C$34*VLOOKUP($B48,'Standard values'!$C$9:$S$159,8, FALSE)/$E$123</f>
        <v>7.7386005496569562E-3</v>
      </c>
      <c r="K48" s="574">
        <f>$C40*$C$31*$C$34*VLOOKUP($B48,'Standard values'!$C$9:$S$159,9, FALSE)/$E$123</f>
        <v>0</v>
      </c>
      <c r="L48" s="575">
        <f>I48*'Standard values'!$D$10+J48*'Standard values'!$D$11+K48*'Standard values'!$D$12</f>
        <v>0.19346501374142391</v>
      </c>
      <c r="M48" s="379"/>
      <c r="N48" s="562">
        <f>+L48/$E$33</f>
        <v>0.19154951855586527</v>
      </c>
      <c r="O48" s="379"/>
    </row>
    <row r="49" spans="1:15" ht="27" x14ac:dyDescent="0.3">
      <c r="A49" s="503"/>
      <c r="B49" s="579" t="s">
        <v>158</v>
      </c>
      <c r="C49" s="573">
        <f>C46</f>
        <v>0</v>
      </c>
      <c r="D49" s="568" t="s">
        <v>254</v>
      </c>
      <c r="E49" s="567"/>
      <c r="F49" s="568"/>
      <c r="G49" s="568"/>
      <c r="H49" s="568"/>
      <c r="I49" s="574">
        <f>$C49*$C$31*$C$34*VLOOKUP($B49,'Standard values'!$C$9:$S$162,7, FALSE)/$E$123</f>
        <v>0</v>
      </c>
      <c r="J49" s="574">
        <f>$C49*$C$31*$C$34*VLOOKUP($B49,'Standard values'!$C$9:$S$162,8, FALSE)/$E$123</f>
        <v>0</v>
      </c>
      <c r="K49" s="574">
        <f>$C49*$C$31*$C$34*VLOOKUP($B49,'Standard values'!$C$9:$S$162,9, FALSE)/$E$123</f>
        <v>0</v>
      </c>
      <c r="L49" s="575">
        <f>I49*'Standard values'!$D$10+J49*'Standard values'!$D$11+K49*'Standard values'!$D$12</f>
        <v>0</v>
      </c>
      <c r="M49" s="379"/>
      <c r="N49" s="562">
        <f>+L49/$E$33</f>
        <v>0</v>
      </c>
      <c r="O49" s="379"/>
    </row>
    <row r="50" spans="1:15" x14ac:dyDescent="0.2">
      <c r="A50" s="503"/>
      <c r="B50" s="580" t="s">
        <v>801</v>
      </c>
      <c r="C50" s="573"/>
      <c r="D50" s="568"/>
      <c r="E50" s="567"/>
      <c r="F50" s="568"/>
      <c r="G50" s="568"/>
      <c r="H50" s="568"/>
      <c r="I50" s="574"/>
      <c r="J50" s="574"/>
      <c r="K50" s="574"/>
      <c r="L50" s="575"/>
      <c r="M50" s="379"/>
      <c r="N50" s="562"/>
      <c r="O50" s="379"/>
    </row>
    <row r="51" spans="1:15" ht="14.25" x14ac:dyDescent="0.25">
      <c r="A51" s="503"/>
      <c r="B51" s="577" t="s">
        <v>348</v>
      </c>
      <c r="C51" s="536">
        <v>0.5</v>
      </c>
      <c r="D51" s="568" t="s">
        <v>419</v>
      </c>
      <c r="E51" s="567"/>
      <c r="F51" s="568"/>
      <c r="G51" s="568"/>
      <c r="H51" s="568"/>
      <c r="I51" s="574"/>
      <c r="J51" s="581"/>
      <c r="K51" s="581"/>
      <c r="L51" s="575"/>
      <c r="M51" s="379"/>
      <c r="N51" s="562"/>
      <c r="O51" s="379"/>
    </row>
    <row r="52" spans="1:15" ht="15.75" x14ac:dyDescent="0.3">
      <c r="A52" s="503"/>
      <c r="B52" s="577" t="s">
        <v>774</v>
      </c>
      <c r="C52" s="573">
        <f>C51*C40</f>
        <v>4.3249999999999997E-2</v>
      </c>
      <c r="D52" s="568" t="s">
        <v>254</v>
      </c>
      <c r="E52" s="567" t="s">
        <v>776</v>
      </c>
      <c r="F52" s="568"/>
      <c r="G52" s="568"/>
      <c r="H52" s="568"/>
      <c r="I52" s="574"/>
      <c r="J52" s="581"/>
      <c r="K52" s="581"/>
      <c r="L52" s="575"/>
      <c r="M52" s="379"/>
      <c r="N52" s="562"/>
      <c r="O52" s="379"/>
    </row>
    <row r="53" spans="1:15" ht="27" x14ac:dyDescent="0.3">
      <c r="A53" s="503"/>
      <c r="B53" s="579" t="s">
        <v>775</v>
      </c>
      <c r="C53" s="573">
        <f>C39-C52</f>
        <v>1.8950000000000002E-2</v>
      </c>
      <c r="D53" s="568" t="s">
        <v>254</v>
      </c>
      <c r="E53" s="567"/>
      <c r="F53" s="568"/>
      <c r="G53" s="568"/>
      <c r="H53" s="568"/>
      <c r="I53" s="574"/>
      <c r="J53" s="581"/>
      <c r="K53" s="581"/>
      <c r="L53" s="575"/>
      <c r="M53" s="379"/>
      <c r="N53" s="562"/>
      <c r="O53" s="379"/>
    </row>
    <row r="54" spans="1:15" ht="15.75" x14ac:dyDescent="0.3">
      <c r="A54" s="503"/>
      <c r="B54" s="577" t="str">
        <f>IF(C53&gt;0, "Electricity EU mix LV", "Electricity surplus from CHP")</f>
        <v>Electricity EU mix LV</v>
      </c>
      <c r="C54" s="573">
        <f>ABS(C39-C52)</f>
        <v>1.8950000000000002E-2</v>
      </c>
      <c r="D54" s="568" t="s">
        <v>254</v>
      </c>
      <c r="E54" s="567" t="str">
        <f>IF(C53&gt;0, "Electricity use in biogas plant larger than generation", "Surplus electricity.")</f>
        <v>Electricity use in biogas plant larger than generation</v>
      </c>
      <c r="F54" s="568"/>
      <c r="G54" s="568"/>
      <c r="H54" s="568"/>
      <c r="I54" s="574">
        <f>$C54*$C$31*$C$34*VLOOKUP($B54,'Standard values'!$C$9:$S$162,7, FALSE)/$E$123</f>
        <v>3.8397590199300078</v>
      </c>
      <c r="J54" s="574">
        <f>$C54*$C$31*$C$34*VLOOKUP($B54,'Standard values'!$C$9:$S$162,8, FALSE)/$E$123</f>
        <v>9.3640771002629648E-3</v>
      </c>
      <c r="K54" s="574">
        <f>$C54*$C$31*$C$34*VLOOKUP($B54,'Standard values'!$C$9:$S$162,9, FALSE)/$E$123</f>
        <v>1.7394843835471984E-4</v>
      </c>
      <c r="L54" s="575">
        <f>I54*'Standard values'!$D$10+J54*'Standard values'!$D$11+K54*'Standard values'!$D$12</f>
        <v>4.1256975820662891</v>
      </c>
      <c r="M54" s="379"/>
      <c r="N54" s="562">
        <f>+L54/$E$33</f>
        <v>4.0848490911547417</v>
      </c>
      <c r="O54" s="379"/>
    </row>
    <row r="55" spans="1:15" x14ac:dyDescent="0.2">
      <c r="A55" s="503"/>
      <c r="B55" s="582"/>
      <c r="C55" s="573"/>
      <c r="D55" s="568"/>
      <c r="E55" s="567" t="str">
        <f>IF(C53&gt;0, "   in NG CHP. Therefore calculated as EU Mix LV", " No credit for surplus electricity from CHP")</f>
        <v xml:space="preserve">   in NG CHP. Therefore calculated as EU Mix LV</v>
      </c>
      <c r="F55" s="568"/>
      <c r="G55" s="568"/>
      <c r="H55" s="568"/>
      <c r="I55" s="574"/>
      <c r="J55" s="574"/>
      <c r="K55" s="574"/>
      <c r="L55" s="575"/>
      <c r="M55" s="379"/>
      <c r="N55" s="562"/>
      <c r="O55" s="379"/>
    </row>
    <row r="56" spans="1:15" x14ac:dyDescent="0.2">
      <c r="A56" s="503"/>
      <c r="B56" s="511"/>
      <c r="C56" s="495"/>
      <c r="D56" s="495"/>
      <c r="E56" s="503"/>
      <c r="F56" s="495"/>
      <c r="G56" s="495"/>
      <c r="H56" s="514"/>
      <c r="I56" s="583"/>
      <c r="J56" s="583"/>
      <c r="K56" s="583"/>
      <c r="L56" s="516"/>
      <c r="M56" s="379"/>
      <c r="N56" s="584"/>
      <c r="O56" s="379"/>
    </row>
    <row r="57" spans="1:15" x14ac:dyDescent="0.2">
      <c r="A57" s="503"/>
      <c r="B57" s="511" t="s">
        <v>900</v>
      </c>
      <c r="C57" s="495"/>
      <c r="D57" s="495"/>
      <c r="E57" s="503"/>
      <c r="F57" s="495"/>
      <c r="G57" s="495"/>
      <c r="H57" s="514"/>
      <c r="I57" s="583"/>
      <c r="J57" s="583"/>
      <c r="K57" s="583"/>
      <c r="L57" s="516"/>
      <c r="M57" s="379"/>
      <c r="N57" s="584"/>
      <c r="O57" s="379"/>
    </row>
    <row r="58" spans="1:15" ht="15.75" x14ac:dyDescent="0.3">
      <c r="A58" s="503"/>
      <c r="B58" s="495" t="s">
        <v>901</v>
      </c>
      <c r="C58" s="555">
        <f>0.01</f>
        <v>0.01</v>
      </c>
      <c r="D58" s="495" t="s">
        <v>254</v>
      </c>
      <c r="E58" s="503"/>
      <c r="F58" s="495"/>
      <c r="G58" s="495"/>
      <c r="H58" s="514"/>
      <c r="I58" s="583"/>
      <c r="J58" s="544">
        <f>$C58*$C$31*$C$34*1000/VLOOKUP($B58,'Standard values'!$C$9:$S$162,14, FALSE)/$E$123</f>
        <v>0.33548846313541725</v>
      </c>
      <c r="K58" s="583"/>
      <c r="L58" s="561">
        <f>I58*'Standard values'!$D$10+J58*'Standard values'!$D$11+K58*'Standard values'!$D$12</f>
        <v>8.3872115783854309</v>
      </c>
      <c r="M58" s="379"/>
      <c r="N58" s="562">
        <f>+L58/$E$33</f>
        <v>8.3041698795895353</v>
      </c>
      <c r="O58" s="379"/>
    </row>
    <row r="59" spans="1:15" x14ac:dyDescent="0.2">
      <c r="A59" s="503"/>
      <c r="B59" s="511"/>
      <c r="C59" s="495"/>
      <c r="D59" s="495"/>
      <c r="E59" s="503"/>
      <c r="F59" s="495"/>
      <c r="G59" s="495"/>
      <c r="H59" s="514" t="s">
        <v>1047</v>
      </c>
      <c r="I59" s="583">
        <f>SUM(I36:I58)</f>
        <v>3.8397590199300078</v>
      </c>
      <c r="J59" s="583">
        <f>SUM(J36:J58)</f>
        <v>0.35259114078533715</v>
      </c>
      <c r="K59" s="583">
        <f>SUM(K36:K58)</f>
        <v>1.7394843835471984E-4</v>
      </c>
      <c r="L59" s="516">
        <f>I59*'Standard values'!$D$10+J59*'Standard values'!$D$11+K59*'Standard values'!$D$12</f>
        <v>12.706374174193142</v>
      </c>
      <c r="M59" s="379"/>
      <c r="N59" s="545">
        <f>+L59/$E$33</f>
        <v>12.580568489300141</v>
      </c>
      <c r="O59" s="379"/>
    </row>
    <row r="60" spans="1:15" x14ac:dyDescent="0.2">
      <c r="A60" s="503"/>
      <c r="B60" s="511"/>
      <c r="C60" s="495"/>
      <c r="D60" s="495"/>
      <c r="E60" s="503"/>
      <c r="F60" s="495"/>
      <c r="G60" s="495"/>
      <c r="H60" s="514"/>
      <c r="I60" s="583"/>
      <c r="J60" s="583"/>
      <c r="K60" s="583"/>
      <c r="L60" s="516"/>
      <c r="M60" s="379"/>
      <c r="N60" s="390"/>
      <c r="O60" s="379"/>
    </row>
    <row r="61" spans="1:15" ht="14.25" x14ac:dyDescent="0.25">
      <c r="A61" s="519"/>
      <c r="B61" s="520"/>
      <c r="C61" s="520"/>
      <c r="D61" s="520"/>
      <c r="E61" s="519"/>
      <c r="F61" s="521"/>
      <c r="G61" s="521"/>
      <c r="H61" s="521" t="s">
        <v>534</v>
      </c>
      <c r="I61" s="520"/>
      <c r="J61" s="523" t="s">
        <v>175</v>
      </c>
      <c r="K61" s="549"/>
      <c r="L61" s="525">
        <f>L59</f>
        <v>12.706374174193142</v>
      </c>
      <c r="M61" s="379"/>
      <c r="N61" s="390"/>
      <c r="O61" s="379"/>
    </row>
    <row r="62" spans="1:15" x14ac:dyDescent="0.2">
      <c r="A62" s="390"/>
      <c r="B62" s="390"/>
      <c r="C62" s="390"/>
      <c r="D62" s="390"/>
      <c r="E62" s="390"/>
      <c r="F62" s="376"/>
      <c r="G62" s="376"/>
      <c r="H62" s="376"/>
      <c r="I62" s="390"/>
      <c r="J62" s="550"/>
      <c r="K62" s="551"/>
      <c r="L62" s="585"/>
      <c r="M62" s="379"/>
      <c r="N62" s="390"/>
      <c r="O62" s="390"/>
    </row>
    <row r="63" spans="1:15" x14ac:dyDescent="0.2">
      <c r="A63" s="390"/>
      <c r="B63" s="390"/>
      <c r="C63" s="390"/>
      <c r="D63" s="379"/>
      <c r="E63" s="379"/>
      <c r="F63" s="551"/>
      <c r="G63" s="551"/>
      <c r="H63" s="437"/>
      <c r="I63" s="378"/>
      <c r="J63" s="379"/>
      <c r="K63" s="379"/>
      <c r="L63" s="586"/>
      <c r="M63" s="379"/>
      <c r="N63" s="379"/>
      <c r="O63" s="379"/>
    </row>
    <row r="64" spans="1:15" x14ac:dyDescent="0.2">
      <c r="A64" s="390"/>
      <c r="B64" s="390"/>
      <c r="C64" s="390"/>
      <c r="D64" s="379"/>
      <c r="E64" s="379"/>
      <c r="F64" s="551"/>
      <c r="G64" s="551"/>
      <c r="H64" s="437"/>
      <c r="I64" s="378"/>
      <c r="J64" s="379"/>
      <c r="K64" s="379"/>
      <c r="L64" s="586"/>
      <c r="M64" s="379"/>
      <c r="N64" s="379"/>
      <c r="O64" s="379"/>
    </row>
    <row r="65" spans="1:15" ht="18.75" x14ac:dyDescent="0.35">
      <c r="A65" s="530" t="s">
        <v>336</v>
      </c>
      <c r="B65" s="532" t="s">
        <v>758</v>
      </c>
      <c r="C65" s="531"/>
      <c r="D65" s="531"/>
      <c r="E65" s="530" t="s">
        <v>513</v>
      </c>
      <c r="F65" s="532"/>
      <c r="G65" s="532"/>
      <c r="H65" s="531"/>
      <c r="I65" s="532" t="s">
        <v>532</v>
      </c>
      <c r="J65" s="533"/>
      <c r="K65" s="533"/>
      <c r="L65" s="534"/>
      <c r="M65" s="379"/>
      <c r="N65" s="535" t="s">
        <v>162</v>
      </c>
      <c r="O65" s="390"/>
    </row>
    <row r="66" spans="1:15" ht="14.25" x14ac:dyDescent="0.25">
      <c r="A66" s="587"/>
      <c r="B66" s="511" t="s">
        <v>524</v>
      </c>
      <c r="C66" s="511"/>
      <c r="D66" s="495"/>
      <c r="E66" s="588"/>
      <c r="F66" s="495"/>
      <c r="G66" s="495"/>
      <c r="H66" s="495"/>
      <c r="I66" s="492" t="s">
        <v>899</v>
      </c>
      <c r="J66" s="514"/>
      <c r="K66" s="514"/>
      <c r="L66" s="537"/>
      <c r="M66" s="379"/>
      <c r="N66" s="554" t="s">
        <v>577</v>
      </c>
      <c r="O66" s="390"/>
    </row>
    <row r="67" spans="1:15" ht="15.75" x14ac:dyDescent="0.3">
      <c r="A67" s="587"/>
      <c r="B67" s="495" t="s">
        <v>256</v>
      </c>
      <c r="C67" s="536">
        <f>1/1.01</f>
        <v>0.99009900990099009</v>
      </c>
      <c r="D67" s="495" t="s">
        <v>257</v>
      </c>
      <c r="E67" s="589">
        <f>C67*E32</f>
        <v>0.58421108805546662</v>
      </c>
      <c r="F67" s="495" t="s">
        <v>1163</v>
      </c>
      <c r="G67" s="495"/>
      <c r="H67" s="495"/>
      <c r="I67" s="539" t="s">
        <v>1053</v>
      </c>
      <c r="J67" s="539" t="s">
        <v>1054</v>
      </c>
      <c r="K67" s="539" t="s">
        <v>1055</v>
      </c>
      <c r="L67" s="540" t="s">
        <v>1056</v>
      </c>
      <c r="M67" s="379"/>
      <c r="N67" s="540" t="s">
        <v>1056</v>
      </c>
      <c r="O67" s="390"/>
    </row>
    <row r="68" spans="1:15" ht="15.75" x14ac:dyDescent="0.3">
      <c r="A68" s="587"/>
      <c r="B68" s="495"/>
      <c r="C68" s="512"/>
      <c r="D68" s="495"/>
      <c r="E68" s="505">
        <f>E67/$E$123</f>
        <v>1</v>
      </c>
      <c r="F68" s="495" t="s">
        <v>578</v>
      </c>
      <c r="G68" s="495"/>
      <c r="H68" s="495"/>
      <c r="I68" s="495"/>
      <c r="J68" s="495"/>
      <c r="K68" s="495"/>
      <c r="L68" s="541"/>
      <c r="M68" s="379"/>
      <c r="N68" s="541"/>
      <c r="O68" s="390"/>
    </row>
    <row r="69" spans="1:15" x14ac:dyDescent="0.2">
      <c r="A69" s="503"/>
      <c r="B69" s="506" t="s">
        <v>579</v>
      </c>
      <c r="C69" s="556">
        <v>1.4</v>
      </c>
      <c r="D69" s="495"/>
      <c r="E69" s="505"/>
      <c r="F69" s="499"/>
      <c r="G69" s="499"/>
      <c r="H69" s="495"/>
      <c r="I69" s="539"/>
      <c r="J69" s="539"/>
      <c r="K69" s="539"/>
      <c r="L69" s="540"/>
      <c r="M69" s="379"/>
      <c r="N69" s="540"/>
      <c r="O69" s="390"/>
    </row>
    <row r="70" spans="1:15" x14ac:dyDescent="0.2">
      <c r="A70" s="587"/>
      <c r="B70" s="495"/>
      <c r="C70" s="512"/>
      <c r="D70" s="495"/>
      <c r="E70" s="505"/>
      <c r="F70" s="495"/>
      <c r="G70" s="495"/>
      <c r="H70" s="495"/>
      <c r="I70" s="495"/>
      <c r="J70" s="495"/>
      <c r="K70" s="495"/>
      <c r="L70" s="541"/>
      <c r="M70" s="379"/>
      <c r="N70" s="541"/>
      <c r="O70" s="390"/>
    </row>
    <row r="71" spans="1:15" x14ac:dyDescent="0.2">
      <c r="A71" s="503"/>
      <c r="B71" s="511" t="s">
        <v>525</v>
      </c>
      <c r="C71" s="512"/>
      <c r="D71" s="495"/>
      <c r="E71" s="503"/>
      <c r="F71" s="495"/>
      <c r="G71" s="495"/>
      <c r="H71" s="495"/>
      <c r="I71" s="495"/>
      <c r="J71" s="495"/>
      <c r="K71" s="495"/>
      <c r="L71" s="541"/>
      <c r="M71" s="379"/>
      <c r="N71" s="541"/>
      <c r="O71" s="390"/>
    </row>
    <row r="72" spans="1:15" ht="15.75" x14ac:dyDescent="0.3">
      <c r="A72" s="503"/>
      <c r="B72" s="1301" t="s">
        <v>49</v>
      </c>
      <c r="C72" s="536">
        <v>0.03</v>
      </c>
      <c r="D72" s="495" t="s">
        <v>258</v>
      </c>
      <c r="E72" s="503"/>
      <c r="F72" s="495"/>
      <c r="G72" s="495"/>
      <c r="H72" s="495"/>
      <c r="I72" s="544">
        <f>$C69*$C72*$E$67*VLOOKUP($B72,'Standard values'!$C$9:$S$162,7, FALSE)/$E$123</f>
        <v>5.0733689999999996</v>
      </c>
      <c r="J72" s="544">
        <f>$C69*$C72*$E$67*VLOOKUP($B72,'Standard values'!$C$9:$S$162,8, FALSE)/$E$123</f>
        <v>1.2372499999999998E-2</v>
      </c>
      <c r="K72" s="544">
        <f>$C69*$C72*$E$67*VLOOKUP($B72,'Standard values'!$C$9:$S$162,9, FALSE)/$E$123</f>
        <v>2.2983333333333333E-4</v>
      </c>
      <c r="L72" s="516">
        <f>I72*'Standard values'!$D$10+J72*'Standard values'!$D$11+K72*'Standard values'!$D$12</f>
        <v>5.4511718333333326</v>
      </c>
      <c r="M72" s="379"/>
      <c r="N72" s="562">
        <f>L72/$E$68</f>
        <v>5.4511718333333326</v>
      </c>
      <c r="O72" s="390"/>
    </row>
    <row r="73" spans="1:15" x14ac:dyDescent="0.2">
      <c r="A73" s="590"/>
      <c r="B73" s="495"/>
      <c r="C73" s="492"/>
      <c r="D73" s="495"/>
      <c r="E73" s="503"/>
      <c r="F73" s="495"/>
      <c r="G73" s="495"/>
      <c r="H73" s="495"/>
      <c r="I73" s="495"/>
      <c r="J73" s="495"/>
      <c r="K73" s="495"/>
      <c r="L73" s="516"/>
      <c r="M73" s="379"/>
      <c r="N73" s="541"/>
      <c r="O73" s="390"/>
    </row>
    <row r="74" spans="1:15" x14ac:dyDescent="0.2">
      <c r="A74" s="590"/>
      <c r="B74" s="511" t="s">
        <v>900</v>
      </c>
      <c r="C74" s="492"/>
      <c r="D74" s="495"/>
      <c r="E74" s="503"/>
      <c r="F74" s="495"/>
      <c r="G74" s="495"/>
      <c r="H74" s="495"/>
      <c r="I74" s="495"/>
      <c r="J74" s="495"/>
      <c r="K74" s="495"/>
      <c r="L74" s="516"/>
      <c r="M74" s="379"/>
      <c r="N74" s="541"/>
      <c r="O74" s="390"/>
    </row>
    <row r="75" spans="1:15" ht="15.75" x14ac:dyDescent="0.3">
      <c r="A75" s="590"/>
      <c r="B75" s="495" t="s">
        <v>901</v>
      </c>
      <c r="C75" s="555">
        <v>0.01</v>
      </c>
      <c r="D75" s="495" t="s">
        <v>258</v>
      </c>
      <c r="E75" s="503"/>
      <c r="F75" s="495"/>
      <c r="G75" s="495"/>
      <c r="H75" s="495"/>
      <c r="I75" s="495"/>
      <c r="J75" s="508">
        <f>$C69*$C75*E67*1000/VLOOKUP($B75,'Standard values'!$C$9:$S$162,14, FALSE)/$E$123</f>
        <v>0.28000000000000003</v>
      </c>
      <c r="K75" s="495"/>
      <c r="L75" s="516">
        <f>I75*'Standard values'!$D$10+J75*'Standard values'!$D$11+K75*'Standard values'!$D$12</f>
        <v>7.0000000000000009</v>
      </c>
      <c r="M75" s="379"/>
      <c r="N75" s="562">
        <f>L75/$E$68</f>
        <v>7.0000000000000009</v>
      </c>
      <c r="O75" s="390"/>
    </row>
    <row r="76" spans="1:15" x14ac:dyDescent="0.2">
      <c r="A76" s="590"/>
      <c r="B76" s="495"/>
      <c r="C76" s="492"/>
      <c r="D76" s="495"/>
      <c r="E76" s="503"/>
      <c r="F76" s="495"/>
      <c r="G76" s="495"/>
      <c r="H76" s="495"/>
      <c r="I76" s="495"/>
      <c r="J76" s="495"/>
      <c r="K76" s="495"/>
      <c r="L76" s="541"/>
      <c r="M76" s="379"/>
      <c r="N76" s="541"/>
      <c r="O76" s="390"/>
    </row>
    <row r="77" spans="1:15" ht="14.25" x14ac:dyDescent="0.25">
      <c r="A77" s="519"/>
      <c r="B77" s="520"/>
      <c r="C77" s="520"/>
      <c r="D77" s="520"/>
      <c r="E77" s="519"/>
      <c r="F77" s="521"/>
      <c r="G77" s="521"/>
      <c r="H77" s="521" t="s">
        <v>534</v>
      </c>
      <c r="I77" s="520"/>
      <c r="J77" s="523" t="s">
        <v>175</v>
      </c>
      <c r="K77" s="549"/>
      <c r="L77" s="525">
        <f>L72+L75</f>
        <v>12.451171833333333</v>
      </c>
      <c r="M77" s="379"/>
      <c r="N77" s="545">
        <f>+L77/$E$68</f>
        <v>12.451171833333333</v>
      </c>
      <c r="O77" s="390"/>
    </row>
    <row r="78" spans="1:15" x14ac:dyDescent="0.2">
      <c r="A78" s="390"/>
      <c r="B78" s="390"/>
      <c r="C78" s="390"/>
      <c r="D78" s="379"/>
      <c r="E78" s="379"/>
      <c r="F78" s="551"/>
      <c r="G78" s="551"/>
      <c r="H78" s="437"/>
      <c r="I78" s="378"/>
      <c r="J78" s="379"/>
      <c r="K78" s="379"/>
      <c r="L78" s="586"/>
      <c r="M78" s="379"/>
      <c r="N78" s="379"/>
      <c r="O78" s="379"/>
    </row>
    <row r="79" spans="1:15" x14ac:dyDescent="0.2">
      <c r="A79" s="375"/>
      <c r="B79" s="585"/>
      <c r="C79" s="386"/>
      <c r="D79" s="390"/>
      <c r="E79" s="379"/>
      <c r="F79" s="379"/>
      <c r="G79" s="379"/>
      <c r="H79" s="379"/>
      <c r="I79" s="379"/>
      <c r="J79" s="591"/>
      <c r="K79" s="379"/>
      <c r="L79" s="379"/>
      <c r="M79" s="379"/>
      <c r="N79" s="379"/>
      <c r="O79" s="379"/>
    </row>
    <row r="80" spans="1:15" ht="18.75" x14ac:dyDescent="0.35">
      <c r="A80" s="530" t="s">
        <v>337</v>
      </c>
      <c r="B80" s="532" t="s">
        <v>333</v>
      </c>
      <c r="C80" s="531"/>
      <c r="D80" s="531"/>
      <c r="E80" s="530" t="s">
        <v>513</v>
      </c>
      <c r="F80" s="532"/>
      <c r="G80" s="532"/>
      <c r="H80" s="531"/>
      <c r="I80" s="532" t="s">
        <v>532</v>
      </c>
      <c r="J80" s="533"/>
      <c r="K80" s="533"/>
      <c r="L80" s="534"/>
      <c r="M80" s="379"/>
      <c r="N80" s="535" t="s">
        <v>162</v>
      </c>
      <c r="O80" s="379"/>
    </row>
    <row r="81" spans="1:15" ht="15.75" x14ac:dyDescent="0.3">
      <c r="A81" s="503"/>
      <c r="B81" s="511" t="s">
        <v>901</v>
      </c>
      <c r="C81" s="593">
        <v>1</v>
      </c>
      <c r="D81" s="495" t="s">
        <v>332</v>
      </c>
      <c r="E81" s="505">
        <f>E67*C81</f>
        <v>0.58421108805546662</v>
      </c>
      <c r="F81" s="495" t="s">
        <v>1163</v>
      </c>
      <c r="G81" s="495"/>
      <c r="H81" s="594"/>
      <c r="I81" s="492" t="s">
        <v>899</v>
      </c>
      <c r="J81" s="514"/>
      <c r="K81" s="514"/>
      <c r="L81" s="537"/>
      <c r="M81" s="379"/>
      <c r="N81" s="554" t="s">
        <v>577</v>
      </c>
      <c r="O81" s="379"/>
    </row>
    <row r="82" spans="1:15" ht="15.75" x14ac:dyDescent="0.3">
      <c r="A82" s="503"/>
      <c r="B82" s="495"/>
      <c r="C82" s="495"/>
      <c r="D82" s="495"/>
      <c r="E82" s="513"/>
      <c r="F82" s="506"/>
      <c r="G82" s="506"/>
      <c r="H82" s="594"/>
      <c r="I82" s="539" t="s">
        <v>1053</v>
      </c>
      <c r="J82" s="539" t="s">
        <v>1054</v>
      </c>
      <c r="K82" s="539" t="s">
        <v>1055</v>
      </c>
      <c r="L82" s="540" t="s">
        <v>1056</v>
      </c>
      <c r="M82" s="379"/>
      <c r="N82" s="540" t="s">
        <v>1056</v>
      </c>
      <c r="O82" s="379"/>
    </row>
    <row r="83" spans="1:15" x14ac:dyDescent="0.2">
      <c r="A83" s="503"/>
      <c r="B83" s="511" t="s">
        <v>498</v>
      </c>
      <c r="C83" s="495"/>
      <c r="D83" s="495"/>
      <c r="E83" s="513"/>
      <c r="F83" s="495"/>
      <c r="G83" s="495"/>
      <c r="H83" s="495"/>
      <c r="I83" s="495"/>
      <c r="J83" s="495"/>
      <c r="K83" s="495"/>
      <c r="L83" s="541"/>
      <c r="M83" s="379"/>
      <c r="N83" s="541"/>
      <c r="O83" s="379"/>
    </row>
    <row r="84" spans="1:15" ht="15.75" x14ac:dyDescent="0.3">
      <c r="A84" s="503"/>
      <c r="B84" s="495" t="s">
        <v>42</v>
      </c>
      <c r="C84" s="595">
        <v>10</v>
      </c>
      <c r="D84" s="495" t="s">
        <v>510</v>
      </c>
      <c r="E84" s="543">
        <f>(C84*E81/VLOOKUP($B81,'Standard values'!$C$9:$S$162,14, FALSE))/1000</f>
        <v>1.1684221761109333E-4</v>
      </c>
      <c r="F84" s="495" t="s">
        <v>569</v>
      </c>
      <c r="G84" s="495"/>
      <c r="H84" s="495"/>
      <c r="I84" s="544">
        <f>$E84*VLOOKUP($B84,'Standard values'!$C$9:$S$162,15, FALSE)/$E$123</f>
        <v>0</v>
      </c>
      <c r="J84" s="544">
        <f>$E84*((VLOOKUP($B84,'Standard values'!$C$9:$S$162,15, FALSE))+VLOOKUP($B84,'Standard values'!$C$9:$S$162,16, FALSE))/$E$123</f>
        <v>0</v>
      </c>
      <c r="K84" s="544">
        <f>$E84*((VLOOKUP($B84,'Standard values'!$C$9:$S$162,15, FALSE))+VLOOKUP($B84,'Standard values'!$C$9:$S$162,17, FALSE))/$E$123</f>
        <v>0</v>
      </c>
      <c r="L84" s="516">
        <f>I84*'Standard values'!$D$10+J84*'Standard values'!$D$11+K84*'Standard values'!$D$12</f>
        <v>0</v>
      </c>
      <c r="M84" s="379"/>
      <c r="N84" s="562">
        <f>+L84/E$33</f>
        <v>0</v>
      </c>
      <c r="O84" s="379"/>
    </row>
    <row r="85" spans="1:15" x14ac:dyDescent="0.2">
      <c r="A85" s="503"/>
      <c r="B85" s="546"/>
      <c r="C85" s="546"/>
      <c r="D85" s="495"/>
      <c r="E85" s="503"/>
      <c r="F85" s="495"/>
      <c r="G85" s="495"/>
      <c r="H85" s="495"/>
      <c r="I85" s="544"/>
      <c r="J85" s="544"/>
      <c r="K85" s="544"/>
      <c r="L85" s="516"/>
      <c r="M85" s="379"/>
      <c r="N85" s="562"/>
      <c r="O85" s="379"/>
    </row>
    <row r="86" spans="1:15" ht="14.25" x14ac:dyDescent="0.25">
      <c r="A86" s="519"/>
      <c r="B86" s="520"/>
      <c r="C86" s="520"/>
      <c r="D86" s="520"/>
      <c r="E86" s="519"/>
      <c r="F86" s="521"/>
      <c r="G86" s="521"/>
      <c r="H86" s="521" t="s">
        <v>534</v>
      </c>
      <c r="I86" s="520"/>
      <c r="J86" s="523" t="s">
        <v>175</v>
      </c>
      <c r="K86" s="549"/>
      <c r="L86" s="525">
        <f>L84</f>
        <v>0</v>
      </c>
      <c r="M86" s="379"/>
      <c r="N86" s="545">
        <f>+L86/$E$68</f>
        <v>0</v>
      </c>
      <c r="O86" s="379"/>
    </row>
    <row r="87" spans="1:15" x14ac:dyDescent="0.2">
      <c r="A87" s="390"/>
      <c r="B87" s="390"/>
      <c r="C87" s="390"/>
      <c r="D87" s="390"/>
      <c r="E87" s="390"/>
      <c r="F87" s="376"/>
      <c r="G87" s="376"/>
      <c r="H87" s="376"/>
      <c r="I87" s="390"/>
      <c r="J87" s="550"/>
      <c r="K87" s="551"/>
      <c r="L87" s="552"/>
      <c r="M87" s="379"/>
      <c r="N87" s="390"/>
      <c r="O87" s="379"/>
    </row>
    <row r="88" spans="1:15" x14ac:dyDescent="0.2">
      <c r="A88" s="390"/>
      <c r="B88" s="390"/>
      <c r="C88" s="390"/>
      <c r="D88" s="390"/>
      <c r="E88" s="390"/>
      <c r="F88" s="376"/>
      <c r="G88" s="376"/>
      <c r="H88" s="376"/>
      <c r="I88" s="390"/>
      <c r="J88" s="550"/>
      <c r="K88" s="551"/>
      <c r="L88" s="552"/>
      <c r="M88" s="379"/>
      <c r="N88" s="379"/>
      <c r="O88" s="379"/>
    </row>
    <row r="89" spans="1:15" ht="15.75" x14ac:dyDescent="0.25">
      <c r="A89" s="530" t="s">
        <v>334</v>
      </c>
      <c r="B89" s="531"/>
      <c r="C89" s="531"/>
      <c r="D89" s="531"/>
      <c r="E89" s="530" t="s">
        <v>513</v>
      </c>
      <c r="F89" s="531"/>
      <c r="G89" s="531"/>
      <c r="H89" s="531"/>
      <c r="I89" s="531"/>
      <c r="J89" s="531"/>
      <c r="K89" s="531"/>
      <c r="L89" s="596"/>
      <c r="M89" s="379"/>
      <c r="N89" s="485"/>
      <c r="O89" s="379"/>
    </row>
    <row r="90" spans="1:15" ht="15.75" x14ac:dyDescent="0.3">
      <c r="A90" s="503"/>
      <c r="B90" s="511" t="s">
        <v>524</v>
      </c>
      <c r="C90" s="593">
        <v>1</v>
      </c>
      <c r="D90" s="495" t="s">
        <v>335</v>
      </c>
      <c r="E90" s="510">
        <f>E81*C90</f>
        <v>0.58421108805546662</v>
      </c>
      <c r="F90" s="495" t="s">
        <v>562</v>
      </c>
      <c r="G90" s="495"/>
      <c r="H90" s="495"/>
      <c r="I90" s="492" t="s">
        <v>899</v>
      </c>
      <c r="J90" s="514"/>
      <c r="K90" s="514"/>
      <c r="L90" s="537"/>
      <c r="M90" s="379"/>
      <c r="N90" s="378"/>
      <c r="O90" s="379"/>
    </row>
    <row r="91" spans="1:15" ht="15.75" x14ac:dyDescent="0.3">
      <c r="A91" s="503"/>
      <c r="B91" s="495"/>
      <c r="C91" s="495"/>
      <c r="D91" s="495"/>
      <c r="E91" s="505"/>
      <c r="F91" s="506"/>
      <c r="G91" s="506"/>
      <c r="H91" s="495"/>
      <c r="I91" s="539" t="s">
        <v>1053</v>
      </c>
      <c r="J91" s="539" t="s">
        <v>1054</v>
      </c>
      <c r="K91" s="539" t="s">
        <v>1055</v>
      </c>
      <c r="L91" s="540" t="s">
        <v>1056</v>
      </c>
      <c r="M91" s="379"/>
      <c r="N91" s="502"/>
      <c r="O91" s="379"/>
    </row>
    <row r="92" spans="1:15" x14ac:dyDescent="0.2">
      <c r="A92" s="503"/>
      <c r="B92" s="511" t="s">
        <v>441</v>
      </c>
      <c r="C92" s="495"/>
      <c r="D92" s="495"/>
      <c r="E92" s="503"/>
      <c r="F92" s="495"/>
      <c r="G92" s="495"/>
      <c r="H92" s="495"/>
      <c r="I92" s="544"/>
      <c r="J92" s="544"/>
      <c r="K92" s="544"/>
      <c r="L92" s="561"/>
      <c r="M92" s="379"/>
      <c r="N92" s="379"/>
      <c r="O92" s="379"/>
    </row>
    <row r="93" spans="1:15" ht="15.75" x14ac:dyDescent="0.3">
      <c r="A93" s="503"/>
      <c r="B93" s="1301" t="s">
        <v>49</v>
      </c>
      <c r="C93" s="542">
        <v>2.1999999999999999E-2</v>
      </c>
      <c r="D93" s="495" t="s">
        <v>401</v>
      </c>
      <c r="E93" s="503"/>
      <c r="F93" s="495"/>
      <c r="G93" s="495"/>
      <c r="H93" s="495"/>
      <c r="I93" s="544">
        <f>$C93*$E$90*VLOOKUP($B93,'Standard values'!$C$9:$S$162,7, FALSE)/$E$123</f>
        <v>2.6574789999999999</v>
      </c>
      <c r="J93" s="544">
        <f>$C93*$E$90*VLOOKUP($B93,'Standard values'!$C$9:$S$162,8, FALSE)/$E$123</f>
        <v>6.4808333333333324E-3</v>
      </c>
      <c r="K93" s="544">
        <f>$C93*$E$90*VLOOKUP($B93,'Standard values'!$C$9:$S$162,9, FALSE)/$E$123</f>
        <v>1.2038888888888887E-4</v>
      </c>
      <c r="L93" s="516">
        <f>I93*'Standard values'!$D$10+J93*'Standard values'!$D$11+K93*'Standard values'!$D$12</f>
        <v>2.8553757222222225</v>
      </c>
      <c r="M93" s="379"/>
      <c r="N93" s="517"/>
      <c r="O93" s="379"/>
    </row>
    <row r="94" spans="1:15" ht="14.25" x14ac:dyDescent="0.25">
      <c r="A94" s="519"/>
      <c r="B94" s="520"/>
      <c r="C94" s="520"/>
      <c r="D94" s="520"/>
      <c r="E94" s="519"/>
      <c r="F94" s="521"/>
      <c r="G94" s="521"/>
      <c r="H94" s="521" t="s">
        <v>534</v>
      </c>
      <c r="I94" s="520"/>
      <c r="J94" s="523" t="s">
        <v>175</v>
      </c>
      <c r="K94" s="549"/>
      <c r="L94" s="525">
        <f>L93</f>
        <v>2.8553757222222225</v>
      </c>
      <c r="M94" s="379"/>
      <c r="N94" s="390"/>
      <c r="O94" s="379"/>
    </row>
    <row r="95" spans="1:15" x14ac:dyDescent="0.2">
      <c r="A95" s="390"/>
      <c r="B95" s="390"/>
      <c r="C95" s="390"/>
      <c r="D95" s="390"/>
      <c r="E95" s="390"/>
      <c r="F95" s="376"/>
      <c r="G95" s="376"/>
      <c r="H95" s="376"/>
      <c r="I95" s="390"/>
      <c r="J95" s="550"/>
      <c r="K95" s="551"/>
      <c r="L95" s="597"/>
      <c r="M95" s="379"/>
      <c r="N95" s="390"/>
      <c r="O95" s="379"/>
    </row>
    <row r="96" spans="1:15" x14ac:dyDescent="0.2">
      <c r="A96" s="390"/>
      <c r="B96" s="390"/>
      <c r="C96" s="390"/>
      <c r="D96" s="390"/>
      <c r="E96" s="390"/>
      <c r="F96" s="376"/>
      <c r="G96" s="376"/>
      <c r="H96" s="376"/>
      <c r="I96" s="390"/>
      <c r="J96" s="550"/>
      <c r="K96" s="551"/>
      <c r="L96" s="597"/>
      <c r="M96" s="379"/>
      <c r="N96" s="379"/>
      <c r="O96" s="379"/>
    </row>
    <row r="97" spans="1:15" ht="15.75" x14ac:dyDescent="0.25">
      <c r="A97" s="530" t="s">
        <v>546</v>
      </c>
      <c r="B97" s="598"/>
      <c r="C97" s="599"/>
      <c r="D97" s="531"/>
      <c r="E97" s="600"/>
      <c r="F97" s="531"/>
      <c r="G97" s="531"/>
      <c r="H97" s="531"/>
      <c r="I97" s="531"/>
      <c r="J97" s="531"/>
      <c r="K97" s="531"/>
      <c r="L97" s="601"/>
      <c r="M97" s="379"/>
      <c r="N97" s="379"/>
      <c r="O97" s="379"/>
    </row>
    <row r="98" spans="1:15" ht="15.75" x14ac:dyDescent="0.25">
      <c r="A98" s="602"/>
      <c r="B98" s="603" t="s">
        <v>549</v>
      </c>
      <c r="C98" s="511"/>
      <c r="D98" s="495"/>
      <c r="E98" s="503"/>
      <c r="F98" s="495"/>
      <c r="G98" s="495"/>
      <c r="H98" s="495"/>
      <c r="I98" s="492" t="s">
        <v>899</v>
      </c>
      <c r="J98" s="514"/>
      <c r="K98" s="514"/>
      <c r="L98" s="537"/>
      <c r="M98" s="379"/>
      <c r="N98" s="390"/>
      <c r="O98" s="390"/>
    </row>
    <row r="99" spans="1:15" ht="15.75" x14ac:dyDescent="0.25">
      <c r="A99" s="602"/>
      <c r="B99" s="416"/>
      <c r="C99" s="511" t="s">
        <v>352</v>
      </c>
      <c r="D99" s="495"/>
      <c r="E99" s="503"/>
      <c r="F99" s="495"/>
      <c r="G99" s="495"/>
      <c r="H99" s="495"/>
      <c r="I99" s="495"/>
      <c r="J99" s="495"/>
      <c r="K99" s="544"/>
      <c r="L99" s="516">
        <v>0</v>
      </c>
      <c r="M99" s="379"/>
      <c r="N99" s="390"/>
      <c r="O99" s="390"/>
    </row>
    <row r="100" spans="1:15" ht="14.25" x14ac:dyDescent="0.25">
      <c r="A100" s="519"/>
      <c r="B100" s="520"/>
      <c r="C100" s="520"/>
      <c r="D100" s="520"/>
      <c r="E100" s="519"/>
      <c r="F100" s="521"/>
      <c r="G100" s="521"/>
      <c r="H100" s="521" t="s">
        <v>534</v>
      </c>
      <c r="I100" s="520"/>
      <c r="J100" s="523" t="s">
        <v>175</v>
      </c>
      <c r="K100" s="549"/>
      <c r="L100" s="525">
        <f>L99</f>
        <v>0</v>
      </c>
      <c r="M100" s="379"/>
      <c r="N100" s="390"/>
      <c r="O100" s="390"/>
    </row>
    <row r="101" spans="1:15" x14ac:dyDescent="0.2">
      <c r="A101" s="390"/>
      <c r="B101" s="390"/>
      <c r="C101" s="390"/>
      <c r="D101" s="390"/>
      <c r="E101" s="390"/>
      <c r="F101" s="376"/>
      <c r="G101" s="376"/>
      <c r="H101" s="376"/>
      <c r="I101" s="390"/>
      <c r="J101" s="550"/>
      <c r="K101" s="551"/>
      <c r="L101" s="604"/>
      <c r="M101" s="379"/>
      <c r="N101" s="390"/>
      <c r="O101" s="390"/>
    </row>
    <row r="102" spans="1:15" x14ac:dyDescent="0.2">
      <c r="A102" s="390"/>
      <c r="B102" s="390"/>
      <c r="C102" s="390"/>
      <c r="D102" s="390"/>
      <c r="E102" s="390"/>
      <c r="F102" s="376"/>
      <c r="G102" s="376"/>
      <c r="H102" s="376"/>
      <c r="I102" s="390"/>
      <c r="J102" s="550"/>
      <c r="K102" s="551"/>
      <c r="L102" s="604"/>
      <c r="M102" s="379"/>
      <c r="N102" s="390"/>
      <c r="O102" s="390"/>
    </row>
    <row r="103" spans="1:15" ht="15.75" x14ac:dyDescent="0.25">
      <c r="A103" s="530" t="s">
        <v>547</v>
      </c>
      <c r="B103" s="598"/>
      <c r="C103" s="599"/>
      <c r="D103" s="531"/>
      <c r="E103" s="600"/>
      <c r="F103" s="531"/>
      <c r="G103" s="531"/>
      <c r="H103" s="531"/>
      <c r="I103" s="531"/>
      <c r="J103" s="531"/>
      <c r="K103" s="531"/>
      <c r="L103" s="601"/>
      <c r="M103" s="379"/>
      <c r="N103" s="390"/>
      <c r="O103" s="390"/>
    </row>
    <row r="104" spans="1:15" ht="15.75" x14ac:dyDescent="0.25">
      <c r="A104" s="602"/>
      <c r="B104" s="603" t="s">
        <v>549</v>
      </c>
      <c r="C104" s="511"/>
      <c r="D104" s="495"/>
      <c r="E104" s="503"/>
      <c r="F104" s="495"/>
      <c r="G104" s="495"/>
      <c r="H104" s="495"/>
      <c r="I104" s="492" t="s">
        <v>899</v>
      </c>
      <c r="J104" s="514"/>
      <c r="K104" s="514"/>
      <c r="L104" s="537"/>
      <c r="M104" s="379"/>
      <c r="N104" s="390"/>
      <c r="O104" s="390"/>
    </row>
    <row r="105" spans="1:15" ht="15.75" x14ac:dyDescent="0.25">
      <c r="A105" s="602"/>
      <c r="B105" s="416"/>
      <c r="C105" s="511" t="s">
        <v>352</v>
      </c>
      <c r="D105" s="495"/>
      <c r="E105" s="503"/>
      <c r="F105" s="495"/>
      <c r="G105" s="495"/>
      <c r="H105" s="495"/>
      <c r="I105" s="495"/>
      <c r="J105" s="495"/>
      <c r="K105" s="544"/>
      <c r="L105" s="516">
        <v>0</v>
      </c>
      <c r="M105" s="379"/>
      <c r="N105" s="390"/>
      <c r="O105" s="390"/>
    </row>
    <row r="106" spans="1:15" ht="14.25" x14ac:dyDescent="0.25">
      <c r="A106" s="519"/>
      <c r="B106" s="520"/>
      <c r="C106" s="520"/>
      <c r="D106" s="520"/>
      <c r="E106" s="519"/>
      <c r="F106" s="521"/>
      <c r="G106" s="521"/>
      <c r="H106" s="521" t="s">
        <v>534</v>
      </c>
      <c r="I106" s="520"/>
      <c r="J106" s="523" t="s">
        <v>175</v>
      </c>
      <c r="K106" s="549"/>
      <c r="L106" s="525">
        <f>L105</f>
        <v>0</v>
      </c>
      <c r="M106" s="379"/>
      <c r="N106" s="390"/>
      <c r="O106" s="390"/>
    </row>
    <row r="107" spans="1:15" x14ac:dyDescent="0.2">
      <c r="A107" s="390"/>
      <c r="B107" s="390"/>
      <c r="C107" s="390"/>
      <c r="D107" s="390"/>
      <c r="E107" s="390"/>
      <c r="F107" s="376"/>
      <c r="G107" s="376"/>
      <c r="H107" s="376"/>
      <c r="I107" s="390"/>
      <c r="J107" s="550"/>
      <c r="K107" s="551"/>
      <c r="L107" s="604"/>
      <c r="M107" s="379"/>
      <c r="N107" s="390"/>
      <c r="O107" s="390"/>
    </row>
    <row r="108" spans="1:15" x14ac:dyDescent="0.2">
      <c r="A108" s="390"/>
      <c r="B108" s="390"/>
      <c r="C108" s="390"/>
      <c r="D108" s="390"/>
      <c r="E108" s="390"/>
      <c r="F108" s="376"/>
      <c r="G108" s="376"/>
      <c r="H108" s="376"/>
      <c r="I108" s="390"/>
      <c r="J108" s="550"/>
      <c r="K108" s="551"/>
      <c r="L108" s="604"/>
      <c r="M108" s="379"/>
      <c r="N108" s="390"/>
      <c r="O108" s="390"/>
    </row>
    <row r="109" spans="1:15" ht="18.75" x14ac:dyDescent="0.35">
      <c r="A109" s="530" t="s">
        <v>168</v>
      </c>
      <c r="B109" s="598"/>
      <c r="C109" s="599"/>
      <c r="D109" s="531"/>
      <c r="E109" s="600"/>
      <c r="F109" s="531"/>
      <c r="G109" s="531"/>
      <c r="H109" s="531"/>
      <c r="I109" s="531"/>
      <c r="J109" s="531"/>
      <c r="K109" s="531"/>
      <c r="L109" s="601"/>
      <c r="M109" s="379"/>
      <c r="N109" s="390"/>
      <c r="O109" s="390"/>
    </row>
    <row r="110" spans="1:15" ht="15.75" x14ac:dyDescent="0.25">
      <c r="A110" s="602"/>
      <c r="B110" s="416" t="s">
        <v>166</v>
      </c>
      <c r="C110" s="492"/>
      <c r="D110" s="495"/>
      <c r="E110" s="503"/>
      <c r="F110" s="495"/>
      <c r="G110" s="495"/>
      <c r="H110" s="495"/>
      <c r="I110" s="492" t="s">
        <v>899</v>
      </c>
      <c r="J110" s="514"/>
      <c r="K110" s="514"/>
      <c r="L110" s="537"/>
      <c r="M110" s="379"/>
      <c r="N110" s="390"/>
      <c r="O110" s="390"/>
    </row>
    <row r="111" spans="1:15" ht="15.75" x14ac:dyDescent="0.3">
      <c r="A111" s="503"/>
      <c r="B111" s="539"/>
      <c r="C111" s="595">
        <v>0</v>
      </c>
      <c r="D111" s="605" t="s">
        <v>176</v>
      </c>
      <c r="E111" s="503"/>
      <c r="F111" s="495"/>
      <c r="G111" s="495"/>
      <c r="H111" s="495"/>
      <c r="I111" s="495"/>
      <c r="J111" s="495"/>
      <c r="K111" s="544"/>
      <c r="L111" s="516">
        <f>C111</f>
        <v>0</v>
      </c>
      <c r="M111" s="379"/>
      <c r="N111" s="390"/>
      <c r="O111" s="390"/>
    </row>
    <row r="112" spans="1:15" ht="14.25" x14ac:dyDescent="0.25">
      <c r="A112" s="519"/>
      <c r="B112" s="520"/>
      <c r="C112" s="520"/>
      <c r="D112" s="520"/>
      <c r="E112" s="519"/>
      <c r="F112" s="521"/>
      <c r="G112" s="521"/>
      <c r="H112" s="521" t="s">
        <v>534</v>
      </c>
      <c r="I112" s="520"/>
      <c r="J112" s="523" t="s">
        <v>175</v>
      </c>
      <c r="K112" s="549"/>
      <c r="L112" s="525">
        <f>C111</f>
        <v>0</v>
      </c>
      <c r="M112" s="379"/>
      <c r="N112" s="390"/>
      <c r="O112" s="390"/>
    </row>
    <row r="113" spans="1:15" x14ac:dyDescent="0.2">
      <c r="A113" s="390"/>
      <c r="B113" s="390"/>
      <c r="C113" s="390"/>
      <c r="D113" s="390"/>
      <c r="E113" s="390"/>
      <c r="F113" s="376"/>
      <c r="G113" s="376"/>
      <c r="H113" s="376"/>
      <c r="I113" s="390"/>
      <c r="J113" s="550"/>
      <c r="K113" s="551"/>
      <c r="L113" s="604"/>
      <c r="M113" s="379"/>
      <c r="N113" s="390"/>
      <c r="O113" s="390"/>
    </row>
    <row r="114" spans="1:15" x14ac:dyDescent="0.2">
      <c r="A114" s="390"/>
      <c r="B114" s="390"/>
      <c r="C114" s="390"/>
      <c r="D114" s="390"/>
      <c r="E114" s="390"/>
      <c r="F114" s="376"/>
      <c r="G114" s="376"/>
      <c r="H114" s="376"/>
      <c r="I114" s="390"/>
      <c r="J114" s="550"/>
      <c r="K114" s="551"/>
      <c r="L114" s="604"/>
      <c r="M114" s="379"/>
      <c r="N114" s="390"/>
      <c r="O114" s="390"/>
    </row>
    <row r="115" spans="1:15" ht="18.75" x14ac:dyDescent="0.35">
      <c r="A115" s="530" t="s">
        <v>169</v>
      </c>
      <c r="B115" s="598"/>
      <c r="C115" s="599"/>
      <c r="D115" s="531"/>
      <c r="E115" s="600"/>
      <c r="F115" s="531"/>
      <c r="G115" s="531"/>
      <c r="H115" s="531"/>
      <c r="I115" s="531"/>
      <c r="J115" s="531"/>
      <c r="K115" s="531"/>
      <c r="L115" s="601"/>
      <c r="M115" s="379"/>
      <c r="N115" s="390"/>
      <c r="O115" s="390"/>
    </row>
    <row r="116" spans="1:15" ht="15.75" x14ac:dyDescent="0.25">
      <c r="A116" s="602"/>
      <c r="B116" s="416" t="s">
        <v>167</v>
      </c>
      <c r="C116" s="492"/>
      <c r="D116" s="495"/>
      <c r="E116" s="503"/>
      <c r="F116" s="495"/>
      <c r="G116" s="495"/>
      <c r="H116" s="495"/>
      <c r="I116" s="492" t="s">
        <v>899</v>
      </c>
      <c r="J116" s="514"/>
      <c r="K116" s="514"/>
      <c r="L116" s="537"/>
      <c r="M116" s="379"/>
      <c r="N116" s="390"/>
      <c r="O116" s="390"/>
    </row>
    <row r="117" spans="1:15" ht="15.75" x14ac:dyDescent="0.3">
      <c r="A117" s="503"/>
      <c r="B117" s="539"/>
      <c r="C117" s="595">
        <v>0</v>
      </c>
      <c r="D117" s="605" t="s">
        <v>176</v>
      </c>
      <c r="E117" s="503"/>
      <c r="F117" s="495"/>
      <c r="G117" s="495"/>
      <c r="H117" s="495"/>
      <c r="I117" s="495"/>
      <c r="J117" s="495"/>
      <c r="K117" s="544"/>
      <c r="L117" s="516">
        <f>C117</f>
        <v>0</v>
      </c>
      <c r="M117" s="379"/>
      <c r="N117" s="390"/>
      <c r="O117" s="390"/>
    </row>
    <row r="118" spans="1:15" ht="14.25" x14ac:dyDescent="0.25">
      <c r="A118" s="519"/>
      <c r="B118" s="520"/>
      <c r="C118" s="520"/>
      <c r="D118" s="520"/>
      <c r="E118" s="519"/>
      <c r="F118" s="521"/>
      <c r="G118" s="521"/>
      <c r="H118" s="521" t="s">
        <v>534</v>
      </c>
      <c r="I118" s="520"/>
      <c r="J118" s="523" t="s">
        <v>175</v>
      </c>
      <c r="K118" s="549"/>
      <c r="L118" s="525">
        <f>C117</f>
        <v>0</v>
      </c>
      <c r="M118" s="379"/>
      <c r="N118" s="390"/>
      <c r="O118" s="390"/>
    </row>
    <row r="119" spans="1:15" x14ac:dyDescent="0.2">
      <c r="A119" s="390"/>
      <c r="B119" s="390"/>
      <c r="C119" s="390"/>
      <c r="D119" s="390"/>
      <c r="E119" s="390"/>
      <c r="F119" s="376"/>
      <c r="G119" s="376"/>
      <c r="H119" s="376"/>
      <c r="I119" s="390"/>
      <c r="J119" s="550"/>
      <c r="K119" s="551"/>
      <c r="L119" s="604"/>
      <c r="M119" s="379"/>
      <c r="N119" s="390"/>
      <c r="O119" s="390"/>
    </row>
    <row r="120" spans="1:15" x14ac:dyDescent="0.2">
      <c r="A120" s="390"/>
      <c r="B120" s="390"/>
      <c r="C120" s="390"/>
      <c r="D120" s="390"/>
      <c r="E120" s="390"/>
      <c r="F120" s="376"/>
      <c r="G120" s="376"/>
      <c r="H120" s="376"/>
      <c r="I120" s="390"/>
      <c r="J120" s="550"/>
      <c r="K120" s="551"/>
      <c r="L120" s="604"/>
      <c r="M120" s="379"/>
      <c r="N120" s="390"/>
      <c r="O120" s="390"/>
    </row>
    <row r="121" spans="1:15" ht="15.75" x14ac:dyDescent="0.25">
      <c r="A121" s="530" t="s">
        <v>457</v>
      </c>
      <c r="B121" s="531"/>
      <c r="C121" s="531"/>
      <c r="D121" s="531"/>
      <c r="E121" s="532"/>
      <c r="F121" s="606"/>
      <c r="G121" s="606"/>
      <c r="H121" s="606"/>
      <c r="I121" s="607"/>
      <c r="J121" s="608"/>
      <c r="K121" s="607"/>
      <c r="L121" s="609"/>
      <c r="M121" s="379"/>
      <c r="N121" s="390"/>
      <c r="O121" s="390"/>
    </row>
    <row r="122" spans="1:15" ht="15.75" x14ac:dyDescent="0.25">
      <c r="A122" s="610"/>
      <c r="B122" s="611"/>
      <c r="C122" s="611"/>
      <c r="D122" s="611"/>
      <c r="E122" s="612"/>
      <c r="F122" s="613"/>
      <c r="G122" s="613"/>
      <c r="H122" s="613"/>
      <c r="I122" s="613"/>
      <c r="J122" s="613"/>
      <c r="K122" s="613"/>
      <c r="L122" s="614"/>
      <c r="M122" s="379"/>
      <c r="N122" s="390"/>
      <c r="O122" s="390"/>
    </row>
    <row r="123" spans="1:15" ht="15.75" x14ac:dyDescent="0.3">
      <c r="A123" s="503"/>
      <c r="B123" s="495"/>
      <c r="C123" s="495"/>
      <c r="D123" s="546" t="s">
        <v>299</v>
      </c>
      <c r="E123" s="615">
        <f>E21*C67*C32*C81*C90</f>
        <v>0.58421108805546662</v>
      </c>
      <c r="F123" s="495" t="s">
        <v>570</v>
      </c>
      <c r="G123" s="495"/>
      <c r="H123" s="495"/>
      <c r="I123" s="544"/>
      <c r="J123" s="495"/>
      <c r="K123" s="495"/>
      <c r="L123" s="616"/>
      <c r="M123" s="379"/>
      <c r="N123" s="390"/>
      <c r="O123" s="390"/>
    </row>
    <row r="124" spans="1:15" x14ac:dyDescent="0.2">
      <c r="A124" s="503"/>
      <c r="B124" s="495"/>
      <c r="C124" s="495"/>
      <c r="D124" s="495"/>
      <c r="E124" s="495"/>
      <c r="F124" s="617"/>
      <c r="G124" s="617"/>
      <c r="H124" s="495"/>
      <c r="I124" s="544"/>
      <c r="J124" s="495"/>
      <c r="K124" s="495"/>
      <c r="L124" s="616"/>
      <c r="M124" s="379"/>
      <c r="N124" s="390"/>
      <c r="O124" s="390"/>
    </row>
    <row r="125" spans="1:15" x14ac:dyDescent="0.2">
      <c r="A125" s="503"/>
      <c r="B125" s="495"/>
      <c r="C125" s="495"/>
      <c r="D125" s="495"/>
      <c r="E125" s="495"/>
      <c r="F125" s="617"/>
      <c r="G125" s="617"/>
      <c r="H125" s="495"/>
      <c r="I125" s="495"/>
      <c r="J125" s="495"/>
      <c r="K125" s="495"/>
      <c r="L125" s="616"/>
      <c r="M125" s="379"/>
      <c r="N125" s="390"/>
      <c r="O125" s="390"/>
    </row>
    <row r="126" spans="1:15" ht="14.25" x14ac:dyDescent="0.25">
      <c r="A126" s="618"/>
      <c r="B126" s="619"/>
      <c r="C126" s="619"/>
      <c r="D126" s="619"/>
      <c r="E126" s="620" t="s">
        <v>1059</v>
      </c>
      <c r="F126" s="621"/>
      <c r="G126" s="621"/>
      <c r="H126" s="622"/>
      <c r="I126" s="622"/>
      <c r="J126" s="620" t="s">
        <v>182</v>
      </c>
      <c r="K126" s="622"/>
      <c r="L126" s="623">
        <f>L26+L61+L77+L86+L94+L100-L106-L112-L118</f>
        <v>28.012921729748701</v>
      </c>
      <c r="M126" s="379"/>
      <c r="N126" s="390"/>
      <c r="O126" s="390"/>
    </row>
    <row r="127" spans="1:15" ht="14.25" x14ac:dyDescent="0.25">
      <c r="A127" s="624"/>
      <c r="B127" s="625"/>
      <c r="C127" s="626"/>
      <c r="D127" s="619"/>
      <c r="E127" s="620" t="s">
        <v>1060</v>
      </c>
      <c r="F127" s="622"/>
      <c r="G127" s="622"/>
      <c r="H127" s="622"/>
      <c r="I127" s="622"/>
      <c r="J127" s="620" t="s">
        <v>182</v>
      </c>
      <c r="K127" s="622"/>
      <c r="L127" s="627">
        <f>L26+L61+L77+L86+L94+L100-L106-L112-L118</f>
        <v>28.012921729748701</v>
      </c>
      <c r="M127" s="379"/>
      <c r="N127" s="390"/>
      <c r="O127" s="390"/>
    </row>
    <row r="128" spans="1:15" x14ac:dyDescent="0.2">
      <c r="A128" s="618"/>
      <c r="B128" s="619"/>
      <c r="C128" s="619"/>
      <c r="D128" s="619"/>
      <c r="E128" s="622"/>
      <c r="F128" s="622"/>
      <c r="G128" s="622"/>
      <c r="H128" s="622"/>
      <c r="I128" s="622"/>
      <c r="J128" s="622"/>
      <c r="K128" s="622"/>
      <c r="L128" s="628"/>
      <c r="M128" s="379"/>
      <c r="N128" s="390"/>
      <c r="O128" s="390"/>
    </row>
    <row r="129" spans="1:15" x14ac:dyDescent="0.2">
      <c r="A129" s="629"/>
      <c r="B129" s="630"/>
      <c r="C129" s="630"/>
      <c r="D129" s="630"/>
      <c r="E129" s="631" t="s">
        <v>1061</v>
      </c>
      <c r="F129" s="632"/>
      <c r="G129" s="632"/>
      <c r="H129" s="632"/>
      <c r="I129" s="632"/>
      <c r="J129" s="632"/>
      <c r="K129" s="632"/>
      <c r="L129" s="633">
        <f>(83.8-L127)/83.8</f>
        <v>0.66571692446600594</v>
      </c>
      <c r="M129" s="379"/>
      <c r="N129" s="390"/>
      <c r="O129" s="390"/>
    </row>
    <row r="130" spans="1:15" x14ac:dyDescent="0.2">
      <c r="M130" s="361"/>
    </row>
    <row r="131" spans="1:15" x14ac:dyDescent="0.2">
      <c r="E131" s="634"/>
      <c r="F131" s="634"/>
      <c r="G131" s="634"/>
      <c r="H131" s="635"/>
      <c r="I131" s="634"/>
      <c r="J131" s="634"/>
      <c r="K131" s="634"/>
      <c r="L131" s="636"/>
      <c r="M131" s="361"/>
    </row>
    <row r="132" spans="1:15" x14ac:dyDescent="0.2">
      <c r="F132" s="634"/>
      <c r="G132" s="634"/>
      <c r="H132" s="634"/>
      <c r="I132" s="637"/>
      <c r="J132" s="634"/>
      <c r="K132" s="634"/>
      <c r="L132" s="638"/>
      <c r="M132" s="639"/>
      <c r="N132" s="361"/>
    </row>
    <row r="133" spans="1:15" x14ac:dyDescent="0.2">
      <c r="F133" s="634"/>
      <c r="G133" s="634"/>
      <c r="H133" s="634"/>
      <c r="I133" s="637"/>
      <c r="J133" s="634"/>
      <c r="K133" s="634"/>
      <c r="L133" s="638"/>
      <c r="M133" s="639"/>
      <c r="N133" s="361"/>
    </row>
    <row r="134" spans="1:15" ht="15.75" x14ac:dyDescent="0.25">
      <c r="F134" s="640"/>
      <c r="G134" s="640"/>
      <c r="H134" s="634"/>
      <c r="I134" s="634"/>
      <c r="J134" s="634"/>
      <c r="K134" s="634"/>
      <c r="L134" s="634"/>
      <c r="M134" s="634"/>
      <c r="N134" s="361"/>
    </row>
    <row r="135" spans="1:15" x14ac:dyDescent="0.2">
      <c r="F135" s="634"/>
      <c r="G135" s="634"/>
      <c r="H135" s="637"/>
      <c r="I135" s="634"/>
      <c r="J135" s="634"/>
      <c r="K135" s="634"/>
      <c r="L135" s="634"/>
      <c r="M135" s="634"/>
      <c r="N135" s="634"/>
    </row>
    <row r="136" spans="1:15" x14ac:dyDescent="0.2">
      <c r="F136" s="637"/>
      <c r="G136" s="637"/>
      <c r="H136" s="634"/>
      <c r="I136" s="641"/>
      <c r="J136" s="634"/>
      <c r="K136" s="634"/>
      <c r="L136" s="634"/>
      <c r="M136" s="634"/>
      <c r="N136" s="634"/>
    </row>
    <row r="137" spans="1:15" x14ac:dyDescent="0.2">
      <c r="F137" s="637"/>
      <c r="G137" s="637"/>
      <c r="H137" s="634"/>
      <c r="I137" s="641"/>
      <c r="J137" s="634"/>
      <c r="K137" s="634"/>
      <c r="L137" s="634"/>
      <c r="M137" s="634"/>
      <c r="N137" s="634"/>
    </row>
    <row r="138" spans="1:15" x14ac:dyDescent="0.2">
      <c r="F138" s="634"/>
      <c r="G138" s="634"/>
      <c r="H138" s="639"/>
      <c r="I138" s="634"/>
      <c r="J138" s="634"/>
      <c r="K138" s="634"/>
      <c r="L138" s="634"/>
      <c r="M138" s="634"/>
      <c r="N138" s="634"/>
    </row>
    <row r="139" spans="1:15" x14ac:dyDescent="0.2">
      <c r="F139" s="634"/>
      <c r="G139" s="634"/>
      <c r="H139" s="634"/>
      <c r="I139" s="634"/>
      <c r="J139" s="634"/>
      <c r="K139" s="634"/>
      <c r="L139" s="634"/>
      <c r="M139" s="634"/>
      <c r="N139" s="634"/>
    </row>
    <row r="140" spans="1:15" x14ac:dyDescent="0.2">
      <c r="F140" s="634"/>
      <c r="G140" s="634"/>
      <c r="H140" s="634"/>
      <c r="I140" s="634"/>
      <c r="J140" s="634"/>
      <c r="K140" s="634"/>
      <c r="L140" s="634"/>
      <c r="M140" s="634"/>
      <c r="N140" s="634"/>
    </row>
    <row r="141" spans="1:15" x14ac:dyDescent="0.2">
      <c r="F141" s="634"/>
      <c r="G141" s="634"/>
      <c r="H141" s="634"/>
      <c r="I141" s="634"/>
      <c r="J141" s="634"/>
      <c r="K141" s="634"/>
      <c r="L141" s="634"/>
      <c r="M141" s="634"/>
      <c r="N141" s="634"/>
    </row>
    <row r="142" spans="1:15" x14ac:dyDescent="0.2">
      <c r="F142" s="634"/>
      <c r="G142" s="634"/>
      <c r="H142" s="634"/>
      <c r="I142" s="634"/>
      <c r="J142" s="634"/>
      <c r="K142" s="634"/>
      <c r="L142" s="634"/>
      <c r="M142" s="634"/>
      <c r="N142" s="634"/>
    </row>
    <row r="143" spans="1:15" x14ac:dyDescent="0.2">
      <c r="F143" s="634"/>
      <c r="G143" s="634"/>
      <c r="H143" s="634"/>
      <c r="I143" s="634"/>
      <c r="J143" s="634"/>
      <c r="K143" s="634"/>
      <c r="L143" s="634"/>
      <c r="M143" s="634"/>
      <c r="N143" s="634"/>
    </row>
    <row r="144" spans="1:15" x14ac:dyDescent="0.2">
      <c r="F144" s="634"/>
      <c r="G144" s="634"/>
      <c r="H144" s="634"/>
      <c r="I144" s="634"/>
      <c r="J144" s="634"/>
      <c r="K144" s="634"/>
      <c r="L144" s="634"/>
      <c r="M144" s="634"/>
      <c r="N144" s="634"/>
    </row>
    <row r="145" spans="6:14" x14ac:dyDescent="0.2">
      <c r="F145" s="634"/>
      <c r="G145" s="634"/>
      <c r="H145" s="634"/>
      <c r="I145" s="634"/>
      <c r="J145" s="634"/>
      <c r="K145" s="634"/>
      <c r="L145" s="634"/>
      <c r="M145" s="634"/>
      <c r="N145" s="634"/>
    </row>
    <row r="146" spans="6:14" x14ac:dyDescent="0.2">
      <c r="F146" s="634"/>
      <c r="G146" s="634"/>
      <c r="H146" s="634"/>
      <c r="I146" s="634"/>
      <c r="J146" s="634"/>
      <c r="K146" s="634"/>
      <c r="L146" s="634"/>
      <c r="M146" s="634"/>
      <c r="N146" s="634"/>
    </row>
    <row r="147" spans="6:14" x14ac:dyDescent="0.2">
      <c r="F147" s="634"/>
      <c r="G147" s="634"/>
      <c r="H147" s="634"/>
      <c r="I147" s="634"/>
      <c r="J147" s="634"/>
      <c r="K147" s="634"/>
      <c r="L147" s="634"/>
      <c r="M147" s="634"/>
      <c r="N147" s="634"/>
    </row>
    <row r="148" spans="6:14" x14ac:dyDescent="0.2">
      <c r="F148" s="634"/>
      <c r="G148" s="634"/>
      <c r="H148" s="634"/>
      <c r="I148" s="634"/>
      <c r="J148" s="634"/>
      <c r="K148" s="634"/>
      <c r="L148" s="634"/>
      <c r="M148" s="634"/>
      <c r="N148" s="634"/>
    </row>
    <row r="149" spans="6:14" x14ac:dyDescent="0.2">
      <c r="F149" s="634"/>
      <c r="G149" s="634"/>
      <c r="H149" s="634"/>
      <c r="I149" s="634"/>
      <c r="J149" s="634"/>
      <c r="K149" s="634"/>
      <c r="L149" s="634"/>
      <c r="M149" s="634"/>
      <c r="N149" s="634"/>
    </row>
    <row r="150" spans="6:14" x14ac:dyDescent="0.2">
      <c r="F150" s="634"/>
      <c r="G150" s="634"/>
      <c r="H150" s="634"/>
      <c r="I150" s="634"/>
      <c r="J150" s="634"/>
      <c r="K150" s="634"/>
      <c r="L150" s="634"/>
      <c r="M150" s="634"/>
      <c r="N150" s="634"/>
    </row>
  </sheetData>
  <sheetProtection insertColumns="0" insertRows="0" deleteColumns="0" deleteRows="0"/>
  <customSheetViews>
    <customSheetView guid="{AD88818B-9F97-4B1E-9426-0DECE603685E}" scale="80" showGridLines="0" fitToPage="1" showRuler="0">
      <pane ySplit="18" topLeftCell="A19" activePane="bottomLeft" state="frozen"/>
      <selection pane="bottomLeft" activeCell="E3" sqref="E3"/>
      <pageMargins left="0.75" right="0.75" top="1" bottom="1" header="0.5" footer="0.5"/>
      <pageSetup paperSize="8" fitToHeight="0" orientation="landscape"/>
      <headerFooter alignWithMargins="0">
        <oddFooter>&amp;L&amp;8&amp;F&amp;C&amp;8&amp;A&amp;R&amp;8page&amp;P</oddFooter>
      </headerFooter>
    </customSheetView>
    <customSheetView guid="{7EB5D807-CE20-46E2-AEE6-2C193E010EA4}" scale="80" showGridLines="0" fitToPage="1" showRuler="0">
      <pane ySplit="18" topLeftCell="A19" activePane="bottomLeft" state="frozen"/>
      <selection pane="bottomLeft" activeCell="E3" sqref="E3"/>
      <pageMargins left="0.75" right="0.75" top="1" bottom="1" header="0.5" footer="0.5"/>
      <pageSetup paperSize="8" fitToHeight="0" orientation="landscape"/>
      <headerFooter alignWithMargins="0">
        <oddFooter>&amp;L&amp;8&amp;F&amp;C&amp;8&amp;A&amp;R&amp;8page&amp;P</oddFooter>
      </headerFooter>
    </customSheetView>
  </customSheetViews>
  <phoneticPr fontId="0" type="noConversion"/>
  <conditionalFormatting sqref="A7:G7">
    <cfRule type="expression" dxfId="10" priority="4" stopIfTrue="1">
      <formula>($E7&lt;&gt;"")</formula>
    </cfRule>
  </conditionalFormatting>
  <conditionalFormatting sqref="O9:O17">
    <cfRule type="cellIs" dxfId="9" priority="3" stopIfTrue="1" operator="notBetween">
      <formula>-0.05</formula>
      <formula>0.05</formula>
    </cfRule>
  </conditionalFormatting>
  <conditionalFormatting sqref="B54">
    <cfRule type="expression" dxfId="8" priority="1" stopIfTrue="1">
      <formula>(C53&gt;0)</formula>
    </cfRule>
  </conditionalFormatting>
  <dataValidations count="4">
    <dataValidation type="list" allowBlank="1" showInputMessage="1" showErrorMessage="1" sqref="C34 C69" xr:uid="{00000000-0002-0000-1C00-000000000000}">
      <mc:AlternateContent xmlns:x12ac="http://schemas.microsoft.com/office/spreadsheetml/2011/1/ac" xmlns:mc="http://schemas.openxmlformats.org/markup-compatibility/2006">
        <mc:Choice Requires="x12ac">
          <x12ac:list>1,"1,4"</x12ac:list>
        </mc:Choice>
        <mc:Fallback>
          <formula1>"1,1,4"</formula1>
        </mc:Fallback>
      </mc:AlternateContent>
    </dataValidation>
    <dataValidation type="list" allowBlank="1" showInputMessage="1" showErrorMessage="1" sqref="F6 F8 F11" xr:uid="{00000000-0002-0000-1C00-000001000000}">
      <formula1>"A,D"</formula1>
    </dataValidation>
    <dataValidation type="list" allowBlank="1" showInputMessage="1" showErrorMessage="1" sqref="E7" xr:uid="{00000000-0002-0000-1C00-000002000000}">
      <formula1>"- ,Individual result of previous calculation, Combined result of previous calculation"</formula1>
    </dataValidation>
    <dataValidation allowBlank="1" showInputMessage="1" showErrorMessage="1" promptTitle="Electricity mix" sqref="B93 B72" xr:uid="{00000000-0002-0000-1C00-000003000000}"/>
  </dataValidations>
  <pageMargins left="0.75" right="0.75" top="1" bottom="1" header="0.5" footer="0.5"/>
  <pageSetup paperSize="8" scale="99" fitToHeight="0" orientation="landscape"/>
  <headerFooter alignWithMargins="0">
    <oddFooter>&amp;L&amp;8&amp;F&amp;C&amp;8&amp;A&amp;R&amp;8page&amp;P</oddFooter>
  </headerFooter>
  <drawing r:id="rId1"/>
  <legacyDrawing r:id="rId2"/>
  <controls>
    <mc:AlternateContent xmlns:mc="http://schemas.openxmlformats.org/markup-compatibility/2006">
      <mc:Choice Requires="x14">
        <control shapeId="33796" r:id="rId3" name="CheckBox2">
          <controlPr autoLine="0" linkedCell="About!N86" r:id="rId4">
            <anchor moveWithCells="1">
              <from>
                <xdr:col>9</xdr:col>
                <xdr:colOff>38100</xdr:colOff>
                <xdr:row>13</xdr:row>
                <xdr:rowOff>47625</xdr:rowOff>
              </from>
              <to>
                <xdr:col>13</xdr:col>
                <xdr:colOff>885825</xdr:colOff>
                <xdr:row>15</xdr:row>
                <xdr:rowOff>85725</xdr:rowOff>
              </to>
            </anchor>
          </controlPr>
        </control>
      </mc:Choice>
      <mc:Fallback>
        <control shapeId="33796" r:id="rId3" name="CheckBox2"/>
      </mc:Fallback>
    </mc:AlternateContent>
    <mc:AlternateContent xmlns:mc="http://schemas.openxmlformats.org/markup-compatibility/2006">
      <mc:Choice Requires="x14">
        <control shapeId="33797" r:id="rId5" name="CheckBox1">
          <controlPr autoLine="0" linkedCell="About!N88" r:id="rId6">
            <anchor moveWithCells="1">
              <from>
                <xdr:col>9</xdr:col>
                <xdr:colOff>38100</xdr:colOff>
                <xdr:row>11</xdr:row>
                <xdr:rowOff>0</xdr:rowOff>
              </from>
              <to>
                <xdr:col>13</xdr:col>
                <xdr:colOff>866775</xdr:colOff>
                <xdr:row>13</xdr:row>
                <xdr:rowOff>123825</xdr:rowOff>
              </to>
            </anchor>
          </controlPr>
        </control>
      </mc:Choice>
      <mc:Fallback>
        <control shapeId="33797" r:id="rId5" name="CheckBox1"/>
      </mc:Fallback>
    </mc:AlternateContent>
    <mc:AlternateContent xmlns:mc="http://schemas.openxmlformats.org/markup-compatibility/2006">
      <mc:Choice Requires="x14">
        <control shapeId="34392" r:id="rId7" name="cmdTrackChanges">
          <controlPr defaultSize="0" autoLine="0" r:id="rId8">
            <anchor moveWithCells="1">
              <from>
                <xdr:col>1</xdr:col>
                <xdr:colOff>1266825</xdr:colOff>
                <xdr:row>16</xdr:row>
                <xdr:rowOff>85725</xdr:rowOff>
              </from>
              <to>
                <xdr:col>3</xdr:col>
                <xdr:colOff>438150</xdr:colOff>
                <xdr:row>17</xdr:row>
                <xdr:rowOff>209550</xdr:rowOff>
              </to>
            </anchor>
          </controlPr>
        </control>
      </mc:Choice>
      <mc:Fallback>
        <control shapeId="34392" r:id="rId7" name="cmdTrackChanges"/>
      </mc:Fallback>
    </mc:AlternateContent>
    <mc:AlternateContent xmlns:mc="http://schemas.openxmlformats.org/markup-compatibility/2006">
      <mc:Choice Requires="x14">
        <control shapeId="34457" r:id="rId9" name="Label 665">
          <controlPr defaultSize="0" autoFill="0" autoLine="0" autoPict="0" macro="[0]!GoToAbout">
            <anchor moveWithCells="1" sizeWithCells="1">
              <from>
                <xdr:col>10</xdr:col>
                <xdr:colOff>438150</xdr:colOff>
                <xdr:row>0</xdr:row>
                <xdr:rowOff>800100</xdr:rowOff>
              </from>
              <to>
                <xdr:col>12</xdr:col>
                <xdr:colOff>85725</xdr:colOff>
                <xdr:row>1</xdr:row>
                <xdr:rowOff>0</xdr:rowOff>
              </to>
            </anchor>
          </controlPr>
        </control>
      </mc:Choice>
    </mc:AlternateContent>
    <mc:AlternateContent xmlns:mc="http://schemas.openxmlformats.org/markup-compatibility/2006">
      <mc:Choice Requires="x14">
        <control shapeId="34458" r:id="rId10" name="Label 666">
          <controlPr defaultSize="0" autoFill="0" autoLine="0" autoPict="0" macro="[0]!GoToDirectory">
            <anchor moveWithCells="1" sizeWithCells="1">
              <from>
                <xdr:col>12</xdr:col>
                <xdr:colOff>161925</xdr:colOff>
                <xdr:row>0</xdr:row>
                <xdr:rowOff>800100</xdr:rowOff>
              </from>
              <to>
                <xdr:col>13</xdr:col>
                <xdr:colOff>990600</xdr:colOff>
                <xdr:row>1</xdr:row>
                <xdr:rowOff>0</xdr:rowOff>
              </to>
            </anchor>
          </controlPr>
        </control>
      </mc:Choice>
    </mc:AlternateContent>
  </control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C2">
    <pageSetUpPr fitToPage="1"/>
  </sheetPr>
  <dimension ref="A1:Q159"/>
  <sheetViews>
    <sheetView showGridLines="0" zoomScale="80" workbookViewId="0">
      <selection activeCell="A2" sqref="A2"/>
    </sheetView>
  </sheetViews>
  <sheetFormatPr baseColWidth="10" defaultColWidth="8.85546875" defaultRowHeight="12.75" x14ac:dyDescent="0.2"/>
  <cols>
    <col min="1" max="1" width="22.5703125" style="360" customWidth="1"/>
    <col min="2" max="2" width="25.85546875" style="360" customWidth="1"/>
    <col min="3" max="3" width="9.7109375" style="360" customWidth="1"/>
    <col min="4" max="4" width="20.140625" style="360" customWidth="1"/>
    <col min="5" max="5" width="14.85546875" style="360" customWidth="1"/>
    <col min="6" max="6" width="8.5703125" style="360" customWidth="1"/>
    <col min="7" max="7" width="2.85546875" style="360" customWidth="1"/>
    <col min="8" max="8" width="19.5703125" style="360" customWidth="1"/>
    <col min="9" max="12" width="9.140625" style="360" customWidth="1"/>
    <col min="13" max="13" width="2.5703125" style="360" customWidth="1"/>
    <col min="14" max="14" width="16.7109375" style="360" customWidth="1"/>
    <col min="15" max="15" width="13.7109375" style="360" customWidth="1"/>
    <col min="16" max="16384" width="8.85546875" style="361"/>
  </cols>
  <sheetData>
    <row r="1" spans="1:17" ht="102" customHeight="1" x14ac:dyDescent="0.2"/>
    <row r="2" spans="1:17" ht="27.75" customHeight="1" x14ac:dyDescent="0.25">
      <c r="A2" s="362" t="s">
        <v>686</v>
      </c>
      <c r="B2" s="363"/>
      <c r="C2" s="364"/>
      <c r="D2" s="364"/>
      <c r="E2" s="364"/>
      <c r="F2" s="365"/>
      <c r="G2" s="365"/>
      <c r="H2" s="366"/>
      <c r="I2" s="367"/>
      <c r="J2" s="368"/>
      <c r="K2" s="369"/>
      <c r="L2" s="370"/>
      <c r="M2" s="367"/>
      <c r="N2" s="367"/>
      <c r="O2" s="371" t="str">
        <f>About!D2</f>
        <v>Version 4d for Testing</v>
      </c>
    </row>
    <row r="3" spans="1:17" ht="27.75" customHeight="1" x14ac:dyDescent="0.25">
      <c r="A3" s="372" t="s">
        <v>1050</v>
      </c>
      <c r="B3" s="373"/>
      <c r="C3" s="374"/>
      <c r="D3" s="374"/>
      <c r="E3" s="373"/>
      <c r="F3" s="373"/>
      <c r="G3" s="373"/>
      <c r="H3" s="375"/>
      <c r="I3" s="376"/>
      <c r="J3" s="377"/>
      <c r="K3" s="378"/>
      <c r="L3" s="377"/>
      <c r="M3" s="377"/>
      <c r="N3" s="379"/>
      <c r="O3" s="378"/>
    </row>
    <row r="4" spans="1:17" ht="16.5" customHeight="1" x14ac:dyDescent="0.25">
      <c r="A4" s="380" t="s">
        <v>861</v>
      </c>
      <c r="B4" s="381" t="s">
        <v>854</v>
      </c>
      <c r="C4" s="381" t="s">
        <v>1057</v>
      </c>
      <c r="D4" s="381" t="s">
        <v>852</v>
      </c>
      <c r="E4" s="382" t="s">
        <v>1047</v>
      </c>
      <c r="F4" s="383" t="s">
        <v>1125</v>
      </c>
      <c r="G4" s="384"/>
      <c r="H4" s="385" t="s">
        <v>869</v>
      </c>
      <c r="I4" s="386"/>
      <c r="J4" s="387" t="s">
        <v>1063</v>
      </c>
      <c r="K4" s="388"/>
      <c r="L4" s="389"/>
      <c r="M4" s="390"/>
      <c r="N4" s="387" t="s">
        <v>391</v>
      </c>
      <c r="O4" s="391"/>
    </row>
    <row r="5" spans="1:17" ht="16.5" customHeight="1" x14ac:dyDescent="0.25">
      <c r="A5" s="392" t="s">
        <v>184</v>
      </c>
      <c r="B5" s="393" t="s">
        <v>853</v>
      </c>
      <c r="C5" s="393" t="s">
        <v>1062</v>
      </c>
      <c r="D5" s="393" t="s">
        <v>853</v>
      </c>
      <c r="E5" s="394"/>
      <c r="F5" s="395" t="s">
        <v>1126</v>
      </c>
      <c r="G5" s="396"/>
      <c r="H5" s="397" t="s">
        <v>866</v>
      </c>
      <c r="I5" s="390"/>
      <c r="J5" s="398" t="str">
        <f>A39</f>
        <v xml:space="preserve">Biogas generation </v>
      </c>
      <c r="K5" s="399"/>
      <c r="L5" s="400"/>
      <c r="M5" s="390"/>
      <c r="N5" s="398" t="s">
        <v>392</v>
      </c>
      <c r="O5" s="400"/>
    </row>
    <row r="6" spans="1:17" ht="16.5" customHeight="1" x14ac:dyDescent="0.35">
      <c r="A6" s="401" t="s">
        <v>170</v>
      </c>
      <c r="B6" s="402"/>
      <c r="C6" s="403"/>
      <c r="D6" s="404"/>
      <c r="E6" s="405">
        <f>IF(F6="A",D7,H6)</f>
        <v>0</v>
      </c>
      <c r="F6" s="406" t="s">
        <v>1127</v>
      </c>
      <c r="G6" s="407"/>
      <c r="H6" s="408">
        <v>0</v>
      </c>
      <c r="I6" s="390"/>
      <c r="J6" s="409">
        <v>1</v>
      </c>
      <c r="K6" s="410" t="s">
        <v>183</v>
      </c>
      <c r="L6" s="411"/>
      <c r="M6" s="390"/>
      <c r="N6" s="412">
        <v>83.8</v>
      </c>
      <c r="O6" s="413" t="s">
        <v>394</v>
      </c>
    </row>
    <row r="7" spans="1:17" ht="12" customHeight="1" x14ac:dyDescent="0.2">
      <c r="A7" s="398" t="str">
        <f>A19</f>
        <v>Collection of wet manure</v>
      </c>
      <c r="B7" s="414">
        <f>L26</f>
        <v>0</v>
      </c>
      <c r="C7" s="415">
        <f>J6</f>
        <v>1</v>
      </c>
      <c r="D7" s="416">
        <f>C7*B7</f>
        <v>0</v>
      </c>
      <c r="E7" s="1215"/>
      <c r="F7" s="418"/>
      <c r="G7" s="418"/>
      <c r="H7" s="419">
        <f>0</f>
        <v>0</v>
      </c>
      <c r="I7" s="390"/>
      <c r="J7" s="420">
        <f>1-J6</f>
        <v>0</v>
      </c>
      <c r="K7" s="421" t="s">
        <v>759</v>
      </c>
      <c r="L7" s="422"/>
      <c r="M7" s="390"/>
      <c r="N7" s="398" t="s">
        <v>393</v>
      </c>
      <c r="O7" s="400"/>
    </row>
    <row r="8" spans="1:17" ht="16.5" customHeight="1" x14ac:dyDescent="0.35">
      <c r="A8" s="401" t="s">
        <v>544</v>
      </c>
      <c r="B8" s="423"/>
      <c r="C8" s="423"/>
      <c r="D8" s="424"/>
      <c r="E8" s="425">
        <f>IF(F8="A",D9+D10,H8)</f>
        <v>22.454981357142856</v>
      </c>
      <c r="F8" s="406" t="s">
        <v>1127</v>
      </c>
      <c r="G8" s="407"/>
      <c r="H8" s="408">
        <v>11</v>
      </c>
      <c r="I8" s="390"/>
      <c r="J8" s="390"/>
      <c r="K8" s="390"/>
      <c r="L8" s="390"/>
      <c r="M8" s="390"/>
      <c r="N8" s="426">
        <f>(N6-E16)/N6</f>
        <v>0.67206218517999883</v>
      </c>
      <c r="O8" s="427"/>
    </row>
    <row r="9" spans="1:17" ht="12" customHeight="1" x14ac:dyDescent="0.2">
      <c r="A9" s="398" t="str">
        <f>A39</f>
        <v xml:space="preserve">Biogas generation </v>
      </c>
      <c r="B9" s="414">
        <f>L71</f>
        <v>10.003809523809524</v>
      </c>
      <c r="C9" s="415">
        <f>J6</f>
        <v>1</v>
      </c>
      <c r="D9" s="416">
        <f>C9*B9</f>
        <v>10.003809523809524</v>
      </c>
      <c r="E9" s="417"/>
      <c r="F9" s="418"/>
      <c r="G9" s="418"/>
      <c r="H9" s="419">
        <f>1.4*7.64</f>
        <v>10.696</v>
      </c>
      <c r="I9" s="390"/>
      <c r="J9" s="642"/>
      <c r="K9" s="390"/>
      <c r="L9" s="390"/>
      <c r="M9" s="390"/>
      <c r="N9" s="390"/>
      <c r="O9" s="428"/>
      <c r="Q9" s="429"/>
    </row>
    <row r="10" spans="1:17" ht="12" customHeight="1" thickBot="1" x14ac:dyDescent="0.25">
      <c r="A10" s="398" t="str">
        <f>A74</f>
        <v xml:space="preserve">CH4 extraction </v>
      </c>
      <c r="B10" s="414">
        <f>L86</f>
        <v>12.45117183333333</v>
      </c>
      <c r="C10" s="415">
        <f>J6</f>
        <v>1</v>
      </c>
      <c r="D10" s="416">
        <f>C10*B10</f>
        <v>12.45117183333333</v>
      </c>
      <c r="E10" s="417"/>
      <c r="F10" s="418"/>
      <c r="G10" s="418"/>
      <c r="H10" s="419"/>
      <c r="I10" s="390"/>
      <c r="J10" s="390"/>
      <c r="K10" s="390"/>
      <c r="L10" s="390"/>
      <c r="M10" s="390"/>
      <c r="N10" s="390"/>
      <c r="O10" s="428"/>
    </row>
    <row r="11" spans="1:17" ht="16.5" customHeight="1" x14ac:dyDescent="0.35">
      <c r="A11" s="401" t="s">
        <v>545</v>
      </c>
      <c r="B11" s="423"/>
      <c r="C11" s="423"/>
      <c r="D11" s="424"/>
      <c r="E11" s="425">
        <f>IF(F11="A",D12+D13+D14, H11)</f>
        <v>5.0262075247732447</v>
      </c>
      <c r="F11" s="406" t="s">
        <v>1127</v>
      </c>
      <c r="G11" s="407"/>
      <c r="H11" s="408">
        <v>5</v>
      </c>
      <c r="I11" s="390"/>
      <c r="J11" s="432" t="s">
        <v>140</v>
      </c>
      <c r="K11" s="433"/>
      <c r="L11" s="433"/>
      <c r="M11" s="433"/>
      <c r="N11" s="434"/>
      <c r="O11" s="435"/>
      <c r="Q11" s="429"/>
    </row>
    <row r="12" spans="1:17" ht="12" customHeight="1" x14ac:dyDescent="0.2">
      <c r="A12" s="398" t="str">
        <f>A29</f>
        <v>Transport of wet manure</v>
      </c>
      <c r="B12" s="414">
        <f>L36</f>
        <v>2.1708318025510218</v>
      </c>
      <c r="C12" s="415">
        <f>J6</f>
        <v>1</v>
      </c>
      <c r="D12" s="416">
        <f>C12*B12</f>
        <v>2.1708318025510218</v>
      </c>
      <c r="E12" s="431"/>
      <c r="F12" s="418"/>
      <c r="G12" s="418"/>
      <c r="H12" s="419">
        <v>2.14</v>
      </c>
      <c r="I12" s="390"/>
      <c r="J12" s="438"/>
      <c r="K12" s="439"/>
      <c r="L12" s="439"/>
      <c r="M12" s="439"/>
      <c r="N12" s="440"/>
      <c r="O12" s="441"/>
    </row>
    <row r="13" spans="1:17" ht="12" customHeight="1" x14ac:dyDescent="0.2">
      <c r="A13" s="398" t="str">
        <f>A89</f>
        <v xml:space="preserve">Transport of CH4 </v>
      </c>
      <c r="B13" s="414">
        <f>L95</f>
        <v>0</v>
      </c>
      <c r="C13" s="415">
        <v>1</v>
      </c>
      <c r="D13" s="416">
        <f>C13*B13</f>
        <v>0</v>
      </c>
      <c r="E13" s="436"/>
      <c r="F13" s="437"/>
      <c r="G13" s="437"/>
      <c r="H13" s="419">
        <v>0</v>
      </c>
      <c r="I13" s="390"/>
      <c r="J13" s="438"/>
      <c r="K13" s="439"/>
      <c r="L13" s="439"/>
      <c r="M13" s="442"/>
      <c r="N13" s="443"/>
      <c r="O13" s="441"/>
    </row>
    <row r="14" spans="1:17" ht="12.75" customHeight="1" x14ac:dyDescent="0.2">
      <c r="A14" s="398" t="str">
        <f>A98</f>
        <v>CNG filling station</v>
      </c>
      <c r="B14" s="414">
        <f>L103</f>
        <v>2.8553757222222225</v>
      </c>
      <c r="C14" s="415">
        <v>1</v>
      </c>
      <c r="D14" s="416">
        <f>C14*B14</f>
        <v>2.8553757222222225</v>
      </c>
      <c r="E14" s="436"/>
      <c r="F14" s="437"/>
      <c r="G14" s="437"/>
      <c r="H14" s="419">
        <v>2.86</v>
      </c>
      <c r="I14" s="390"/>
      <c r="J14" s="438"/>
      <c r="K14" s="439"/>
      <c r="L14" s="439"/>
      <c r="M14" s="448"/>
      <c r="N14" s="449"/>
      <c r="O14" s="450"/>
      <c r="Q14" s="429"/>
    </row>
    <row r="15" spans="1:17" ht="16.5" customHeight="1" x14ac:dyDescent="0.35">
      <c r="A15" s="444" t="s">
        <v>725</v>
      </c>
      <c r="B15" s="445">
        <f>L121+L127</f>
        <v>0</v>
      </c>
      <c r="C15" s="446">
        <v>1</v>
      </c>
      <c r="D15" s="445">
        <f>C15*B15</f>
        <v>0</v>
      </c>
      <c r="E15" s="425">
        <f>D15</f>
        <v>0</v>
      </c>
      <c r="F15" s="451"/>
      <c r="G15" s="451"/>
      <c r="H15" s="447">
        <v>0</v>
      </c>
      <c r="I15" s="379"/>
      <c r="J15" s="438"/>
      <c r="K15" s="439"/>
      <c r="L15" s="439"/>
      <c r="M15" s="448"/>
      <c r="N15" s="449"/>
      <c r="O15" s="450"/>
    </row>
    <row r="16" spans="1:17" ht="16.5" customHeight="1" thickBot="1" x14ac:dyDescent="0.3">
      <c r="A16" s="452" t="s">
        <v>1049</v>
      </c>
      <c r="B16" s="453">
        <f>SUM(B7:B14)-B15</f>
        <v>27.481188881916101</v>
      </c>
      <c r="C16" s="454"/>
      <c r="D16" s="455"/>
      <c r="E16" s="456">
        <f>SUM(E6:E14)-E15</f>
        <v>27.481188881916101</v>
      </c>
      <c r="F16" s="457"/>
      <c r="G16" s="457"/>
      <c r="H16" s="458">
        <v>16</v>
      </c>
      <c r="I16" s="379"/>
      <c r="J16" s="459" t="s">
        <v>1</v>
      </c>
      <c r="K16" s="460"/>
      <c r="L16" s="460"/>
      <c r="M16" s="461"/>
      <c r="N16" s="462"/>
      <c r="O16" s="463"/>
      <c r="Q16" s="429"/>
    </row>
    <row r="17" spans="1:15" ht="16.5" customHeight="1" x14ac:dyDescent="0.25">
      <c r="A17" s="464"/>
      <c r="B17" s="465"/>
      <c r="E17" s="466" t="s">
        <v>859</v>
      </c>
      <c r="F17" s="467"/>
      <c r="G17" s="467"/>
      <c r="H17" s="468"/>
      <c r="I17" s="469"/>
      <c r="J17" s="470"/>
      <c r="K17" s="433"/>
      <c r="L17" s="471"/>
      <c r="M17" s="433"/>
      <c r="N17" s="433"/>
      <c r="O17" s="472"/>
    </row>
    <row r="18" spans="1:15" ht="22.5" customHeight="1" thickBot="1" x14ac:dyDescent="0.25">
      <c r="A18" s="473" t="s">
        <v>1051</v>
      </c>
      <c r="B18" s="379"/>
      <c r="E18" s="1308" t="s">
        <v>860</v>
      </c>
      <c r="F18" s="1309"/>
      <c r="G18" s="1309"/>
      <c r="H18" s="1309"/>
      <c r="I18" s="460"/>
      <c r="J18" s="1310"/>
      <c r="K18" s="1310"/>
      <c r="L18" s="1311"/>
      <c r="M18" s="477"/>
      <c r="N18" s="477"/>
      <c r="O18" s="478"/>
    </row>
    <row r="19" spans="1:15" ht="15.75" x14ac:dyDescent="0.25">
      <c r="A19" s="479" t="s">
        <v>503</v>
      </c>
      <c r="B19" s="480"/>
      <c r="C19" s="480"/>
      <c r="D19" s="480"/>
      <c r="E19" s="782" t="s">
        <v>513</v>
      </c>
      <c r="F19" s="1303"/>
      <c r="G19" s="1303"/>
      <c r="H19" s="1304"/>
      <c r="I19" s="1305" t="s">
        <v>532</v>
      </c>
      <c r="J19" s="1303"/>
      <c r="K19" s="1303"/>
      <c r="L19" s="1306"/>
      <c r="M19" s="484"/>
      <c r="N19" s="1307" t="s">
        <v>162</v>
      </c>
      <c r="O19" s="485"/>
    </row>
    <row r="20" spans="1:15" ht="15.75" x14ac:dyDescent="0.25">
      <c r="A20" s="486"/>
      <c r="B20" s="487" t="s">
        <v>524</v>
      </c>
      <c r="C20" s="488"/>
      <c r="D20" s="488"/>
      <c r="E20" s="489" t="s">
        <v>524</v>
      </c>
      <c r="F20" s="490"/>
      <c r="G20" s="490"/>
      <c r="H20" s="491"/>
      <c r="I20" s="492" t="s">
        <v>899</v>
      </c>
      <c r="J20" s="490"/>
      <c r="K20" s="490"/>
      <c r="L20" s="493"/>
      <c r="M20" s="484"/>
      <c r="N20" s="538" t="s">
        <v>574</v>
      </c>
      <c r="O20" s="378"/>
    </row>
    <row r="21" spans="1:15" ht="16.5" x14ac:dyDescent="0.3">
      <c r="A21" s="494"/>
      <c r="B21" s="495" t="s">
        <v>504</v>
      </c>
      <c r="C21" s="496">
        <v>1</v>
      </c>
      <c r="D21" s="497" t="s">
        <v>501</v>
      </c>
      <c r="E21" s="498">
        <f>C21</f>
        <v>1</v>
      </c>
      <c r="F21" s="499" t="s">
        <v>505</v>
      </c>
      <c r="G21" s="499"/>
      <c r="H21" s="499"/>
      <c r="I21" s="500" t="s">
        <v>1053</v>
      </c>
      <c r="J21" s="500" t="s">
        <v>1054</v>
      </c>
      <c r="K21" s="500" t="s">
        <v>1055</v>
      </c>
      <c r="L21" s="501" t="s">
        <v>1056</v>
      </c>
      <c r="M21" s="379"/>
      <c r="N21" s="540" t="s">
        <v>1056</v>
      </c>
      <c r="O21" s="502"/>
    </row>
    <row r="22" spans="1:15" ht="15.75" x14ac:dyDescent="0.3">
      <c r="A22" s="503"/>
      <c r="B22" s="495" t="s">
        <v>521</v>
      </c>
      <c r="C22" s="504">
        <v>0.92</v>
      </c>
      <c r="D22" s="497"/>
      <c r="E22" s="513">
        <f>VLOOKUP(B30,'Standard values'!$C$9:$S$162,14, FALSE)</f>
        <v>10</v>
      </c>
      <c r="F22" s="506" t="s">
        <v>782</v>
      </c>
      <c r="G22" s="506"/>
      <c r="H22" s="495"/>
      <c r="I22" s="507"/>
      <c r="J22" s="508"/>
      <c r="K22" s="508"/>
      <c r="L22" s="509"/>
      <c r="M22" s="379"/>
      <c r="N22" s="541"/>
      <c r="O22" s="379"/>
    </row>
    <row r="23" spans="1:15" ht="15.75" x14ac:dyDescent="0.3">
      <c r="A23" s="503"/>
      <c r="B23" s="495"/>
      <c r="C23" s="495"/>
      <c r="D23" s="497"/>
      <c r="E23" s="510">
        <f>(1/(E22*(1-C22)))/$E$132</f>
        <v>2.4538877551020426</v>
      </c>
      <c r="F23" s="506" t="s">
        <v>781</v>
      </c>
      <c r="G23" s="506"/>
      <c r="H23" s="495"/>
      <c r="I23" s="508"/>
      <c r="J23" s="508"/>
      <c r="K23" s="508"/>
      <c r="L23" s="509"/>
      <c r="M23" s="379"/>
      <c r="N23" s="562"/>
      <c r="O23" s="736"/>
    </row>
    <row r="24" spans="1:15" x14ac:dyDescent="0.2">
      <c r="A24" s="503"/>
      <c r="B24" s="511"/>
      <c r="C24" s="512"/>
      <c r="D24" s="495"/>
      <c r="E24" s="513"/>
      <c r="F24" s="514"/>
      <c r="G24" s="514"/>
      <c r="H24" s="514" t="s">
        <v>1047</v>
      </c>
      <c r="I24" s="515">
        <f>SUM(I22:I23)</f>
        <v>0</v>
      </c>
      <c r="J24" s="515">
        <f>SUM(J22:J23)</f>
        <v>0</v>
      </c>
      <c r="K24" s="515">
        <f>SUM(K22:K23)</f>
        <v>0</v>
      </c>
      <c r="L24" s="516">
        <f>I24*'Standard values'!$D$10+J24*'Standard values'!$D$11+K24*'Standard values'!$D$12</f>
        <v>0</v>
      </c>
      <c r="M24" s="379"/>
      <c r="N24" s="1201">
        <f>+L24/E$23</f>
        <v>0</v>
      </c>
      <c r="O24" s="518"/>
    </row>
    <row r="25" spans="1:15" x14ac:dyDescent="0.2">
      <c r="A25" s="503"/>
      <c r="B25" s="511"/>
      <c r="C25" s="512"/>
      <c r="D25" s="495"/>
      <c r="E25" s="513"/>
      <c r="F25" s="514"/>
      <c r="G25" s="514"/>
      <c r="H25" s="514"/>
      <c r="I25" s="416"/>
      <c r="J25" s="416"/>
      <c r="K25" s="416"/>
      <c r="L25" s="436"/>
      <c r="M25" s="379"/>
      <c r="N25" s="1203"/>
      <c r="O25" s="1214"/>
    </row>
    <row r="26" spans="1:15" ht="14.25" x14ac:dyDescent="0.25">
      <c r="A26" s="519"/>
      <c r="B26" s="520"/>
      <c r="C26" s="520"/>
      <c r="D26" s="520"/>
      <c r="E26" s="519"/>
      <c r="F26" s="521"/>
      <c r="G26" s="521"/>
      <c r="H26" s="521" t="s">
        <v>534</v>
      </c>
      <c r="I26" s="522"/>
      <c r="J26" s="523" t="s">
        <v>175</v>
      </c>
      <c r="K26" s="524"/>
      <c r="L26" s="525">
        <f>N24*$E23</f>
        <v>0</v>
      </c>
      <c r="M26" s="379"/>
      <c r="N26" s="390"/>
      <c r="O26" s="379"/>
    </row>
    <row r="27" spans="1:15" x14ac:dyDescent="0.2">
      <c r="A27" s="379"/>
      <c r="B27" s="379"/>
      <c r="C27" s="379"/>
      <c r="D27" s="379"/>
      <c r="E27" s="379"/>
      <c r="F27" s="526"/>
      <c r="G27" s="526"/>
      <c r="H27" s="526"/>
      <c r="I27" s="527"/>
      <c r="J27" s="528"/>
      <c r="K27" s="484"/>
      <c r="L27" s="430"/>
      <c r="M27" s="379"/>
      <c r="N27" s="390"/>
      <c r="O27" s="390"/>
    </row>
    <row r="28" spans="1:15" x14ac:dyDescent="0.2">
      <c r="A28" s="390"/>
      <c r="B28" s="390"/>
      <c r="C28" s="390"/>
      <c r="D28" s="390"/>
      <c r="E28" s="390"/>
      <c r="F28" s="390"/>
      <c r="G28" s="390"/>
      <c r="H28" s="390"/>
      <c r="I28" s="529"/>
      <c r="J28" s="529"/>
      <c r="K28" s="529"/>
      <c r="L28" s="529"/>
      <c r="M28" s="379"/>
      <c r="N28" s="390"/>
      <c r="O28" s="390"/>
    </row>
    <row r="29" spans="1:15" ht="15.75" x14ac:dyDescent="0.25">
      <c r="A29" s="530" t="s">
        <v>255</v>
      </c>
      <c r="B29" s="531"/>
      <c r="C29" s="531"/>
      <c r="D29" s="531"/>
      <c r="E29" s="530" t="s">
        <v>513</v>
      </c>
      <c r="F29" s="532"/>
      <c r="G29" s="532"/>
      <c r="H29" s="531"/>
      <c r="I29" s="532" t="s">
        <v>532</v>
      </c>
      <c r="J29" s="533"/>
      <c r="K29" s="533"/>
      <c r="L29" s="534"/>
      <c r="M29" s="379"/>
      <c r="N29" s="535" t="s">
        <v>162</v>
      </c>
      <c r="O29" s="390"/>
    </row>
    <row r="30" spans="1:15" ht="15.75" x14ac:dyDescent="0.3">
      <c r="A30" s="503"/>
      <c r="B30" s="511" t="s">
        <v>504</v>
      </c>
      <c r="C30" s="536">
        <v>1</v>
      </c>
      <c r="D30" s="495" t="s">
        <v>259</v>
      </c>
      <c r="E30" s="510">
        <f>E21*C30</f>
        <v>1</v>
      </c>
      <c r="F30" s="499" t="s">
        <v>505</v>
      </c>
      <c r="G30" s="499"/>
      <c r="H30" s="495"/>
      <c r="I30" s="492" t="s">
        <v>899</v>
      </c>
      <c r="J30" s="514"/>
      <c r="K30" s="514"/>
      <c r="L30" s="537"/>
      <c r="M30" s="379"/>
      <c r="N30" s="538" t="s">
        <v>574</v>
      </c>
      <c r="O30" s="390"/>
    </row>
    <row r="31" spans="1:15" ht="15.75" x14ac:dyDescent="0.3">
      <c r="A31" s="503"/>
      <c r="B31" s="495"/>
      <c r="C31" s="495"/>
      <c r="D31" s="495"/>
      <c r="E31" s="505"/>
      <c r="F31" s="499"/>
      <c r="G31" s="499"/>
      <c r="H31" s="495"/>
      <c r="I31" s="539" t="s">
        <v>1053</v>
      </c>
      <c r="J31" s="539" t="s">
        <v>1054</v>
      </c>
      <c r="K31" s="539" t="s">
        <v>1055</v>
      </c>
      <c r="L31" s="540" t="s">
        <v>1056</v>
      </c>
      <c r="M31" s="379"/>
      <c r="N31" s="540" t="s">
        <v>1056</v>
      </c>
      <c r="O31" s="390"/>
    </row>
    <row r="32" spans="1:15" x14ac:dyDescent="0.2">
      <c r="A32" s="503"/>
      <c r="B32" s="511" t="s">
        <v>498</v>
      </c>
      <c r="C32" s="495"/>
      <c r="D32" s="495"/>
      <c r="E32" s="505"/>
      <c r="F32" s="506"/>
      <c r="G32" s="506"/>
      <c r="H32" s="495"/>
      <c r="I32" s="539"/>
      <c r="J32" s="539"/>
      <c r="K32" s="539"/>
      <c r="L32" s="540"/>
      <c r="M32" s="379"/>
      <c r="N32" s="541"/>
      <c r="O32" s="390"/>
    </row>
    <row r="33" spans="1:15" ht="15.75" x14ac:dyDescent="0.3">
      <c r="A33" s="503"/>
      <c r="B33" s="495" t="s">
        <v>159</v>
      </c>
      <c r="C33" s="542">
        <v>10</v>
      </c>
      <c r="D33" s="495" t="s">
        <v>510</v>
      </c>
      <c r="E33" s="543">
        <f>(C33*E30)/(VLOOKUP($B30,'Standard values'!$C$9:$S$162,14, FALSE))/(1-$C$22)/1000</f>
        <v>1.2500000000000008E-2</v>
      </c>
      <c r="F33" s="495" t="s">
        <v>897</v>
      </c>
      <c r="G33" s="495"/>
      <c r="H33" s="495"/>
      <c r="I33" s="544">
        <f>$E33*VLOOKUP($B33,'Standard values'!$C$9:$S$162,15, FALSE)*VLOOKUP(C34,'Standard values'!$C$9:$S$162,7, FALSE)/$E$132</f>
        <v>2.1677644428571443</v>
      </c>
      <c r="J33" s="544">
        <f>$E33*((VLOOKUP($B33,'Standard values'!$C$9:$S$162,15, FALSE)*VLOOKUP(C34,'Standard values'!$C$9:$S$162,8, FALSE))+VLOOKUP($B33,'Standard values'!$C$9:$S$162,16, FALSE))/$E$132</f>
        <v>1.2269438775510216E-4</v>
      </c>
      <c r="K33" s="544">
        <f>$E33*((VLOOKUP($B33,'Standard values'!$C$9:$S$162,15, FALSE)*VLOOKUP(C34,'Standard values'!$C$9:$S$162,9, FALSE))+VLOOKUP($B33,'Standard values'!$C$9:$S$162,17, FALSE))/$E$132</f>
        <v>0</v>
      </c>
      <c r="L33" s="516">
        <f>I33*'Standard values'!$D$10+J33*'Standard values'!$D$11+K33*'Standard values'!$D$12</f>
        <v>2.1708318025510218</v>
      </c>
      <c r="M33" s="379"/>
      <c r="N33" s="545">
        <f>+L33/E$23</f>
        <v>0.88464999999999994</v>
      </c>
      <c r="O33" s="390"/>
    </row>
    <row r="34" spans="1:15" x14ac:dyDescent="0.2">
      <c r="A34" s="503"/>
      <c r="B34" s="546" t="s">
        <v>54</v>
      </c>
      <c r="C34" s="547" t="s">
        <v>509</v>
      </c>
      <c r="D34" s="495"/>
      <c r="E34" s="543"/>
      <c r="F34" s="495"/>
      <c r="G34" s="495"/>
      <c r="H34" s="495"/>
      <c r="I34" s="544"/>
      <c r="J34" s="544"/>
      <c r="K34" s="544"/>
      <c r="L34" s="516"/>
      <c r="M34" s="379"/>
      <c r="N34" s="390"/>
      <c r="O34" s="390"/>
    </row>
    <row r="35" spans="1:15" x14ac:dyDescent="0.2">
      <c r="A35" s="503"/>
      <c r="B35" s="495"/>
      <c r="C35" s="495"/>
      <c r="D35" s="495"/>
      <c r="E35" s="503"/>
      <c r="F35" s="495"/>
      <c r="G35" s="495"/>
      <c r="H35" s="548"/>
      <c r="I35" s="544"/>
      <c r="J35" s="544"/>
      <c r="K35" s="544"/>
      <c r="L35" s="516"/>
      <c r="M35" s="379"/>
      <c r="N35" s="390"/>
      <c r="O35" s="390"/>
    </row>
    <row r="36" spans="1:15" ht="14.25" x14ac:dyDescent="0.25">
      <c r="A36" s="519"/>
      <c r="B36" s="520"/>
      <c r="C36" s="520"/>
      <c r="D36" s="520"/>
      <c r="E36" s="519"/>
      <c r="F36" s="521"/>
      <c r="G36" s="521"/>
      <c r="H36" s="521" t="s">
        <v>534</v>
      </c>
      <c r="I36" s="520"/>
      <c r="J36" s="523" t="s">
        <v>175</v>
      </c>
      <c r="K36" s="549"/>
      <c r="L36" s="525">
        <f>L33</f>
        <v>2.1708318025510218</v>
      </c>
      <c r="M36" s="379"/>
      <c r="N36" s="390"/>
      <c r="O36" s="390"/>
    </row>
    <row r="37" spans="1:15" x14ac:dyDescent="0.2">
      <c r="A37" s="390"/>
      <c r="B37" s="390"/>
      <c r="C37" s="390"/>
      <c r="D37" s="390"/>
      <c r="E37" s="390"/>
      <c r="F37" s="376"/>
      <c r="G37" s="376"/>
      <c r="H37" s="376"/>
      <c r="I37" s="390"/>
      <c r="J37" s="550"/>
      <c r="K37" s="551"/>
      <c r="L37" s="552"/>
      <c r="M37" s="379"/>
      <c r="N37" s="379"/>
      <c r="O37" s="379"/>
    </row>
    <row r="38" spans="1:15" x14ac:dyDescent="0.2">
      <c r="A38" s="390"/>
      <c r="B38" s="390"/>
      <c r="C38" s="390"/>
      <c r="D38" s="390"/>
      <c r="E38" s="390"/>
      <c r="F38" s="390"/>
      <c r="G38" s="390"/>
      <c r="H38" s="390"/>
      <c r="I38" s="390"/>
      <c r="J38" s="390"/>
      <c r="K38" s="390"/>
      <c r="L38" s="375"/>
      <c r="M38" s="379"/>
      <c r="N38" s="379"/>
      <c r="O38" s="379"/>
    </row>
    <row r="39" spans="1:15" ht="15.75" x14ac:dyDescent="0.25">
      <c r="A39" s="530" t="s">
        <v>756</v>
      </c>
      <c r="B39" s="532" t="s">
        <v>757</v>
      </c>
      <c r="C39" s="531"/>
      <c r="D39" s="531"/>
      <c r="E39" s="530" t="s">
        <v>513</v>
      </c>
      <c r="F39" s="532"/>
      <c r="G39" s="532"/>
      <c r="H39" s="531"/>
      <c r="I39" s="532" t="s">
        <v>532</v>
      </c>
      <c r="J39" s="533"/>
      <c r="K39" s="533"/>
      <c r="L39" s="534"/>
      <c r="M39" s="379"/>
      <c r="N39" s="535" t="s">
        <v>162</v>
      </c>
      <c r="O39" s="379"/>
    </row>
    <row r="40" spans="1:15" x14ac:dyDescent="0.2">
      <c r="A40" s="503"/>
      <c r="B40" s="511" t="s">
        <v>524</v>
      </c>
      <c r="C40" s="495"/>
      <c r="D40" s="495"/>
      <c r="E40" s="553"/>
      <c r="F40" s="495"/>
      <c r="G40" s="495"/>
      <c r="H40" s="495"/>
      <c r="I40" s="492" t="s">
        <v>899</v>
      </c>
      <c r="J40" s="514"/>
      <c r="K40" s="514"/>
      <c r="L40" s="537"/>
      <c r="M40" s="379"/>
      <c r="N40" s="538" t="s">
        <v>576</v>
      </c>
      <c r="O40" s="379"/>
    </row>
    <row r="41" spans="1:15" ht="15.75" x14ac:dyDescent="0.3">
      <c r="A41" s="503"/>
      <c r="B41" s="506" t="s">
        <v>762</v>
      </c>
      <c r="C41" s="536">
        <f>1/1.4286</f>
        <v>0.69998600027999436</v>
      </c>
      <c r="D41" s="495" t="s">
        <v>249</v>
      </c>
      <c r="E41" s="553" t="s">
        <v>761</v>
      </c>
      <c r="F41" s="495"/>
      <c r="G41" s="495"/>
      <c r="H41" s="495"/>
      <c r="I41" s="492"/>
      <c r="J41" s="514"/>
      <c r="K41" s="514"/>
      <c r="L41" s="537"/>
      <c r="M41" s="379"/>
      <c r="N41" s="554"/>
      <c r="O41" s="379"/>
    </row>
    <row r="42" spans="1:15" ht="15.75" x14ac:dyDescent="0.3">
      <c r="A42" s="503"/>
      <c r="B42" s="506" t="s">
        <v>763</v>
      </c>
      <c r="C42" s="555">
        <f>C41-(C55*C50*C41)-(C68*C41)</f>
        <v>0.51448971020579581</v>
      </c>
      <c r="D42" s="495" t="s">
        <v>249</v>
      </c>
      <c r="E42" s="505">
        <f>E30*C42</f>
        <v>0.51448971020579581</v>
      </c>
      <c r="F42" s="499" t="s">
        <v>506</v>
      </c>
      <c r="G42" s="499"/>
      <c r="H42" s="495"/>
      <c r="I42" s="539" t="s">
        <v>1053</v>
      </c>
      <c r="J42" s="539" t="s">
        <v>1054</v>
      </c>
      <c r="K42" s="539" t="s">
        <v>1055</v>
      </c>
      <c r="L42" s="540" t="s">
        <v>1056</v>
      </c>
      <c r="M42" s="379"/>
      <c r="N42" s="540" t="s">
        <v>1056</v>
      </c>
      <c r="O42" s="379"/>
    </row>
    <row r="43" spans="1:15" ht="15.75" x14ac:dyDescent="0.3">
      <c r="A43" s="503"/>
      <c r="B43" s="506"/>
      <c r="C43" s="555"/>
      <c r="D43" s="495"/>
      <c r="E43" s="557">
        <f>E42/$E$132</f>
        <v>1.01</v>
      </c>
      <c r="F43" s="506" t="s">
        <v>575</v>
      </c>
      <c r="G43" s="506"/>
      <c r="H43" s="495"/>
      <c r="I43" s="539"/>
      <c r="J43" s="539"/>
      <c r="K43" s="539"/>
      <c r="L43" s="540"/>
      <c r="M43" s="379"/>
      <c r="N43" s="540"/>
      <c r="O43" s="379"/>
    </row>
    <row r="44" spans="1:15" x14ac:dyDescent="0.2">
      <c r="A44" s="503"/>
      <c r="B44" s="506" t="s">
        <v>579</v>
      </c>
      <c r="C44" s="556">
        <v>1.4</v>
      </c>
      <c r="D44" s="495"/>
      <c r="E44" s="505"/>
      <c r="F44" s="499"/>
      <c r="G44" s="499"/>
      <c r="H44" s="495"/>
      <c r="I44" s="539"/>
      <c r="J44" s="539"/>
      <c r="K44" s="539"/>
      <c r="L44" s="540"/>
      <c r="M44" s="379"/>
      <c r="N44" s="540"/>
      <c r="O44" s="379"/>
    </row>
    <row r="45" spans="1:15" x14ac:dyDescent="0.2">
      <c r="A45" s="503"/>
      <c r="B45" s="506"/>
      <c r="C45" s="555"/>
      <c r="D45" s="495"/>
      <c r="E45" s="557"/>
      <c r="F45" s="506"/>
      <c r="G45" s="506"/>
      <c r="H45" s="495"/>
      <c r="I45" s="539"/>
      <c r="J45" s="539"/>
      <c r="K45" s="539"/>
      <c r="L45" s="540"/>
      <c r="M45" s="379"/>
      <c r="N45" s="540"/>
      <c r="O45" s="379"/>
    </row>
    <row r="46" spans="1:15" ht="15.75" x14ac:dyDescent="0.3">
      <c r="A46" s="558" t="s">
        <v>133</v>
      </c>
      <c r="B46" s="506" t="s">
        <v>231</v>
      </c>
      <c r="C46" s="559">
        <v>-3.3333333333333332E-4</v>
      </c>
      <c r="D46" s="506" t="s">
        <v>913</v>
      </c>
      <c r="E46" s="557" t="s">
        <v>850</v>
      </c>
      <c r="F46" s="506"/>
      <c r="G46" s="506"/>
      <c r="H46" s="495"/>
      <c r="I46" s="560"/>
      <c r="J46" s="544"/>
      <c r="K46" s="544"/>
      <c r="L46" s="561"/>
      <c r="M46" s="379"/>
      <c r="N46" s="562"/>
      <c r="O46" s="379"/>
    </row>
    <row r="47" spans="1:15" x14ac:dyDescent="0.2">
      <c r="A47" s="563"/>
      <c r="B47" s="506"/>
      <c r="C47" s="564"/>
      <c r="D47" s="506"/>
      <c r="E47" s="557"/>
      <c r="F47" s="506"/>
      <c r="G47" s="506"/>
      <c r="H47" s="495"/>
      <c r="I47" s="495"/>
      <c r="J47" s="495"/>
      <c r="K47" s="495"/>
      <c r="L47" s="541"/>
      <c r="M47" s="379"/>
      <c r="N47" s="562"/>
      <c r="O47" s="379"/>
    </row>
    <row r="48" spans="1:15" x14ac:dyDescent="0.2">
      <c r="A48" s="503"/>
      <c r="B48" s="511" t="s">
        <v>525</v>
      </c>
      <c r="C48" s="495"/>
      <c r="D48" s="495"/>
      <c r="E48" s="513"/>
      <c r="F48" s="495"/>
      <c r="G48" s="495"/>
      <c r="H48" s="495"/>
      <c r="I48" s="495"/>
      <c r="J48" s="495"/>
      <c r="K48" s="495"/>
      <c r="L48" s="541"/>
      <c r="M48" s="379"/>
      <c r="N48" s="562"/>
      <c r="O48" s="379"/>
    </row>
    <row r="49" spans="1:15" ht="15.75" x14ac:dyDescent="0.3">
      <c r="A49" s="503"/>
      <c r="B49" s="495" t="s">
        <v>507</v>
      </c>
      <c r="C49" s="536">
        <f>0.043</f>
        <v>4.2999999999999997E-2</v>
      </c>
      <c r="D49" s="495" t="s">
        <v>254</v>
      </c>
      <c r="E49" s="503" t="s">
        <v>250</v>
      </c>
      <c r="F49" s="495"/>
      <c r="G49" s="495"/>
      <c r="H49" s="495"/>
      <c r="I49" s="544"/>
      <c r="J49" s="544"/>
      <c r="K49" s="544"/>
      <c r="L49" s="419"/>
      <c r="M49" s="379"/>
      <c r="N49" s="562"/>
      <c r="O49" s="379"/>
    </row>
    <row r="50" spans="1:15" ht="15.75" x14ac:dyDescent="0.3">
      <c r="A50" s="503"/>
      <c r="B50" s="495" t="s">
        <v>251</v>
      </c>
      <c r="C50" s="536">
        <f>0.15</f>
        <v>0.15</v>
      </c>
      <c r="D50" s="495" t="s">
        <v>254</v>
      </c>
      <c r="E50" s="503"/>
      <c r="F50" s="495"/>
      <c r="G50" s="495"/>
      <c r="H50" s="495"/>
      <c r="I50" s="544"/>
      <c r="J50" s="544"/>
      <c r="K50" s="544"/>
      <c r="L50" s="419"/>
      <c r="M50" s="379"/>
      <c r="N50" s="562"/>
      <c r="O50" s="379"/>
    </row>
    <row r="51" spans="1:15" x14ac:dyDescent="0.2">
      <c r="A51" s="503"/>
      <c r="B51" s="565" t="s">
        <v>252</v>
      </c>
      <c r="C51" s="566"/>
      <c r="D51" s="566"/>
      <c r="E51" s="567"/>
      <c r="F51" s="568"/>
      <c r="G51" s="568"/>
      <c r="H51" s="568"/>
      <c r="I51" s="569"/>
      <c r="J51" s="568"/>
      <c r="K51" s="568"/>
      <c r="L51" s="570"/>
      <c r="M51" s="379"/>
      <c r="N51" s="562"/>
      <c r="O51" s="379"/>
    </row>
    <row r="52" spans="1:15" x14ac:dyDescent="0.2">
      <c r="A52" s="503"/>
      <c r="B52" s="571" t="s">
        <v>377</v>
      </c>
      <c r="C52" s="566"/>
      <c r="D52" s="566"/>
      <c r="E52" s="567" t="s">
        <v>799</v>
      </c>
      <c r="F52" s="568"/>
      <c r="G52" s="568"/>
      <c r="H52" s="568"/>
      <c r="I52" s="569"/>
      <c r="J52" s="568"/>
      <c r="K52" s="568"/>
      <c r="L52" s="570"/>
      <c r="M52" s="379"/>
      <c r="N52" s="562"/>
      <c r="O52" s="379"/>
    </row>
    <row r="53" spans="1:15" ht="15.75" x14ac:dyDescent="0.3">
      <c r="A53" s="503"/>
      <c r="B53" s="572" t="s">
        <v>380</v>
      </c>
      <c r="C53" s="573">
        <f>C50</f>
        <v>0.15</v>
      </c>
      <c r="D53" s="568" t="s">
        <v>254</v>
      </c>
      <c r="E53" s="567" t="s">
        <v>768</v>
      </c>
      <c r="F53" s="568"/>
      <c r="G53" s="568"/>
      <c r="H53" s="568"/>
      <c r="I53" s="574"/>
      <c r="J53" s="574"/>
      <c r="K53" s="574"/>
      <c r="L53" s="575"/>
      <c r="M53" s="379"/>
      <c r="N53" s="562"/>
      <c r="O53" s="379"/>
    </row>
    <row r="54" spans="1:15" x14ac:dyDescent="0.2">
      <c r="A54" s="503"/>
      <c r="B54" s="571" t="s">
        <v>378</v>
      </c>
      <c r="C54" s="573"/>
      <c r="D54" s="566"/>
      <c r="E54" s="576"/>
      <c r="F54" s="568"/>
      <c r="G54" s="568"/>
      <c r="H54" s="568"/>
      <c r="I54" s="574"/>
      <c r="J54" s="574"/>
      <c r="K54" s="574"/>
      <c r="L54" s="575"/>
      <c r="M54" s="379"/>
      <c r="N54" s="562"/>
      <c r="O54" s="379"/>
    </row>
    <row r="55" spans="1:15" ht="14.25" x14ac:dyDescent="0.25">
      <c r="A55" s="503"/>
      <c r="B55" s="577" t="s">
        <v>253</v>
      </c>
      <c r="C55" s="536">
        <v>1.7</v>
      </c>
      <c r="D55" s="568" t="s">
        <v>419</v>
      </c>
      <c r="E55" s="578"/>
      <c r="F55" s="568"/>
      <c r="G55" s="568"/>
      <c r="H55" s="568"/>
      <c r="I55" s="574"/>
      <c r="J55" s="574"/>
      <c r="K55" s="574"/>
      <c r="L55" s="575"/>
      <c r="M55" s="379"/>
      <c r="N55" s="562"/>
      <c r="O55" s="379"/>
    </row>
    <row r="56" spans="1:15" ht="15.75" x14ac:dyDescent="0.3">
      <c r="A56" s="503"/>
      <c r="B56" s="572" t="s">
        <v>773</v>
      </c>
      <c r="C56" s="536">
        <v>0</v>
      </c>
      <c r="D56" s="568" t="s">
        <v>254</v>
      </c>
      <c r="E56" s="578"/>
      <c r="F56" s="568"/>
      <c r="G56" s="568"/>
      <c r="H56" s="568"/>
      <c r="I56" s="574"/>
      <c r="J56" s="574"/>
      <c r="K56" s="574"/>
      <c r="L56" s="575"/>
      <c r="M56" s="379"/>
      <c r="N56" s="562"/>
      <c r="O56" s="379"/>
    </row>
    <row r="57" spans="1:15" x14ac:dyDescent="0.2">
      <c r="A57" s="503"/>
      <c r="B57" s="571" t="s">
        <v>935</v>
      </c>
      <c r="C57" s="573"/>
      <c r="D57" s="566"/>
      <c r="E57" s="567"/>
      <c r="F57" s="568"/>
      <c r="G57" s="568"/>
      <c r="H57" s="568"/>
      <c r="I57" s="569" t="s">
        <v>532</v>
      </c>
      <c r="J57" s="574"/>
      <c r="K57" s="574"/>
      <c r="L57" s="575"/>
      <c r="M57" s="379"/>
      <c r="N57" s="562"/>
      <c r="O57" s="379"/>
    </row>
    <row r="58" spans="1:15" ht="15.75" x14ac:dyDescent="0.3">
      <c r="A58" s="503"/>
      <c r="B58" s="572" t="s">
        <v>581</v>
      </c>
      <c r="C58" s="573"/>
      <c r="D58" s="566"/>
      <c r="E58" s="567"/>
      <c r="F58" s="568"/>
      <c r="G58" s="568"/>
      <c r="H58" s="568"/>
      <c r="I58" s="574">
        <f>$C50*$C$41*$C$44*VLOOKUP($B58,'Standard values'!$C$9:$S$159,7, FALSE)/$E$132</f>
        <v>0</v>
      </c>
      <c r="J58" s="574">
        <f>$C50*$C$41*$C$44*VLOOKUP($B58,'Standard values'!$C$9:$S$159,8, FALSE)/$E$132</f>
        <v>1.5390476190476187E-2</v>
      </c>
      <c r="K58" s="574">
        <f>$C50*$C$41*$C$44*VLOOKUP($B58,'Standard values'!$C$9:$S$159,9, FALSE)/$E$132</f>
        <v>0</v>
      </c>
      <c r="L58" s="575">
        <f>I58*'Standard values'!$D$10+J58*'Standard values'!$D$11+K58*'Standard values'!$D$12</f>
        <v>0.38476190476190469</v>
      </c>
      <c r="M58" s="379"/>
      <c r="N58" s="562">
        <f>+L58/$E$43</f>
        <v>0.38095238095238088</v>
      </c>
      <c r="O58" s="379"/>
    </row>
    <row r="59" spans="1:15" ht="27" x14ac:dyDescent="0.3">
      <c r="A59" s="503"/>
      <c r="B59" s="579" t="s">
        <v>158</v>
      </c>
      <c r="C59" s="573">
        <f>C56</f>
        <v>0</v>
      </c>
      <c r="D59" s="568" t="s">
        <v>254</v>
      </c>
      <c r="E59" s="567"/>
      <c r="F59" s="568"/>
      <c r="G59" s="568"/>
      <c r="H59" s="568"/>
      <c r="I59" s="574">
        <f>$C59*$C$41*$C$44*VLOOKUP($B59,'Standard values'!$C$9:$S$162,7, FALSE)/$E$132</f>
        <v>0</v>
      </c>
      <c r="J59" s="574">
        <f>$C59*$C$41*$C$44*VLOOKUP($B59,'Standard values'!$C$9:$S$162,8, FALSE)/$E$132</f>
        <v>0</v>
      </c>
      <c r="K59" s="574">
        <f>$C59*$C$41*$C$44*VLOOKUP($B59,'Standard values'!$C$9:$S$162,9, FALSE)/$E$132</f>
        <v>0</v>
      </c>
      <c r="L59" s="575">
        <f>I59*'Standard values'!$D$10+J59*'Standard values'!$D$11+K59*'Standard values'!$D$12</f>
        <v>0</v>
      </c>
      <c r="M59" s="379"/>
      <c r="N59" s="562">
        <f>+L59/$E$43</f>
        <v>0</v>
      </c>
      <c r="O59" s="379"/>
    </row>
    <row r="60" spans="1:15" x14ac:dyDescent="0.2">
      <c r="A60" s="503"/>
      <c r="B60" s="580" t="s">
        <v>801</v>
      </c>
      <c r="C60" s="573"/>
      <c r="D60" s="568"/>
      <c r="E60" s="567"/>
      <c r="F60" s="568"/>
      <c r="G60" s="568"/>
      <c r="H60" s="568"/>
      <c r="I60" s="574"/>
      <c r="J60" s="574"/>
      <c r="K60" s="574"/>
      <c r="L60" s="575"/>
      <c r="M60" s="379"/>
      <c r="N60" s="562"/>
      <c r="O60" s="379"/>
    </row>
    <row r="61" spans="1:15" ht="14.25" x14ac:dyDescent="0.25">
      <c r="A61" s="503"/>
      <c r="B61" s="577" t="s">
        <v>348</v>
      </c>
      <c r="C61" s="536">
        <v>0.5</v>
      </c>
      <c r="D61" s="568" t="s">
        <v>419</v>
      </c>
      <c r="E61" s="567"/>
      <c r="F61" s="568"/>
      <c r="G61" s="568"/>
      <c r="H61" s="568"/>
      <c r="I61" s="574"/>
      <c r="J61" s="581"/>
      <c r="K61" s="581"/>
      <c r="L61" s="575"/>
      <c r="M61" s="379"/>
      <c r="N61" s="562"/>
      <c r="O61" s="379"/>
    </row>
    <row r="62" spans="1:15" ht="15.75" x14ac:dyDescent="0.3">
      <c r="A62" s="503"/>
      <c r="B62" s="577" t="s">
        <v>774</v>
      </c>
      <c r="C62" s="573">
        <f>C61*C50</f>
        <v>7.4999999999999997E-2</v>
      </c>
      <c r="D62" s="568" t="s">
        <v>254</v>
      </c>
      <c r="E62" s="567" t="s">
        <v>776</v>
      </c>
      <c r="F62" s="568"/>
      <c r="G62" s="568"/>
      <c r="H62" s="568"/>
      <c r="I62" s="574"/>
      <c r="J62" s="581"/>
      <c r="K62" s="581"/>
      <c r="L62" s="575"/>
      <c r="M62" s="379"/>
      <c r="N62" s="562"/>
      <c r="O62" s="379"/>
    </row>
    <row r="63" spans="1:15" ht="27" x14ac:dyDescent="0.3">
      <c r="A63" s="503"/>
      <c r="B63" s="579" t="s">
        <v>775</v>
      </c>
      <c r="C63" s="573">
        <f>C49-C62</f>
        <v>-3.2000000000000001E-2</v>
      </c>
      <c r="D63" s="568" t="s">
        <v>254</v>
      </c>
      <c r="E63" s="567"/>
      <c r="F63" s="568"/>
      <c r="G63" s="568"/>
      <c r="H63" s="568"/>
      <c r="I63" s="574"/>
      <c r="J63" s="581"/>
      <c r="K63" s="581"/>
      <c r="L63" s="575"/>
      <c r="M63" s="379"/>
      <c r="N63" s="562"/>
      <c r="O63" s="379"/>
    </row>
    <row r="64" spans="1:15" ht="15.75" x14ac:dyDescent="0.3">
      <c r="A64" s="503"/>
      <c r="B64" s="577" t="str">
        <f>IF(C63&gt;0, "Electricity EU mix LV", "Electricity surplus from CHP")</f>
        <v>Electricity surplus from CHP</v>
      </c>
      <c r="C64" s="573">
        <f>ABS(C49-C62)</f>
        <v>3.2000000000000001E-2</v>
      </c>
      <c r="D64" s="568" t="s">
        <v>254</v>
      </c>
      <c r="E64" s="567" t="str">
        <f>IF(C63&gt;0, "Electricity use in biogas plant larger than generation", "Surplus electricity.")</f>
        <v>Surplus electricity.</v>
      </c>
      <c r="F64" s="568"/>
      <c r="G64" s="568"/>
      <c r="H64" s="568"/>
      <c r="I64" s="574">
        <f>$C64*$C$41*$C$44*VLOOKUP($B64,'Standard values'!$C$9:$S$162,7, FALSE)/$E$132</f>
        <v>0</v>
      </c>
      <c r="J64" s="574">
        <f>$C64*$C$41*$C$44*VLOOKUP($B64,'Standard values'!$C$9:$S$162,8, FALSE)/$E$132</f>
        <v>0</v>
      </c>
      <c r="K64" s="574">
        <f>$C64*$C$41*$C$44*VLOOKUP($B64,'Standard values'!$C$9:$S$162,9, FALSE)/$E$132</f>
        <v>0</v>
      </c>
      <c r="L64" s="575">
        <f>I64*'Standard values'!$D$10+J64*'Standard values'!$D$11+K64*'Standard values'!$D$12</f>
        <v>0</v>
      </c>
      <c r="M64" s="379"/>
      <c r="N64" s="562">
        <f>+L64/$E$43</f>
        <v>0</v>
      </c>
      <c r="O64" s="379"/>
    </row>
    <row r="65" spans="1:15" x14ac:dyDescent="0.2">
      <c r="A65" s="503"/>
      <c r="B65" s="582"/>
      <c r="C65" s="573"/>
      <c r="D65" s="568"/>
      <c r="E65" s="567" t="str">
        <f>IF(C63&gt;0, "   in NG CHP. Therefore calculated as EU Mix LV", " No credit for surplus electricity from CHP")</f>
        <v xml:space="preserve"> No credit for surplus electricity from CHP</v>
      </c>
      <c r="F65" s="568"/>
      <c r="G65" s="568"/>
      <c r="H65" s="568"/>
      <c r="I65" s="574"/>
      <c r="J65" s="574"/>
      <c r="K65" s="574"/>
      <c r="L65" s="575"/>
      <c r="M65" s="379"/>
      <c r="N65" s="562"/>
      <c r="O65" s="379"/>
    </row>
    <row r="66" spans="1:15" x14ac:dyDescent="0.2">
      <c r="A66" s="503"/>
      <c r="B66" s="511"/>
      <c r="C66" s="495"/>
      <c r="D66" s="495"/>
      <c r="E66" s="503"/>
      <c r="F66" s="495"/>
      <c r="G66" s="495"/>
      <c r="H66" s="514"/>
      <c r="I66" s="583"/>
      <c r="J66" s="583"/>
      <c r="K66" s="583"/>
      <c r="L66" s="516"/>
      <c r="M66" s="379"/>
      <c r="N66" s="584"/>
      <c r="O66" s="379"/>
    </row>
    <row r="67" spans="1:15" x14ac:dyDescent="0.2">
      <c r="A67" s="503"/>
      <c r="B67" s="511" t="s">
        <v>900</v>
      </c>
      <c r="C67" s="495"/>
      <c r="D67" s="495"/>
      <c r="E67" s="503"/>
      <c r="F67" s="495"/>
      <c r="G67" s="495"/>
      <c r="H67" s="514"/>
      <c r="I67" s="583"/>
      <c r="J67" s="583"/>
      <c r="K67" s="583"/>
      <c r="L67" s="516"/>
      <c r="M67" s="379"/>
      <c r="N67" s="584"/>
      <c r="O67" s="379"/>
    </row>
    <row r="68" spans="1:15" ht="15.75" x14ac:dyDescent="0.3">
      <c r="A68" s="503"/>
      <c r="B68" s="495" t="s">
        <v>901</v>
      </c>
      <c r="C68" s="555">
        <f>0.01</f>
        <v>0.01</v>
      </c>
      <c r="D68" s="495" t="s">
        <v>254</v>
      </c>
      <c r="E68" s="503"/>
      <c r="F68" s="495"/>
      <c r="G68" s="495"/>
      <c r="H68" s="514"/>
      <c r="I68" s="583"/>
      <c r="J68" s="544">
        <f>$C68*$C$41*$C$44*1000/VLOOKUP($B68,'Standard values'!$C$9:$S$162,14, FALSE)/$E$132</f>
        <v>0.3847619047619048</v>
      </c>
      <c r="K68" s="495"/>
      <c r="L68" s="561">
        <f>I68*'Standard values'!$D$10+J68*'Standard values'!$D$11+K68*'Standard values'!$D$12</f>
        <v>9.6190476190476204</v>
      </c>
      <c r="M68" s="379"/>
      <c r="N68" s="562">
        <f>+L68/$E$43</f>
        <v>9.5238095238095255</v>
      </c>
      <c r="O68" s="379"/>
    </row>
    <row r="69" spans="1:15" x14ac:dyDescent="0.2">
      <c r="A69" s="503"/>
      <c r="B69" s="511"/>
      <c r="C69" s="495"/>
      <c r="D69" s="495"/>
      <c r="E69" s="503"/>
      <c r="F69" s="495"/>
      <c r="G69" s="495"/>
      <c r="H69" s="514" t="s">
        <v>1047</v>
      </c>
      <c r="I69" s="583">
        <f>SUM(I46:I68)</f>
        <v>0</v>
      </c>
      <c r="J69" s="583">
        <f>SUM(J46:J68)</f>
        <v>0.40015238095238098</v>
      </c>
      <c r="K69" s="583">
        <f>SUM(K46:K68)</f>
        <v>0</v>
      </c>
      <c r="L69" s="516">
        <f>I69*'Standard values'!$D$10+J69*'Standard values'!$D$11+K69*'Standard values'!$D$12</f>
        <v>10.003809523809524</v>
      </c>
      <c r="M69" s="379"/>
      <c r="N69" s="545">
        <f>+L69/$E$43</f>
        <v>9.9047619047619051</v>
      </c>
      <c r="O69" s="379"/>
    </row>
    <row r="70" spans="1:15" x14ac:dyDescent="0.2">
      <c r="A70" s="503"/>
      <c r="B70" s="511"/>
      <c r="C70" s="495"/>
      <c r="D70" s="495"/>
      <c r="E70" s="503"/>
      <c r="F70" s="495"/>
      <c r="G70" s="495"/>
      <c r="H70" s="514"/>
      <c r="I70" s="583"/>
      <c r="J70" s="583"/>
      <c r="K70" s="583"/>
      <c r="L70" s="516"/>
      <c r="M70" s="379"/>
      <c r="N70" s="390"/>
      <c r="O70" s="379"/>
    </row>
    <row r="71" spans="1:15" ht="14.25" x14ac:dyDescent="0.25">
      <c r="A71" s="519"/>
      <c r="B71" s="520"/>
      <c r="C71" s="520"/>
      <c r="D71" s="520"/>
      <c r="E71" s="519"/>
      <c r="F71" s="521"/>
      <c r="G71" s="521"/>
      <c r="H71" s="521" t="s">
        <v>534</v>
      </c>
      <c r="I71" s="520"/>
      <c r="J71" s="523" t="s">
        <v>175</v>
      </c>
      <c r="K71" s="549"/>
      <c r="L71" s="525">
        <f>L69</f>
        <v>10.003809523809524</v>
      </c>
      <c r="M71" s="379"/>
      <c r="N71" s="390"/>
      <c r="O71" s="379"/>
    </row>
    <row r="72" spans="1:15" x14ac:dyDescent="0.2">
      <c r="A72" s="390"/>
      <c r="B72" s="390"/>
      <c r="C72" s="390"/>
      <c r="D72" s="390"/>
      <c r="E72" s="390"/>
      <c r="F72" s="376"/>
      <c r="G72" s="376"/>
      <c r="H72" s="376"/>
      <c r="I72" s="390"/>
      <c r="J72" s="550"/>
      <c r="K72" s="551"/>
      <c r="L72" s="585"/>
      <c r="M72" s="379"/>
      <c r="N72" s="390"/>
      <c r="O72" s="390"/>
    </row>
    <row r="73" spans="1:15" x14ac:dyDescent="0.2">
      <c r="A73" s="390"/>
      <c r="B73" s="390"/>
      <c r="C73" s="390"/>
      <c r="D73" s="379"/>
      <c r="E73" s="379"/>
      <c r="F73" s="551"/>
      <c r="G73" s="551"/>
      <c r="H73" s="437"/>
      <c r="I73" s="378"/>
      <c r="J73" s="379"/>
      <c r="K73" s="379"/>
      <c r="L73" s="586"/>
      <c r="M73" s="379"/>
      <c r="N73" s="379"/>
      <c r="O73" s="379"/>
    </row>
    <row r="74" spans="1:15" ht="18.75" x14ac:dyDescent="0.35">
      <c r="A74" s="530" t="s">
        <v>336</v>
      </c>
      <c r="B74" s="532" t="s">
        <v>758</v>
      </c>
      <c r="C74" s="531"/>
      <c r="D74" s="531"/>
      <c r="E74" s="530" t="s">
        <v>513</v>
      </c>
      <c r="F74" s="532"/>
      <c r="G74" s="532"/>
      <c r="H74" s="531"/>
      <c r="I74" s="532" t="s">
        <v>532</v>
      </c>
      <c r="J74" s="533"/>
      <c r="K74" s="533"/>
      <c r="L74" s="534"/>
      <c r="M74" s="379"/>
      <c r="N74" s="535" t="s">
        <v>162</v>
      </c>
      <c r="O74" s="390"/>
    </row>
    <row r="75" spans="1:15" ht="14.25" x14ac:dyDescent="0.25">
      <c r="A75" s="587"/>
      <c r="B75" s="511" t="s">
        <v>524</v>
      </c>
      <c r="C75" s="511"/>
      <c r="D75" s="495"/>
      <c r="E75" s="588"/>
      <c r="F75" s="495"/>
      <c r="G75" s="495"/>
      <c r="H75" s="495"/>
      <c r="I75" s="492" t="s">
        <v>899</v>
      </c>
      <c r="J75" s="514"/>
      <c r="K75" s="514"/>
      <c r="L75" s="537"/>
      <c r="M75" s="379"/>
      <c r="N75" s="554" t="s">
        <v>577</v>
      </c>
      <c r="O75" s="390"/>
    </row>
    <row r="76" spans="1:15" ht="15.75" x14ac:dyDescent="0.3">
      <c r="A76" s="587"/>
      <c r="B76" s="495" t="s">
        <v>256</v>
      </c>
      <c r="C76" s="536">
        <f>1/1.01</f>
        <v>0.99009900990099009</v>
      </c>
      <c r="D76" s="495" t="s">
        <v>257</v>
      </c>
      <c r="E76" s="589">
        <f>C76*E42</f>
        <v>0.50939575267900572</v>
      </c>
      <c r="F76" s="495" t="s">
        <v>902</v>
      </c>
      <c r="G76" s="495"/>
      <c r="H76" s="495"/>
      <c r="I76" s="539" t="s">
        <v>1053</v>
      </c>
      <c r="J76" s="539" t="s">
        <v>1054</v>
      </c>
      <c r="K76" s="539" t="s">
        <v>1055</v>
      </c>
      <c r="L76" s="540" t="s">
        <v>1056</v>
      </c>
      <c r="M76" s="379"/>
      <c r="N76" s="540" t="s">
        <v>1056</v>
      </c>
      <c r="O76" s="390"/>
    </row>
    <row r="77" spans="1:15" ht="15.75" x14ac:dyDescent="0.3">
      <c r="A77" s="587"/>
      <c r="B77" s="495"/>
      <c r="C77" s="512"/>
      <c r="D77" s="495"/>
      <c r="E77" s="505">
        <f>E76/$E$132</f>
        <v>1</v>
      </c>
      <c r="F77" s="495" t="s">
        <v>578</v>
      </c>
      <c r="G77" s="495"/>
      <c r="H77" s="495"/>
      <c r="I77" s="495"/>
      <c r="J77" s="495"/>
      <c r="K77" s="495"/>
      <c r="L77" s="541"/>
      <c r="M77" s="379"/>
      <c r="N77" s="541"/>
      <c r="O77" s="390"/>
    </row>
    <row r="78" spans="1:15" x14ac:dyDescent="0.2">
      <c r="A78" s="503"/>
      <c r="B78" s="506" t="s">
        <v>579</v>
      </c>
      <c r="C78" s="556">
        <v>1.4</v>
      </c>
      <c r="D78" s="495"/>
      <c r="E78" s="505"/>
      <c r="F78" s="499"/>
      <c r="G78" s="499"/>
      <c r="H78" s="495"/>
      <c r="I78" s="539"/>
      <c r="J78" s="539"/>
      <c r="K78" s="539"/>
      <c r="L78" s="540"/>
      <c r="M78" s="379"/>
      <c r="N78" s="540"/>
      <c r="O78" s="390"/>
    </row>
    <row r="79" spans="1:15" x14ac:dyDescent="0.2">
      <c r="A79" s="587"/>
      <c r="B79" s="495"/>
      <c r="C79" s="512"/>
      <c r="D79" s="495"/>
      <c r="E79" s="505"/>
      <c r="F79" s="495"/>
      <c r="G79" s="495"/>
      <c r="H79" s="495"/>
      <c r="I79" s="495"/>
      <c r="J79" s="495"/>
      <c r="K79" s="495"/>
      <c r="L79" s="541"/>
      <c r="M79" s="379"/>
      <c r="N79" s="541"/>
      <c r="O79" s="390"/>
    </row>
    <row r="80" spans="1:15" x14ac:dyDescent="0.2">
      <c r="A80" s="503"/>
      <c r="B80" s="511" t="s">
        <v>525</v>
      </c>
      <c r="C80" s="512"/>
      <c r="D80" s="495"/>
      <c r="E80" s="503"/>
      <c r="F80" s="495"/>
      <c r="G80" s="495"/>
      <c r="H80" s="495"/>
      <c r="I80" s="495"/>
      <c r="J80" s="495"/>
      <c r="K80" s="495"/>
      <c r="L80" s="541"/>
      <c r="M80" s="379"/>
      <c r="N80" s="541"/>
      <c r="O80" s="390"/>
    </row>
    <row r="81" spans="1:15" ht="15.75" x14ac:dyDescent="0.3">
      <c r="A81" s="503"/>
      <c r="B81" s="1301" t="s">
        <v>49</v>
      </c>
      <c r="C81" s="536">
        <v>0.03</v>
      </c>
      <c r="D81" s="495" t="s">
        <v>258</v>
      </c>
      <c r="E81" s="503"/>
      <c r="F81" s="495"/>
      <c r="G81" s="495"/>
      <c r="H81" s="495"/>
      <c r="I81" s="544">
        <f>$C78*$C81*$E$76*VLOOKUP($B81,'Standard values'!$C$9:$S$162,7, FALSE)/$E$132</f>
        <v>5.0733689999999987</v>
      </c>
      <c r="J81" s="544">
        <f>$C78*$C81*$E$76*VLOOKUP($B81,'Standard values'!$C$9:$S$162,8, FALSE)/$E$132</f>
        <v>1.2372499999999998E-2</v>
      </c>
      <c r="K81" s="544">
        <f>$C78*$C81*$E$76*VLOOKUP($B81,'Standard values'!$C$9:$S$162,9, FALSE)/$E$132</f>
        <v>2.2983333333333327E-4</v>
      </c>
      <c r="L81" s="516">
        <f>I81*'Standard values'!$D$10+J81*'Standard values'!$D$11+K81*'Standard values'!$D$12</f>
        <v>5.4511718333333317</v>
      </c>
      <c r="M81" s="379"/>
      <c r="N81" s="562">
        <f>L81/$E$77</f>
        <v>5.4511718333333317</v>
      </c>
      <c r="O81" s="390"/>
    </row>
    <row r="82" spans="1:15" x14ac:dyDescent="0.2">
      <c r="A82" s="590"/>
      <c r="B82" s="495"/>
      <c r="C82" s="492"/>
      <c r="D82" s="495"/>
      <c r="E82" s="503"/>
      <c r="F82" s="495"/>
      <c r="G82" s="495"/>
      <c r="H82" s="495"/>
      <c r="I82" s="495"/>
      <c r="J82" s="495"/>
      <c r="K82" s="495"/>
      <c r="L82" s="516"/>
      <c r="M82" s="379"/>
      <c r="N82" s="541"/>
      <c r="O82" s="390"/>
    </row>
    <row r="83" spans="1:15" x14ac:dyDescent="0.2">
      <c r="A83" s="590"/>
      <c r="B83" s="511" t="s">
        <v>900</v>
      </c>
      <c r="C83" s="492"/>
      <c r="D83" s="495"/>
      <c r="E83" s="503"/>
      <c r="F83" s="495"/>
      <c r="G83" s="495"/>
      <c r="H83" s="495"/>
      <c r="I83" s="495"/>
      <c r="J83" s="495"/>
      <c r="K83" s="495"/>
      <c r="L83" s="516"/>
      <c r="M83" s="379"/>
      <c r="N83" s="541"/>
      <c r="O83" s="390"/>
    </row>
    <row r="84" spans="1:15" ht="15.75" x14ac:dyDescent="0.3">
      <c r="A84" s="590"/>
      <c r="B84" s="495" t="s">
        <v>901</v>
      </c>
      <c r="C84" s="555">
        <v>0.01</v>
      </c>
      <c r="D84" s="495" t="s">
        <v>258</v>
      </c>
      <c r="E84" s="503"/>
      <c r="F84" s="495"/>
      <c r="G84" s="495"/>
      <c r="H84" s="495"/>
      <c r="I84" s="495"/>
      <c r="J84" s="544">
        <f>$C78*$C84*$E$76*1000/VLOOKUP($B84,'Standard values'!$C$9:$S$162,14, FALSE)/$E$132</f>
        <v>0.27999999999999992</v>
      </c>
      <c r="K84" s="495"/>
      <c r="L84" s="516">
        <f>I84*'Standard values'!$D$10+J84*'Standard values'!$D$11+K84*'Standard values'!$D$12</f>
        <v>6.9999999999999982</v>
      </c>
      <c r="M84" s="379"/>
      <c r="N84" s="562">
        <f>L84/$E$77</f>
        <v>6.9999999999999982</v>
      </c>
      <c r="O84" s="390"/>
    </row>
    <row r="85" spans="1:15" x14ac:dyDescent="0.2">
      <c r="A85" s="590"/>
      <c r="B85" s="495"/>
      <c r="C85" s="492"/>
      <c r="D85" s="495"/>
      <c r="E85" s="503"/>
      <c r="F85" s="495"/>
      <c r="G85" s="495"/>
      <c r="H85" s="495"/>
      <c r="I85" s="495"/>
      <c r="J85" s="495"/>
      <c r="K85" s="495"/>
      <c r="L85" s="541"/>
      <c r="M85" s="379"/>
      <c r="N85" s="541"/>
      <c r="O85" s="390"/>
    </row>
    <row r="86" spans="1:15" ht="14.25" x14ac:dyDescent="0.25">
      <c r="A86" s="519"/>
      <c r="B86" s="520"/>
      <c r="C86" s="520"/>
      <c r="D86" s="520"/>
      <c r="E86" s="519"/>
      <c r="F86" s="521"/>
      <c r="G86" s="521"/>
      <c r="H86" s="521" t="s">
        <v>534</v>
      </c>
      <c r="I86" s="520"/>
      <c r="J86" s="523" t="s">
        <v>175</v>
      </c>
      <c r="K86" s="549"/>
      <c r="L86" s="525">
        <f>L81+L84</f>
        <v>12.45117183333333</v>
      </c>
      <c r="M86" s="379"/>
      <c r="N86" s="545">
        <f>+L86/$E$77</f>
        <v>12.45117183333333</v>
      </c>
      <c r="O86" s="390"/>
    </row>
    <row r="87" spans="1:15" x14ac:dyDescent="0.2">
      <c r="A87" s="390"/>
      <c r="B87" s="390"/>
      <c r="C87" s="390"/>
      <c r="D87" s="379"/>
      <c r="E87" s="379"/>
      <c r="F87" s="551"/>
      <c r="G87" s="551"/>
      <c r="H87" s="437"/>
      <c r="I87" s="378"/>
      <c r="J87" s="379"/>
      <c r="K87" s="379"/>
      <c r="L87" s="586"/>
      <c r="M87" s="379"/>
      <c r="N87" s="379"/>
      <c r="O87" s="379"/>
    </row>
    <row r="88" spans="1:15" x14ac:dyDescent="0.2">
      <c r="A88" s="375"/>
      <c r="B88" s="585"/>
      <c r="C88" s="386"/>
      <c r="D88" s="390"/>
      <c r="E88" s="379"/>
      <c r="F88" s="379"/>
      <c r="G88" s="379"/>
      <c r="H88" s="379"/>
      <c r="I88" s="379"/>
      <c r="J88" s="591"/>
      <c r="K88" s="379"/>
      <c r="L88" s="379"/>
      <c r="M88" s="379"/>
      <c r="N88" s="379"/>
      <c r="O88" s="379"/>
    </row>
    <row r="89" spans="1:15" ht="18.75" x14ac:dyDescent="0.35">
      <c r="A89" s="530" t="s">
        <v>337</v>
      </c>
      <c r="B89" s="532" t="s">
        <v>333</v>
      </c>
      <c r="C89" s="531"/>
      <c r="D89" s="531"/>
      <c r="E89" s="530" t="s">
        <v>513</v>
      </c>
      <c r="F89" s="532"/>
      <c r="G89" s="532"/>
      <c r="H89" s="531"/>
      <c r="I89" s="532" t="s">
        <v>532</v>
      </c>
      <c r="J89" s="533"/>
      <c r="K89" s="533"/>
      <c r="L89" s="534"/>
      <c r="M89" s="379"/>
      <c r="N89" s="535" t="s">
        <v>162</v>
      </c>
      <c r="O89" s="379"/>
    </row>
    <row r="90" spans="1:15" ht="15.75" x14ac:dyDescent="0.3">
      <c r="A90" s="503"/>
      <c r="B90" s="511" t="s">
        <v>901</v>
      </c>
      <c r="C90" s="593">
        <v>1</v>
      </c>
      <c r="D90" s="495" t="s">
        <v>332</v>
      </c>
      <c r="E90" s="505">
        <f>E76*C90</f>
        <v>0.50939575267900572</v>
      </c>
      <c r="F90" s="495" t="s">
        <v>902</v>
      </c>
      <c r="G90" s="495"/>
      <c r="H90" s="594"/>
      <c r="I90" s="492" t="s">
        <v>899</v>
      </c>
      <c r="J90" s="514"/>
      <c r="K90" s="514"/>
      <c r="L90" s="537"/>
      <c r="M90" s="379"/>
      <c r="N90" s="554" t="s">
        <v>577</v>
      </c>
      <c r="O90" s="379"/>
    </row>
    <row r="91" spans="1:15" ht="15.75" x14ac:dyDescent="0.3">
      <c r="A91" s="503"/>
      <c r="B91" s="495"/>
      <c r="C91" s="495"/>
      <c r="D91" s="495"/>
      <c r="E91" s="513"/>
      <c r="F91" s="506"/>
      <c r="G91" s="506"/>
      <c r="H91" s="594"/>
      <c r="I91" s="539" t="s">
        <v>1053</v>
      </c>
      <c r="J91" s="539" t="s">
        <v>1054</v>
      </c>
      <c r="K91" s="539" t="s">
        <v>1055</v>
      </c>
      <c r="L91" s="540" t="s">
        <v>1056</v>
      </c>
      <c r="M91" s="379"/>
      <c r="N91" s="540" t="s">
        <v>1056</v>
      </c>
      <c r="O91" s="379"/>
    </row>
    <row r="92" spans="1:15" x14ac:dyDescent="0.2">
      <c r="A92" s="503"/>
      <c r="B92" s="511" t="s">
        <v>498</v>
      </c>
      <c r="C92" s="495"/>
      <c r="D92" s="495"/>
      <c r="E92" s="513"/>
      <c r="F92" s="495"/>
      <c r="G92" s="495"/>
      <c r="H92" s="495"/>
      <c r="I92" s="495"/>
      <c r="J92" s="495"/>
      <c r="K92" s="495"/>
      <c r="L92" s="541"/>
      <c r="M92" s="379"/>
      <c r="N92" s="541"/>
      <c r="O92" s="379"/>
    </row>
    <row r="93" spans="1:15" ht="15.75" x14ac:dyDescent="0.3">
      <c r="A93" s="503"/>
      <c r="B93" s="495" t="s">
        <v>42</v>
      </c>
      <c r="C93" s="595">
        <v>10</v>
      </c>
      <c r="D93" s="495" t="s">
        <v>510</v>
      </c>
      <c r="E93" s="543">
        <f>(C93*E90/VLOOKUP($B90,'Standard values'!$C$9:$S$162,14, FALSE))/1000</f>
        <v>1.0187915053580116E-4</v>
      </c>
      <c r="F93" s="495" t="s">
        <v>760</v>
      </c>
      <c r="G93" s="495"/>
      <c r="H93" s="495"/>
      <c r="I93" s="544">
        <f>$E93*VLOOKUP($B93,'Standard values'!$C$9:$S$162,15, FALSE)/$E$132</f>
        <v>0</v>
      </c>
      <c r="J93" s="544">
        <f>$E93*((VLOOKUP($B93,'Standard values'!$C$9:$S$162,15, FALSE))+VLOOKUP($B93,'Standard values'!$C$9:$S$162,16, FALSE))/$E$132</f>
        <v>0</v>
      </c>
      <c r="K93" s="544">
        <f>$E93*((VLOOKUP($B93,'Standard values'!$C$9:$S$162,15, FALSE))+VLOOKUP($B93,'Standard values'!$C$9:$S$162,17, FALSE))/$E$132</f>
        <v>0</v>
      </c>
      <c r="L93" s="516">
        <f>I93*'Standard values'!$D$10+J93*'Standard values'!$D$11+K93*'Standard values'!$D$12</f>
        <v>0</v>
      </c>
      <c r="M93" s="379"/>
      <c r="N93" s="562">
        <f>+L93/E$33</f>
        <v>0</v>
      </c>
      <c r="O93" s="379"/>
    </row>
    <row r="94" spans="1:15" x14ac:dyDescent="0.2">
      <c r="A94" s="503"/>
      <c r="B94" s="546"/>
      <c r="C94" s="546"/>
      <c r="D94" s="495"/>
      <c r="E94" s="503"/>
      <c r="F94" s="495"/>
      <c r="G94" s="495"/>
      <c r="H94" s="495"/>
      <c r="I94" s="544"/>
      <c r="J94" s="544"/>
      <c r="K94" s="544"/>
      <c r="L94" s="516"/>
      <c r="M94" s="379"/>
      <c r="N94" s="562"/>
      <c r="O94" s="379"/>
    </row>
    <row r="95" spans="1:15" ht="14.25" x14ac:dyDescent="0.25">
      <c r="A95" s="519"/>
      <c r="B95" s="520"/>
      <c r="C95" s="520"/>
      <c r="D95" s="520"/>
      <c r="E95" s="519"/>
      <c r="F95" s="521"/>
      <c r="G95" s="521"/>
      <c r="H95" s="521" t="s">
        <v>534</v>
      </c>
      <c r="I95" s="520"/>
      <c r="J95" s="523" t="s">
        <v>175</v>
      </c>
      <c r="K95" s="549"/>
      <c r="L95" s="525">
        <f>L93</f>
        <v>0</v>
      </c>
      <c r="M95" s="379"/>
      <c r="N95" s="545">
        <f>+L95/$E$77</f>
        <v>0</v>
      </c>
      <c r="O95" s="379"/>
    </row>
    <row r="96" spans="1:15" x14ac:dyDescent="0.2">
      <c r="A96" s="390"/>
      <c r="B96" s="390"/>
      <c r="C96" s="390"/>
      <c r="D96" s="390"/>
      <c r="E96" s="390"/>
      <c r="F96" s="376"/>
      <c r="G96" s="376"/>
      <c r="H96" s="376"/>
      <c r="I96" s="390"/>
      <c r="J96" s="550"/>
      <c r="K96" s="551"/>
      <c r="L96" s="552"/>
      <c r="M96" s="379"/>
      <c r="N96" s="390"/>
      <c r="O96" s="379"/>
    </row>
    <row r="97" spans="1:15" x14ac:dyDescent="0.2">
      <c r="A97" s="390"/>
      <c r="B97" s="390"/>
      <c r="C97" s="390"/>
      <c r="D97" s="390"/>
      <c r="E97" s="390"/>
      <c r="F97" s="376"/>
      <c r="G97" s="376"/>
      <c r="H97" s="376"/>
      <c r="I97" s="390"/>
      <c r="J97" s="550"/>
      <c r="K97" s="551"/>
      <c r="L97" s="552"/>
      <c r="M97" s="379"/>
      <c r="N97" s="379"/>
      <c r="O97" s="379"/>
    </row>
    <row r="98" spans="1:15" ht="15.75" x14ac:dyDescent="0.25">
      <c r="A98" s="530" t="s">
        <v>334</v>
      </c>
      <c r="B98" s="531"/>
      <c r="C98" s="531"/>
      <c r="D98" s="531"/>
      <c r="E98" s="530" t="s">
        <v>513</v>
      </c>
      <c r="F98" s="531"/>
      <c r="G98" s="531"/>
      <c r="H98" s="531"/>
      <c r="I98" s="531"/>
      <c r="J98" s="531"/>
      <c r="K98" s="531"/>
      <c r="L98" s="596"/>
      <c r="M98" s="379"/>
      <c r="N98" s="485"/>
      <c r="O98" s="379"/>
    </row>
    <row r="99" spans="1:15" ht="15.75" x14ac:dyDescent="0.3">
      <c r="A99" s="503"/>
      <c r="B99" s="511" t="s">
        <v>524</v>
      </c>
      <c r="C99" s="593">
        <v>1</v>
      </c>
      <c r="D99" s="495" t="s">
        <v>335</v>
      </c>
      <c r="E99" s="510">
        <f>E90*C99</f>
        <v>0.50939575267900572</v>
      </c>
      <c r="F99" s="495" t="s">
        <v>1095</v>
      </c>
      <c r="G99" s="495"/>
      <c r="H99" s="495"/>
      <c r="I99" s="492" t="s">
        <v>899</v>
      </c>
      <c r="J99" s="514"/>
      <c r="K99" s="514"/>
      <c r="L99" s="537"/>
      <c r="M99" s="379"/>
      <c r="N99" s="378"/>
      <c r="O99" s="379"/>
    </row>
    <row r="100" spans="1:15" ht="15.75" x14ac:dyDescent="0.3">
      <c r="A100" s="503"/>
      <c r="B100" s="495"/>
      <c r="C100" s="495"/>
      <c r="D100" s="495"/>
      <c r="E100" s="505"/>
      <c r="F100" s="506"/>
      <c r="G100" s="506"/>
      <c r="H100" s="495"/>
      <c r="I100" s="539" t="s">
        <v>1053</v>
      </c>
      <c r="J100" s="539" t="s">
        <v>1054</v>
      </c>
      <c r="K100" s="539" t="s">
        <v>1055</v>
      </c>
      <c r="L100" s="540" t="s">
        <v>1056</v>
      </c>
      <c r="M100" s="379"/>
      <c r="N100" s="502"/>
      <c r="O100" s="379"/>
    </row>
    <row r="101" spans="1:15" x14ac:dyDescent="0.2">
      <c r="A101" s="503"/>
      <c r="B101" s="511" t="s">
        <v>441</v>
      </c>
      <c r="C101" s="495"/>
      <c r="D101" s="495"/>
      <c r="E101" s="503"/>
      <c r="F101" s="495"/>
      <c r="G101" s="495"/>
      <c r="H101" s="495"/>
      <c r="I101" s="544"/>
      <c r="J101" s="544"/>
      <c r="K101" s="544"/>
      <c r="L101" s="561"/>
      <c r="M101" s="379"/>
      <c r="N101" s="379"/>
      <c r="O101" s="379"/>
    </row>
    <row r="102" spans="1:15" ht="15.75" x14ac:dyDescent="0.3">
      <c r="A102" s="503"/>
      <c r="B102" s="1301" t="s">
        <v>49</v>
      </c>
      <c r="C102" s="542">
        <v>2.1999999999999999E-2</v>
      </c>
      <c r="D102" s="495" t="s">
        <v>401</v>
      </c>
      <c r="E102" s="503"/>
      <c r="F102" s="495"/>
      <c r="G102" s="495"/>
      <c r="H102" s="495"/>
      <c r="I102" s="544">
        <f>$C102*$E$99*VLOOKUP($B102,'Standard values'!$C$9:$S$162,7, FALSE)/$E$132</f>
        <v>2.6574789999999999</v>
      </c>
      <c r="J102" s="544">
        <f>$C102*$E$99*VLOOKUP($B102,'Standard values'!$C$9:$S$162,8, FALSE)/$E$132</f>
        <v>6.4808333333333324E-3</v>
      </c>
      <c r="K102" s="544">
        <f>$C102*$E$99*VLOOKUP($B102,'Standard values'!$C$9:$S$162,9, FALSE)/$E$132</f>
        <v>1.2038888888888889E-4</v>
      </c>
      <c r="L102" s="516">
        <f>I102*'Standard values'!$D$10+J102*'Standard values'!$D$11+K102*'Standard values'!$D$12</f>
        <v>2.8553757222222225</v>
      </c>
      <c r="M102" s="379"/>
      <c r="N102" s="517"/>
      <c r="O102" s="379"/>
    </row>
    <row r="103" spans="1:15" ht="14.25" x14ac:dyDescent="0.25">
      <c r="A103" s="519"/>
      <c r="B103" s="520"/>
      <c r="C103" s="520"/>
      <c r="D103" s="520"/>
      <c r="E103" s="519"/>
      <c r="F103" s="521"/>
      <c r="G103" s="521"/>
      <c r="H103" s="521" t="s">
        <v>534</v>
      </c>
      <c r="I103" s="520"/>
      <c r="J103" s="523" t="s">
        <v>175</v>
      </c>
      <c r="K103" s="549"/>
      <c r="L103" s="525">
        <f>L102</f>
        <v>2.8553757222222225</v>
      </c>
      <c r="M103" s="379"/>
      <c r="N103" s="379"/>
      <c r="O103" s="379"/>
    </row>
    <row r="104" spans="1:15" x14ac:dyDescent="0.2">
      <c r="A104" s="390"/>
      <c r="B104" s="390"/>
      <c r="C104" s="390"/>
      <c r="D104" s="390"/>
      <c r="E104" s="390"/>
      <c r="F104" s="376"/>
      <c r="G104" s="376"/>
      <c r="H104" s="376"/>
      <c r="I104" s="390"/>
      <c r="J104" s="550"/>
      <c r="K104" s="551"/>
      <c r="L104" s="597"/>
      <c r="M104" s="379"/>
      <c r="N104" s="390"/>
      <c r="O104" s="379"/>
    </row>
    <row r="105" spans="1:15" x14ac:dyDescent="0.2">
      <c r="A105" s="390"/>
      <c r="B105" s="390"/>
      <c r="C105" s="390"/>
      <c r="D105" s="390"/>
      <c r="E105" s="390"/>
      <c r="F105" s="376"/>
      <c r="G105" s="376"/>
      <c r="H105" s="376"/>
      <c r="I105" s="390"/>
      <c r="J105" s="550"/>
      <c r="K105" s="551"/>
      <c r="L105" s="597"/>
      <c r="M105" s="379"/>
      <c r="N105" s="379"/>
      <c r="O105" s="379"/>
    </row>
    <row r="106" spans="1:15" ht="15.75" x14ac:dyDescent="0.25">
      <c r="A106" s="530" t="s">
        <v>546</v>
      </c>
      <c r="B106" s="598"/>
      <c r="C106" s="599"/>
      <c r="D106" s="531"/>
      <c r="E106" s="600"/>
      <c r="F106" s="531"/>
      <c r="G106" s="531"/>
      <c r="H106" s="531"/>
      <c r="I106" s="531"/>
      <c r="J106" s="531"/>
      <c r="K106" s="531"/>
      <c r="L106" s="601"/>
      <c r="M106" s="379"/>
      <c r="N106" s="379"/>
      <c r="O106" s="379"/>
    </row>
    <row r="107" spans="1:15" ht="15.75" x14ac:dyDescent="0.25">
      <c r="A107" s="602"/>
      <c r="B107" s="603" t="s">
        <v>549</v>
      </c>
      <c r="C107" s="511"/>
      <c r="D107" s="495"/>
      <c r="E107" s="503"/>
      <c r="F107" s="495"/>
      <c r="G107" s="495"/>
      <c r="H107" s="495"/>
      <c r="I107" s="492" t="s">
        <v>899</v>
      </c>
      <c r="J107" s="514"/>
      <c r="K107" s="514"/>
      <c r="L107" s="537"/>
      <c r="M107" s="379"/>
      <c r="N107" s="390"/>
      <c r="O107" s="390"/>
    </row>
    <row r="108" spans="1:15" ht="15.75" x14ac:dyDescent="0.25">
      <c r="A108" s="602"/>
      <c r="B108" s="416"/>
      <c r="C108" s="511" t="s">
        <v>352</v>
      </c>
      <c r="D108" s="495"/>
      <c r="E108" s="503"/>
      <c r="F108" s="495"/>
      <c r="G108" s="495"/>
      <c r="H108" s="495"/>
      <c r="I108" s="495"/>
      <c r="J108" s="495"/>
      <c r="K108" s="544"/>
      <c r="L108" s="516">
        <v>0</v>
      </c>
      <c r="M108" s="379"/>
      <c r="N108" s="390"/>
      <c r="O108" s="390"/>
    </row>
    <row r="109" spans="1:15" ht="14.25" x14ac:dyDescent="0.25">
      <c r="A109" s="519"/>
      <c r="B109" s="520"/>
      <c r="C109" s="520"/>
      <c r="D109" s="520"/>
      <c r="E109" s="519"/>
      <c r="F109" s="521"/>
      <c r="G109" s="521"/>
      <c r="H109" s="521" t="s">
        <v>534</v>
      </c>
      <c r="I109" s="520"/>
      <c r="J109" s="523" t="s">
        <v>175</v>
      </c>
      <c r="K109" s="549"/>
      <c r="L109" s="525">
        <f>L108</f>
        <v>0</v>
      </c>
      <c r="M109" s="379"/>
      <c r="N109" s="390"/>
      <c r="O109" s="390"/>
    </row>
    <row r="110" spans="1:15" x14ac:dyDescent="0.2">
      <c r="A110" s="390"/>
      <c r="B110" s="390"/>
      <c r="C110" s="390"/>
      <c r="D110" s="390"/>
      <c r="E110" s="390"/>
      <c r="F110" s="376"/>
      <c r="G110" s="376"/>
      <c r="H110" s="376"/>
      <c r="I110" s="390"/>
      <c r="J110" s="550"/>
      <c r="K110" s="551"/>
      <c r="L110" s="604"/>
      <c r="M110" s="379"/>
      <c r="N110" s="390"/>
      <c r="O110" s="390"/>
    </row>
    <row r="111" spans="1:15" x14ac:dyDescent="0.2">
      <c r="A111" s="390"/>
      <c r="B111" s="390"/>
      <c r="C111" s="390"/>
      <c r="D111" s="390"/>
      <c r="E111" s="390"/>
      <c r="F111" s="376"/>
      <c r="G111" s="376"/>
      <c r="H111" s="376"/>
      <c r="I111" s="390"/>
      <c r="J111" s="550"/>
      <c r="K111" s="551"/>
      <c r="L111" s="604"/>
      <c r="M111" s="379"/>
      <c r="N111" s="390"/>
      <c r="O111" s="390"/>
    </row>
    <row r="112" spans="1:15" ht="15.75" x14ac:dyDescent="0.25">
      <c r="A112" s="530" t="s">
        <v>547</v>
      </c>
      <c r="B112" s="598"/>
      <c r="C112" s="599"/>
      <c r="D112" s="531"/>
      <c r="E112" s="600"/>
      <c r="F112" s="531"/>
      <c r="G112" s="531"/>
      <c r="H112" s="531"/>
      <c r="I112" s="531"/>
      <c r="J112" s="531"/>
      <c r="K112" s="531"/>
      <c r="L112" s="601"/>
      <c r="M112" s="379"/>
      <c r="N112" s="390"/>
      <c r="O112" s="390"/>
    </row>
    <row r="113" spans="1:15" ht="15.75" x14ac:dyDescent="0.25">
      <c r="A113" s="602"/>
      <c r="B113" s="603" t="s">
        <v>549</v>
      </c>
      <c r="C113" s="511"/>
      <c r="D113" s="495"/>
      <c r="E113" s="503"/>
      <c r="F113" s="495"/>
      <c r="G113" s="495"/>
      <c r="H113" s="495"/>
      <c r="I113" s="492" t="s">
        <v>899</v>
      </c>
      <c r="J113" s="514"/>
      <c r="K113" s="514"/>
      <c r="L113" s="537"/>
      <c r="M113" s="379"/>
      <c r="N113" s="390"/>
      <c r="O113" s="390"/>
    </row>
    <row r="114" spans="1:15" ht="15.75" x14ac:dyDescent="0.25">
      <c r="A114" s="602"/>
      <c r="B114" s="416"/>
      <c r="C114" s="511" t="s">
        <v>352</v>
      </c>
      <c r="D114" s="495"/>
      <c r="E114" s="503"/>
      <c r="F114" s="495"/>
      <c r="G114" s="495"/>
      <c r="H114" s="495"/>
      <c r="I114" s="495"/>
      <c r="J114" s="495"/>
      <c r="K114" s="544"/>
      <c r="L114" s="516">
        <v>0</v>
      </c>
      <c r="M114" s="379"/>
      <c r="N114" s="390"/>
      <c r="O114" s="390"/>
    </row>
    <row r="115" spans="1:15" ht="14.25" x14ac:dyDescent="0.25">
      <c r="A115" s="519"/>
      <c r="B115" s="520"/>
      <c r="C115" s="520"/>
      <c r="D115" s="520"/>
      <c r="E115" s="519"/>
      <c r="F115" s="521"/>
      <c r="G115" s="521"/>
      <c r="H115" s="521" t="s">
        <v>534</v>
      </c>
      <c r="I115" s="520"/>
      <c r="J115" s="523" t="s">
        <v>175</v>
      </c>
      <c r="K115" s="549"/>
      <c r="L115" s="525">
        <f>L114</f>
        <v>0</v>
      </c>
      <c r="M115" s="379"/>
      <c r="N115" s="390"/>
      <c r="O115" s="390"/>
    </row>
    <row r="116" spans="1:15" x14ac:dyDescent="0.2">
      <c r="A116" s="390"/>
      <c r="B116" s="390"/>
      <c r="C116" s="390"/>
      <c r="D116" s="390"/>
      <c r="E116" s="390"/>
      <c r="F116" s="376"/>
      <c r="G116" s="376"/>
      <c r="H116" s="376"/>
      <c r="I116" s="390"/>
      <c r="J116" s="550"/>
      <c r="K116" s="551"/>
      <c r="L116" s="604"/>
      <c r="M116" s="379"/>
      <c r="N116" s="390"/>
      <c r="O116" s="390"/>
    </row>
    <row r="117" spans="1:15" x14ac:dyDescent="0.2">
      <c r="A117" s="390"/>
      <c r="B117" s="390"/>
      <c r="C117" s="390"/>
      <c r="D117" s="390"/>
      <c r="E117" s="390"/>
      <c r="F117" s="376"/>
      <c r="G117" s="376"/>
      <c r="H117" s="376"/>
      <c r="I117" s="390"/>
      <c r="J117" s="550"/>
      <c r="K117" s="551"/>
      <c r="L117" s="604"/>
      <c r="M117" s="379"/>
      <c r="N117" s="390"/>
      <c r="O117" s="390"/>
    </row>
    <row r="118" spans="1:15" ht="18.75" x14ac:dyDescent="0.35">
      <c r="A118" s="530" t="s">
        <v>168</v>
      </c>
      <c r="B118" s="598"/>
      <c r="C118" s="599"/>
      <c r="D118" s="531"/>
      <c r="E118" s="600"/>
      <c r="F118" s="531"/>
      <c r="G118" s="531"/>
      <c r="H118" s="531"/>
      <c r="I118" s="531"/>
      <c r="J118" s="531"/>
      <c r="K118" s="531"/>
      <c r="L118" s="601"/>
      <c r="M118" s="379"/>
      <c r="N118" s="390"/>
      <c r="O118" s="390"/>
    </row>
    <row r="119" spans="1:15" ht="15.75" x14ac:dyDescent="0.25">
      <c r="A119" s="602"/>
      <c r="B119" s="416" t="s">
        <v>166</v>
      </c>
      <c r="C119" s="492"/>
      <c r="D119" s="495"/>
      <c r="E119" s="503"/>
      <c r="F119" s="495"/>
      <c r="G119" s="495"/>
      <c r="H119" s="495"/>
      <c r="I119" s="492" t="s">
        <v>899</v>
      </c>
      <c r="J119" s="514"/>
      <c r="K119" s="514"/>
      <c r="L119" s="537"/>
      <c r="M119" s="379"/>
      <c r="N119" s="390"/>
      <c r="O119" s="390"/>
    </row>
    <row r="120" spans="1:15" ht="15.75" x14ac:dyDescent="0.3">
      <c r="A120" s="503"/>
      <c r="B120" s="539"/>
      <c r="C120" s="595">
        <v>0</v>
      </c>
      <c r="D120" s="605" t="s">
        <v>176</v>
      </c>
      <c r="E120" s="503"/>
      <c r="F120" s="495"/>
      <c r="G120" s="495"/>
      <c r="H120" s="495"/>
      <c r="I120" s="495"/>
      <c r="J120" s="495"/>
      <c r="K120" s="544"/>
      <c r="L120" s="516">
        <f>C120</f>
        <v>0</v>
      </c>
      <c r="M120" s="379"/>
      <c r="N120" s="390"/>
      <c r="O120" s="390"/>
    </row>
    <row r="121" spans="1:15" ht="14.25" x14ac:dyDescent="0.25">
      <c r="A121" s="519"/>
      <c r="B121" s="520"/>
      <c r="C121" s="520"/>
      <c r="D121" s="520"/>
      <c r="E121" s="519"/>
      <c r="F121" s="521"/>
      <c r="G121" s="521"/>
      <c r="H121" s="521" t="s">
        <v>534</v>
      </c>
      <c r="I121" s="520"/>
      <c r="J121" s="523" t="s">
        <v>175</v>
      </c>
      <c r="K121" s="549"/>
      <c r="L121" s="525">
        <f>C120</f>
        <v>0</v>
      </c>
      <c r="M121" s="379"/>
      <c r="N121" s="390"/>
      <c r="O121" s="390"/>
    </row>
    <row r="122" spans="1:15" x14ac:dyDescent="0.2">
      <c r="A122" s="390"/>
      <c r="B122" s="390"/>
      <c r="C122" s="390"/>
      <c r="D122" s="390"/>
      <c r="E122" s="390"/>
      <c r="F122" s="376"/>
      <c r="G122" s="376"/>
      <c r="H122" s="376"/>
      <c r="I122" s="390"/>
      <c r="J122" s="550"/>
      <c r="K122" s="551"/>
      <c r="L122" s="604"/>
      <c r="M122" s="379"/>
      <c r="N122" s="390"/>
      <c r="O122" s="390"/>
    </row>
    <row r="123" spans="1:15" x14ac:dyDescent="0.2">
      <c r="A123" s="390"/>
      <c r="B123" s="390"/>
      <c r="C123" s="390"/>
      <c r="D123" s="390"/>
      <c r="E123" s="390"/>
      <c r="F123" s="376"/>
      <c r="G123" s="376"/>
      <c r="H123" s="376"/>
      <c r="I123" s="390"/>
      <c r="J123" s="550"/>
      <c r="K123" s="551"/>
      <c r="L123" s="604"/>
      <c r="M123" s="379"/>
      <c r="N123" s="390"/>
      <c r="O123" s="390"/>
    </row>
    <row r="124" spans="1:15" ht="18.75" x14ac:dyDescent="0.35">
      <c r="A124" s="530" t="s">
        <v>169</v>
      </c>
      <c r="B124" s="598"/>
      <c r="C124" s="599"/>
      <c r="D124" s="531"/>
      <c r="E124" s="600"/>
      <c r="F124" s="531"/>
      <c r="G124" s="531"/>
      <c r="H124" s="531"/>
      <c r="I124" s="531"/>
      <c r="J124" s="531"/>
      <c r="K124" s="531"/>
      <c r="L124" s="601"/>
      <c r="M124" s="379"/>
      <c r="N124" s="390"/>
      <c r="O124" s="390"/>
    </row>
    <row r="125" spans="1:15" ht="15.75" x14ac:dyDescent="0.25">
      <c r="A125" s="602"/>
      <c r="B125" s="416" t="s">
        <v>167</v>
      </c>
      <c r="C125" s="492"/>
      <c r="D125" s="495"/>
      <c r="E125" s="503"/>
      <c r="F125" s="495"/>
      <c r="G125" s="495"/>
      <c r="H125" s="495"/>
      <c r="I125" s="492" t="s">
        <v>899</v>
      </c>
      <c r="J125" s="514"/>
      <c r="K125" s="514"/>
      <c r="L125" s="537"/>
      <c r="M125" s="379"/>
      <c r="N125" s="390"/>
      <c r="O125" s="390"/>
    </row>
    <row r="126" spans="1:15" ht="15.75" x14ac:dyDescent="0.3">
      <c r="A126" s="503"/>
      <c r="B126" s="539"/>
      <c r="C126" s="595">
        <v>0</v>
      </c>
      <c r="D126" s="605" t="s">
        <v>176</v>
      </c>
      <c r="E126" s="503"/>
      <c r="F126" s="495"/>
      <c r="G126" s="495"/>
      <c r="H126" s="495"/>
      <c r="I126" s="495"/>
      <c r="J126" s="495"/>
      <c r="K126" s="544"/>
      <c r="L126" s="516">
        <f>C126</f>
        <v>0</v>
      </c>
      <c r="M126" s="379"/>
      <c r="N126" s="390"/>
      <c r="O126" s="390"/>
    </row>
    <row r="127" spans="1:15" ht="14.25" x14ac:dyDescent="0.25">
      <c r="A127" s="519"/>
      <c r="B127" s="520"/>
      <c r="C127" s="520"/>
      <c r="D127" s="520"/>
      <c r="E127" s="519"/>
      <c r="F127" s="521"/>
      <c r="G127" s="521"/>
      <c r="H127" s="521" t="s">
        <v>534</v>
      </c>
      <c r="I127" s="520"/>
      <c r="J127" s="523" t="s">
        <v>175</v>
      </c>
      <c r="K127" s="549"/>
      <c r="L127" s="525">
        <f>C126</f>
        <v>0</v>
      </c>
      <c r="M127" s="379"/>
      <c r="N127" s="390"/>
      <c r="O127" s="390"/>
    </row>
    <row r="128" spans="1:15" x14ac:dyDescent="0.2">
      <c r="A128" s="390"/>
      <c r="B128" s="390"/>
      <c r="C128" s="390"/>
      <c r="D128" s="390"/>
      <c r="E128" s="390"/>
      <c r="F128" s="376"/>
      <c r="G128" s="376"/>
      <c r="H128" s="376"/>
      <c r="I128" s="390"/>
      <c r="J128" s="550"/>
      <c r="K128" s="551"/>
      <c r="L128" s="604"/>
      <c r="M128" s="379"/>
      <c r="N128" s="390"/>
      <c r="O128" s="390"/>
    </row>
    <row r="129" spans="1:15" x14ac:dyDescent="0.2">
      <c r="A129" s="390"/>
      <c r="B129" s="390"/>
      <c r="C129" s="390"/>
      <c r="D129" s="390"/>
      <c r="E129" s="390"/>
      <c r="F129" s="376"/>
      <c r="G129" s="376"/>
      <c r="H129" s="376"/>
      <c r="I129" s="390"/>
      <c r="J129" s="550"/>
      <c r="K129" s="551"/>
      <c r="L129" s="604"/>
      <c r="M129" s="379"/>
      <c r="N129" s="390"/>
      <c r="O129" s="390"/>
    </row>
    <row r="130" spans="1:15" ht="15.75" x14ac:dyDescent="0.25">
      <c r="A130" s="530" t="s">
        <v>457</v>
      </c>
      <c r="B130" s="531"/>
      <c r="C130" s="531"/>
      <c r="D130" s="531"/>
      <c r="E130" s="532"/>
      <c r="F130" s="606"/>
      <c r="G130" s="606"/>
      <c r="H130" s="606"/>
      <c r="I130" s="607"/>
      <c r="J130" s="608"/>
      <c r="K130" s="607"/>
      <c r="L130" s="609"/>
      <c r="M130" s="379"/>
      <c r="N130" s="390"/>
      <c r="O130" s="390"/>
    </row>
    <row r="131" spans="1:15" ht="15.75" x14ac:dyDescent="0.25">
      <c r="A131" s="610"/>
      <c r="B131" s="611"/>
      <c r="C131" s="611"/>
      <c r="D131" s="611"/>
      <c r="E131" s="612"/>
      <c r="F131" s="613"/>
      <c r="G131" s="613"/>
      <c r="H131" s="613"/>
      <c r="I131" s="613"/>
      <c r="J131" s="613"/>
      <c r="K131" s="613"/>
      <c r="L131" s="614"/>
      <c r="M131" s="379"/>
      <c r="N131" s="390"/>
      <c r="O131" s="390"/>
    </row>
    <row r="132" spans="1:15" ht="15.75" x14ac:dyDescent="0.3">
      <c r="A132" s="503"/>
      <c r="B132" s="495"/>
      <c r="C132" s="495"/>
      <c r="D132" s="546" t="s">
        <v>299</v>
      </c>
      <c r="E132" s="615">
        <f>E21*C76*C30*C42*C90*C99</f>
        <v>0.50939575267900572</v>
      </c>
      <c r="F132" s="495" t="s">
        <v>898</v>
      </c>
      <c r="G132" s="495"/>
      <c r="H132" s="495"/>
      <c r="I132" s="544"/>
      <c r="J132" s="495"/>
      <c r="K132" s="495"/>
      <c r="L132" s="616"/>
      <c r="M132" s="379"/>
      <c r="N132" s="390"/>
      <c r="O132" s="390"/>
    </row>
    <row r="133" spans="1:15" x14ac:dyDescent="0.2">
      <c r="A133" s="503"/>
      <c r="B133" s="495"/>
      <c r="C133" s="495"/>
      <c r="D133" s="495"/>
      <c r="E133" s="495"/>
      <c r="F133" s="617"/>
      <c r="G133" s="617"/>
      <c r="H133" s="495"/>
      <c r="I133" s="544"/>
      <c r="J133" s="495"/>
      <c r="K133" s="495"/>
      <c r="L133" s="616"/>
      <c r="M133" s="379"/>
      <c r="N133" s="390"/>
      <c r="O133" s="390"/>
    </row>
    <row r="134" spans="1:15" x14ac:dyDescent="0.2">
      <c r="A134" s="503"/>
      <c r="B134" s="495"/>
      <c r="C134" s="495"/>
      <c r="D134" s="495"/>
      <c r="E134" s="495"/>
      <c r="F134" s="617"/>
      <c r="G134" s="617"/>
      <c r="H134" s="495"/>
      <c r="I134" s="495"/>
      <c r="J134" s="495"/>
      <c r="K134" s="495"/>
      <c r="L134" s="616"/>
      <c r="M134" s="379"/>
      <c r="N134" s="390"/>
      <c r="O134" s="390"/>
    </row>
    <row r="135" spans="1:15" ht="14.25" x14ac:dyDescent="0.25">
      <c r="A135" s="618"/>
      <c r="B135" s="619"/>
      <c r="C135" s="619"/>
      <c r="D135" s="619"/>
      <c r="E135" s="620" t="s">
        <v>1059</v>
      </c>
      <c r="F135" s="621"/>
      <c r="G135" s="621"/>
      <c r="H135" s="622"/>
      <c r="I135" s="622"/>
      <c r="J135" s="620" t="s">
        <v>182</v>
      </c>
      <c r="K135" s="622"/>
      <c r="L135" s="623">
        <f>L26+L36+L71+L86+L95+L103+L109-L115-L121-L127</f>
        <v>27.481188881916101</v>
      </c>
      <c r="M135" s="379"/>
      <c r="N135" s="390"/>
      <c r="O135" s="390"/>
    </row>
    <row r="136" spans="1:15" ht="14.25" x14ac:dyDescent="0.25">
      <c r="A136" s="624"/>
      <c r="B136" s="625"/>
      <c r="C136" s="626"/>
      <c r="D136" s="619"/>
      <c r="E136" s="620" t="s">
        <v>1060</v>
      </c>
      <c r="F136" s="622"/>
      <c r="G136" s="622"/>
      <c r="H136" s="622"/>
      <c r="I136" s="622"/>
      <c r="J136" s="620" t="s">
        <v>182</v>
      </c>
      <c r="K136" s="622"/>
      <c r="L136" s="627">
        <f>L26+L36+L71+L86+L95+L103+L109-L115-L121-L127</f>
        <v>27.481188881916101</v>
      </c>
      <c r="M136" s="379"/>
      <c r="N136" s="390"/>
      <c r="O136" s="390"/>
    </row>
    <row r="137" spans="1:15" x14ac:dyDescent="0.2">
      <c r="A137" s="618"/>
      <c r="B137" s="619"/>
      <c r="C137" s="619"/>
      <c r="D137" s="619"/>
      <c r="E137" s="622"/>
      <c r="F137" s="622"/>
      <c r="G137" s="622"/>
      <c r="H137" s="622"/>
      <c r="I137" s="622"/>
      <c r="J137" s="622"/>
      <c r="K137" s="622"/>
      <c r="L137" s="628"/>
      <c r="M137" s="379"/>
      <c r="N137" s="390"/>
      <c r="O137" s="390"/>
    </row>
    <row r="138" spans="1:15" x14ac:dyDescent="0.2">
      <c r="A138" s="629"/>
      <c r="B138" s="630"/>
      <c r="C138" s="630"/>
      <c r="D138" s="630"/>
      <c r="E138" s="631" t="s">
        <v>1061</v>
      </c>
      <c r="F138" s="632"/>
      <c r="G138" s="632"/>
      <c r="H138" s="632"/>
      <c r="I138" s="632"/>
      <c r="J138" s="632"/>
      <c r="K138" s="632"/>
      <c r="L138" s="633">
        <f>(83.8-L136)/83.8</f>
        <v>0.67206218517999883</v>
      </c>
      <c r="M138" s="379"/>
      <c r="N138" s="390"/>
      <c r="O138" s="390"/>
    </row>
    <row r="139" spans="1:15" x14ac:dyDescent="0.2">
      <c r="M139" s="361"/>
    </row>
    <row r="140" spans="1:15" x14ac:dyDescent="0.2">
      <c r="E140" s="634"/>
      <c r="F140" s="634"/>
      <c r="G140" s="634"/>
      <c r="H140" s="635"/>
      <c r="I140" s="634"/>
      <c r="J140" s="634"/>
      <c r="K140" s="634"/>
      <c r="L140" s="636"/>
      <c r="M140" s="361"/>
    </row>
    <row r="141" spans="1:15" x14ac:dyDescent="0.2">
      <c r="F141" s="634"/>
      <c r="G141" s="634"/>
      <c r="H141" s="634"/>
      <c r="I141" s="637"/>
      <c r="J141" s="634"/>
      <c r="K141" s="634"/>
      <c r="L141" s="638"/>
      <c r="M141" s="639"/>
      <c r="N141" s="361"/>
    </row>
    <row r="142" spans="1:15" x14ac:dyDescent="0.2">
      <c r="F142" s="634"/>
      <c r="G142" s="634"/>
      <c r="H142" s="634"/>
      <c r="I142" s="637"/>
      <c r="J142" s="634"/>
      <c r="K142" s="634"/>
      <c r="L142" s="638"/>
      <c r="M142" s="639"/>
      <c r="N142" s="361"/>
    </row>
    <row r="143" spans="1:15" ht="15.75" x14ac:dyDescent="0.25">
      <c r="F143" s="640"/>
      <c r="G143" s="640"/>
      <c r="H143" s="634"/>
      <c r="I143" s="634"/>
      <c r="J143" s="634"/>
      <c r="K143" s="634"/>
      <c r="L143" s="634"/>
      <c r="M143" s="634"/>
      <c r="N143" s="361"/>
    </row>
    <row r="144" spans="1:15" x14ac:dyDescent="0.2">
      <c r="F144" s="634"/>
      <c r="G144" s="634"/>
      <c r="H144" s="637"/>
      <c r="I144" s="634"/>
      <c r="J144" s="634"/>
      <c r="K144" s="634"/>
      <c r="L144" s="634"/>
      <c r="M144" s="634"/>
      <c r="N144" s="634"/>
    </row>
    <row r="145" spans="6:14" x14ac:dyDescent="0.2">
      <c r="F145" s="637"/>
      <c r="G145" s="637"/>
      <c r="H145" s="634"/>
      <c r="I145" s="641"/>
      <c r="J145" s="634"/>
      <c r="K145" s="634"/>
      <c r="L145" s="634"/>
      <c r="M145" s="634"/>
      <c r="N145" s="634"/>
    </row>
    <row r="146" spans="6:14" x14ac:dyDescent="0.2">
      <c r="F146" s="637"/>
      <c r="G146" s="637"/>
      <c r="H146" s="634"/>
      <c r="I146" s="641"/>
      <c r="J146" s="634"/>
      <c r="K146" s="634"/>
      <c r="L146" s="634"/>
      <c r="M146" s="634"/>
      <c r="N146" s="634"/>
    </row>
    <row r="147" spans="6:14" x14ac:dyDescent="0.2">
      <c r="F147" s="634"/>
      <c r="G147" s="634"/>
      <c r="H147" s="639"/>
      <c r="I147" s="634"/>
      <c r="J147" s="634"/>
      <c r="K147" s="634"/>
      <c r="L147" s="634"/>
      <c r="M147" s="634"/>
      <c r="N147" s="634"/>
    </row>
    <row r="148" spans="6:14" x14ac:dyDescent="0.2">
      <c r="F148" s="634"/>
      <c r="G148" s="634"/>
      <c r="H148" s="634"/>
      <c r="I148" s="634"/>
      <c r="J148" s="634"/>
      <c r="K148" s="634"/>
      <c r="L148" s="634"/>
      <c r="M148" s="634"/>
      <c r="N148" s="634"/>
    </row>
    <row r="149" spans="6:14" x14ac:dyDescent="0.2">
      <c r="F149" s="634"/>
      <c r="G149" s="634"/>
      <c r="H149" s="634"/>
      <c r="I149" s="634"/>
      <c r="J149" s="634"/>
      <c r="K149" s="634"/>
      <c r="L149" s="634"/>
      <c r="M149" s="634"/>
      <c r="N149" s="634"/>
    </row>
    <row r="150" spans="6:14" x14ac:dyDescent="0.2">
      <c r="F150" s="634"/>
      <c r="G150" s="634"/>
      <c r="H150" s="634"/>
      <c r="I150" s="634"/>
      <c r="J150" s="634"/>
      <c r="K150" s="634"/>
      <c r="L150" s="634"/>
      <c r="M150" s="634"/>
      <c r="N150" s="634"/>
    </row>
    <row r="151" spans="6:14" x14ac:dyDescent="0.2">
      <c r="F151" s="634"/>
      <c r="G151" s="634"/>
      <c r="H151" s="634"/>
      <c r="I151" s="634"/>
      <c r="J151" s="634"/>
      <c r="K151" s="634"/>
      <c r="L151" s="634"/>
      <c r="M151" s="634"/>
      <c r="N151" s="634"/>
    </row>
    <row r="152" spans="6:14" x14ac:dyDescent="0.2">
      <c r="F152" s="634"/>
      <c r="G152" s="634"/>
      <c r="H152" s="634"/>
      <c r="I152" s="634"/>
      <c r="J152" s="634"/>
      <c r="K152" s="634"/>
      <c r="L152" s="634"/>
      <c r="M152" s="634"/>
      <c r="N152" s="634"/>
    </row>
    <row r="153" spans="6:14" x14ac:dyDescent="0.2">
      <c r="F153" s="634"/>
      <c r="G153" s="634"/>
      <c r="H153" s="634"/>
      <c r="I153" s="634"/>
      <c r="J153" s="634"/>
      <c r="K153" s="634"/>
      <c r="L153" s="634"/>
      <c r="M153" s="634"/>
      <c r="N153" s="634"/>
    </row>
    <row r="154" spans="6:14" x14ac:dyDescent="0.2">
      <c r="F154" s="634"/>
      <c r="G154" s="634"/>
      <c r="H154" s="634"/>
      <c r="I154" s="634"/>
      <c r="J154" s="634"/>
      <c r="K154" s="634"/>
      <c r="L154" s="634"/>
      <c r="M154" s="634"/>
      <c r="N154" s="634"/>
    </row>
    <row r="155" spans="6:14" x14ac:dyDescent="0.2">
      <c r="F155" s="634"/>
      <c r="G155" s="634"/>
      <c r="H155" s="634"/>
      <c r="I155" s="634"/>
      <c r="J155" s="634"/>
      <c r="K155" s="634"/>
      <c r="L155" s="634"/>
      <c r="M155" s="634"/>
      <c r="N155" s="634"/>
    </row>
    <row r="156" spans="6:14" x14ac:dyDescent="0.2">
      <c r="F156" s="634"/>
      <c r="G156" s="634"/>
      <c r="H156" s="634"/>
      <c r="I156" s="634"/>
      <c r="J156" s="634"/>
      <c r="K156" s="634"/>
      <c r="L156" s="634"/>
      <c r="M156" s="634"/>
      <c r="N156" s="634"/>
    </row>
    <row r="157" spans="6:14" x14ac:dyDescent="0.2">
      <c r="F157" s="634"/>
      <c r="G157" s="634"/>
      <c r="H157" s="634"/>
      <c r="I157" s="634"/>
      <c r="J157" s="634"/>
      <c r="K157" s="634"/>
      <c r="L157" s="634"/>
      <c r="M157" s="634"/>
      <c r="N157" s="634"/>
    </row>
    <row r="158" spans="6:14" x14ac:dyDescent="0.2">
      <c r="F158" s="634"/>
      <c r="G158" s="634"/>
      <c r="H158" s="634"/>
      <c r="I158" s="634"/>
      <c r="J158" s="634"/>
      <c r="K158" s="634"/>
      <c r="L158" s="634"/>
      <c r="M158" s="634"/>
      <c r="N158" s="634"/>
    </row>
    <row r="159" spans="6:14" x14ac:dyDescent="0.2">
      <c r="F159" s="634"/>
      <c r="G159" s="634"/>
      <c r="H159" s="634"/>
      <c r="I159" s="634"/>
      <c r="J159" s="634"/>
      <c r="K159" s="634"/>
      <c r="L159" s="634"/>
      <c r="M159" s="634"/>
      <c r="N159" s="634"/>
    </row>
  </sheetData>
  <sheetProtection insertColumns="0" insertRows="0" deleteColumns="0" deleteRows="0"/>
  <customSheetViews>
    <customSheetView guid="{AD88818B-9F97-4B1E-9426-0DECE603685E}" scale="80" showGridLines="0" fitToPage="1" showRuler="0">
      <pane ySplit="19" topLeftCell="A20" activePane="bottomLeft" state="frozen"/>
      <selection pane="bottomLeft" activeCell="E3" sqref="E3"/>
      <pageMargins left="0.75" right="0.75" top="1" bottom="1" header="0.5" footer="0.5"/>
      <pageSetup paperSize="8" fitToHeight="0" orientation="landscape"/>
      <headerFooter alignWithMargins="0">
        <oddFooter>&amp;L&amp;8&amp;F&amp;C&amp;8&amp;A&amp;R&amp;8page&amp;P</oddFooter>
      </headerFooter>
    </customSheetView>
    <customSheetView guid="{7EB5D807-CE20-46E2-AEE6-2C193E010EA4}" scale="80" showGridLines="0" fitToPage="1" showRuler="0">
      <pane ySplit="19" topLeftCell="A20" activePane="bottomLeft" state="frozen"/>
      <selection pane="bottomLeft" activeCell="E3" sqref="E3"/>
      <pageMargins left="0.75" right="0.75" top="1" bottom="1" header="0.5" footer="0.5"/>
      <pageSetup paperSize="8" fitToHeight="0" orientation="landscape"/>
      <headerFooter alignWithMargins="0">
        <oddFooter>&amp;L&amp;8&amp;F&amp;C&amp;8&amp;A&amp;R&amp;8page&amp;P</oddFooter>
      </headerFooter>
    </customSheetView>
  </customSheetViews>
  <phoneticPr fontId="0" type="noConversion"/>
  <conditionalFormatting sqref="A7:G7">
    <cfRule type="expression" dxfId="7" priority="3" stopIfTrue="1">
      <formula>($E7&lt;&gt;"")</formula>
    </cfRule>
  </conditionalFormatting>
  <conditionalFormatting sqref="O9:O17">
    <cfRule type="cellIs" dxfId="6" priority="2" stopIfTrue="1" operator="notBetween">
      <formula>-0.05</formula>
      <formula>0.05</formula>
    </cfRule>
  </conditionalFormatting>
  <conditionalFormatting sqref="B64">
    <cfRule type="expression" dxfId="5" priority="1" stopIfTrue="1">
      <formula>(C63&gt;0)</formula>
    </cfRule>
  </conditionalFormatting>
  <dataValidations count="5">
    <dataValidation type="list" allowBlank="1" showInputMessage="1" showErrorMessage="1" sqref="F11 F6 F8" xr:uid="{00000000-0002-0000-1D00-000000000000}">
      <formula1>"A,D"</formula1>
    </dataValidation>
    <dataValidation type="list" allowBlank="1" showInputMessage="1" showErrorMessage="1" sqref="E7" xr:uid="{00000000-0002-0000-1D00-000001000000}">
      <formula1>"- ,Individual result of previous calculation, Combined result of previous calculation"</formula1>
    </dataValidation>
    <dataValidation allowBlank="1" showInputMessage="1" showErrorMessage="1" promptTitle="Please note !" prompt="When changing the value in this cell, you must indicate in column E under &quot;overview results&quot; that you have used the result of a previous calculation. Please refer to paragraph 4.2 of the user manual for further instructions and examples." sqref="N24" xr:uid="{00000000-0002-0000-1D00-000002000000}"/>
    <dataValidation allowBlank="1" showInputMessage="1" showErrorMessage="1" promptTitle="Electricity mix" sqref="B102 B81" xr:uid="{00000000-0002-0000-1D00-000003000000}"/>
    <dataValidation type="list" allowBlank="1" showInputMessage="1" showErrorMessage="1" sqref="C44 C78" xr:uid="{00000000-0002-0000-1D00-000004000000}">
      <mc:AlternateContent xmlns:x12ac="http://schemas.microsoft.com/office/spreadsheetml/2011/1/ac" xmlns:mc="http://schemas.openxmlformats.org/markup-compatibility/2006">
        <mc:Choice Requires="x12ac">
          <x12ac:list>1,"1,4"</x12ac:list>
        </mc:Choice>
        <mc:Fallback>
          <formula1>"1,1,4"</formula1>
        </mc:Fallback>
      </mc:AlternateContent>
    </dataValidation>
  </dataValidations>
  <pageMargins left="0.75" right="0.75" top="1" bottom="1" header="0.5" footer="0.5"/>
  <pageSetup paperSize="8" fitToHeight="0" orientation="landscape"/>
  <headerFooter alignWithMargins="0">
    <oddFooter>&amp;L&amp;8&amp;F&amp;C&amp;8&amp;A&amp;R&amp;8page&amp;P</oddFooter>
  </headerFooter>
  <cellWatches>
    <cellWatch r="E33"/>
  </cellWatches>
  <drawing r:id="rId1"/>
  <legacyDrawing r:id="rId2"/>
  <controls>
    <mc:AlternateContent xmlns:mc="http://schemas.openxmlformats.org/markup-compatibility/2006">
      <mc:Choice Requires="x14">
        <control shapeId="30724" r:id="rId3" name="CheckBox2">
          <controlPr autoLine="0" linkedCell="About!N86" r:id="rId4">
            <anchor moveWithCells="1">
              <from>
                <xdr:col>9</xdr:col>
                <xdr:colOff>38100</xdr:colOff>
                <xdr:row>12</xdr:row>
                <xdr:rowOff>142875</xdr:rowOff>
              </from>
              <to>
                <xdr:col>13</xdr:col>
                <xdr:colOff>885825</xdr:colOff>
                <xdr:row>15</xdr:row>
                <xdr:rowOff>85725</xdr:rowOff>
              </to>
            </anchor>
          </controlPr>
        </control>
      </mc:Choice>
      <mc:Fallback>
        <control shapeId="30724" r:id="rId3" name="CheckBox2"/>
      </mc:Fallback>
    </mc:AlternateContent>
    <mc:AlternateContent xmlns:mc="http://schemas.openxmlformats.org/markup-compatibility/2006">
      <mc:Choice Requires="x14">
        <control shapeId="30725" r:id="rId5" name="CheckBox1">
          <controlPr autoLine="0" autoPict="0" linkedCell="About!N88" r:id="rId6">
            <anchor moveWithCells="1">
              <from>
                <xdr:col>9</xdr:col>
                <xdr:colOff>38100</xdr:colOff>
                <xdr:row>10</xdr:row>
                <xdr:rowOff>152400</xdr:rowOff>
              </from>
              <to>
                <xdr:col>13</xdr:col>
                <xdr:colOff>866775</xdr:colOff>
                <xdr:row>14</xdr:row>
                <xdr:rowOff>0</xdr:rowOff>
              </to>
            </anchor>
          </controlPr>
        </control>
      </mc:Choice>
      <mc:Fallback>
        <control shapeId="30725" r:id="rId5" name="CheckBox1"/>
      </mc:Fallback>
    </mc:AlternateContent>
    <mc:AlternateContent xmlns:mc="http://schemas.openxmlformats.org/markup-compatibility/2006">
      <mc:Choice Requires="x14">
        <control shapeId="31504" r:id="rId7" name="cmdTrackChanges">
          <controlPr defaultSize="0" autoLine="0" r:id="rId8">
            <anchor moveWithCells="1">
              <from>
                <xdr:col>1</xdr:col>
                <xdr:colOff>1123950</xdr:colOff>
                <xdr:row>16</xdr:row>
                <xdr:rowOff>85725</xdr:rowOff>
              </from>
              <to>
                <xdr:col>3</xdr:col>
                <xdr:colOff>295275</xdr:colOff>
                <xdr:row>17</xdr:row>
                <xdr:rowOff>209550</xdr:rowOff>
              </to>
            </anchor>
          </controlPr>
        </control>
      </mc:Choice>
      <mc:Fallback>
        <control shapeId="31504" r:id="rId7" name="cmdTrackChanges"/>
      </mc:Fallback>
    </mc:AlternateContent>
    <mc:AlternateContent xmlns:mc="http://schemas.openxmlformats.org/markup-compatibility/2006">
      <mc:Choice Requires="x14">
        <control shapeId="31565" r:id="rId9" name="Label 845">
          <controlPr defaultSize="0" autoFill="0" autoLine="0" autoPict="0" macro="[0]!GoToAbout">
            <anchor moveWithCells="1" sizeWithCells="1">
              <from>
                <xdr:col>10</xdr:col>
                <xdr:colOff>438150</xdr:colOff>
                <xdr:row>0</xdr:row>
                <xdr:rowOff>800100</xdr:rowOff>
              </from>
              <to>
                <xdr:col>12</xdr:col>
                <xdr:colOff>85725</xdr:colOff>
                <xdr:row>1</xdr:row>
                <xdr:rowOff>0</xdr:rowOff>
              </to>
            </anchor>
          </controlPr>
        </control>
      </mc:Choice>
    </mc:AlternateContent>
    <mc:AlternateContent xmlns:mc="http://schemas.openxmlformats.org/markup-compatibility/2006">
      <mc:Choice Requires="x14">
        <control shapeId="31566" r:id="rId10" name="Label 846">
          <controlPr defaultSize="0" autoFill="0" autoLine="0" autoPict="0" macro="[0]!GoToDirectory">
            <anchor moveWithCells="1" sizeWithCells="1">
              <from>
                <xdr:col>13</xdr:col>
                <xdr:colOff>0</xdr:colOff>
                <xdr:row>0</xdr:row>
                <xdr:rowOff>800100</xdr:rowOff>
              </from>
              <to>
                <xdr:col>13</xdr:col>
                <xdr:colOff>1000125</xdr:colOff>
                <xdr:row>1</xdr:row>
                <xdr:rowOff>0</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C3">
    <pageSetUpPr fitToPage="1"/>
  </sheetPr>
  <dimension ref="A1:Q159"/>
  <sheetViews>
    <sheetView showGridLines="0" zoomScale="80" workbookViewId="0">
      <selection activeCell="A2" sqref="A2"/>
    </sheetView>
  </sheetViews>
  <sheetFormatPr baseColWidth="10" defaultColWidth="8.85546875" defaultRowHeight="12.75" x14ac:dyDescent="0.2"/>
  <cols>
    <col min="1" max="1" width="22.5703125" style="360" customWidth="1"/>
    <col min="2" max="2" width="25.85546875" style="360" customWidth="1"/>
    <col min="3" max="3" width="9.7109375" style="360" customWidth="1"/>
    <col min="4" max="4" width="20.140625" style="360" customWidth="1"/>
    <col min="5" max="5" width="14.85546875" style="360" customWidth="1"/>
    <col min="6" max="6" width="8.5703125" style="360" customWidth="1"/>
    <col min="7" max="7" width="2.85546875" style="360" customWidth="1"/>
    <col min="8" max="8" width="19.5703125" style="360" customWidth="1"/>
    <col min="9" max="12" width="9.140625" style="360" customWidth="1"/>
    <col min="13" max="13" width="2.5703125" style="360" customWidth="1"/>
    <col min="14" max="14" width="16.7109375" style="360" customWidth="1"/>
    <col min="15" max="15" width="13.7109375" style="360" customWidth="1"/>
    <col min="16" max="16384" width="8.85546875" style="361"/>
  </cols>
  <sheetData>
    <row r="1" spans="1:17" ht="102" customHeight="1" x14ac:dyDescent="0.2"/>
    <row r="2" spans="1:17" ht="27.75" customHeight="1" x14ac:dyDescent="0.25">
      <c r="A2" s="362" t="s">
        <v>687</v>
      </c>
      <c r="B2" s="363"/>
      <c r="C2" s="364"/>
      <c r="D2" s="364"/>
      <c r="E2" s="364"/>
      <c r="F2" s="365"/>
      <c r="G2" s="365"/>
      <c r="H2" s="366"/>
      <c r="I2" s="367"/>
      <c r="J2" s="368"/>
      <c r="K2" s="369"/>
      <c r="L2" s="370"/>
      <c r="M2" s="367"/>
      <c r="N2" s="367"/>
      <c r="O2" s="371" t="str">
        <f>About!D2</f>
        <v>Version 4d for Testing</v>
      </c>
    </row>
    <row r="3" spans="1:17" ht="27.75" customHeight="1" x14ac:dyDescent="0.25">
      <c r="A3" s="372" t="s">
        <v>1050</v>
      </c>
      <c r="B3" s="373"/>
      <c r="C3" s="374"/>
      <c r="D3" s="374"/>
      <c r="E3" s="373"/>
      <c r="F3" s="373"/>
      <c r="G3" s="373"/>
      <c r="H3" s="375"/>
      <c r="I3" s="376"/>
      <c r="J3" s="377"/>
      <c r="K3" s="378"/>
      <c r="L3" s="377"/>
      <c r="M3" s="377"/>
      <c r="N3" s="379"/>
      <c r="O3" s="378"/>
    </row>
    <row r="4" spans="1:17" ht="16.5" customHeight="1" x14ac:dyDescent="0.25">
      <c r="A4" s="380" t="s">
        <v>861</v>
      </c>
      <c r="B4" s="381" t="s">
        <v>854</v>
      </c>
      <c r="C4" s="381" t="s">
        <v>1057</v>
      </c>
      <c r="D4" s="381" t="s">
        <v>852</v>
      </c>
      <c r="E4" s="382" t="s">
        <v>1047</v>
      </c>
      <c r="F4" s="383" t="s">
        <v>1125</v>
      </c>
      <c r="G4" s="384"/>
      <c r="H4" s="385" t="s">
        <v>869</v>
      </c>
      <c r="I4" s="386"/>
      <c r="J4" s="387" t="s">
        <v>1063</v>
      </c>
      <c r="K4" s="388"/>
      <c r="L4" s="389"/>
      <c r="M4" s="390"/>
      <c r="N4" s="387" t="s">
        <v>391</v>
      </c>
      <c r="O4" s="391"/>
    </row>
    <row r="5" spans="1:17" ht="16.5" customHeight="1" x14ac:dyDescent="0.25">
      <c r="A5" s="392" t="s">
        <v>184</v>
      </c>
      <c r="B5" s="393" t="s">
        <v>853</v>
      </c>
      <c r="C5" s="393" t="s">
        <v>1062</v>
      </c>
      <c r="D5" s="393" t="s">
        <v>853</v>
      </c>
      <c r="E5" s="394"/>
      <c r="F5" s="395" t="s">
        <v>1126</v>
      </c>
      <c r="G5" s="396"/>
      <c r="H5" s="397" t="s">
        <v>866</v>
      </c>
      <c r="I5" s="390"/>
      <c r="J5" s="398" t="str">
        <f>A39</f>
        <v xml:space="preserve">Biogas generation </v>
      </c>
      <c r="K5" s="399"/>
      <c r="L5" s="400"/>
      <c r="M5" s="390"/>
      <c r="N5" s="398" t="s">
        <v>392</v>
      </c>
      <c r="O5" s="400"/>
    </row>
    <row r="6" spans="1:17" ht="16.5" customHeight="1" x14ac:dyDescent="0.35">
      <c r="A6" s="401" t="s">
        <v>170</v>
      </c>
      <c r="B6" s="402"/>
      <c r="C6" s="403"/>
      <c r="D6" s="404"/>
      <c r="E6" s="405">
        <f>IF(F6="A",D7,H6)</f>
        <v>0</v>
      </c>
      <c r="F6" s="406" t="s">
        <v>1127</v>
      </c>
      <c r="G6" s="407"/>
      <c r="H6" s="408">
        <v>0</v>
      </c>
      <c r="I6" s="390"/>
      <c r="J6" s="409">
        <v>1</v>
      </c>
      <c r="K6" s="410" t="s">
        <v>183</v>
      </c>
      <c r="L6" s="411"/>
      <c r="M6" s="390"/>
      <c r="N6" s="412">
        <v>83.8</v>
      </c>
      <c r="O6" s="413" t="s">
        <v>394</v>
      </c>
    </row>
    <row r="7" spans="1:17" ht="12" customHeight="1" x14ac:dyDescent="0.2">
      <c r="A7" s="398" t="str">
        <f>A19</f>
        <v>Collection of dry manure</v>
      </c>
      <c r="B7" s="414">
        <f>L26</f>
        <v>0</v>
      </c>
      <c r="C7" s="415">
        <f>J6</f>
        <v>1</v>
      </c>
      <c r="D7" s="416">
        <f>C7*B7</f>
        <v>0</v>
      </c>
      <c r="E7" s="1215"/>
      <c r="F7" s="418"/>
      <c r="G7" s="418"/>
      <c r="H7" s="419">
        <f>0</f>
        <v>0</v>
      </c>
      <c r="I7" s="390"/>
      <c r="J7" s="420">
        <f>1-J6</f>
        <v>0</v>
      </c>
      <c r="K7" s="421" t="s">
        <v>759</v>
      </c>
      <c r="L7" s="422"/>
      <c r="M7" s="390"/>
      <c r="N7" s="398" t="s">
        <v>393</v>
      </c>
      <c r="O7" s="400"/>
    </row>
    <row r="8" spans="1:17" ht="16.5" customHeight="1" x14ac:dyDescent="0.35">
      <c r="A8" s="401" t="s">
        <v>544</v>
      </c>
      <c r="B8" s="423"/>
      <c r="C8" s="423"/>
      <c r="D8" s="424"/>
      <c r="E8" s="425">
        <f>IF(F8="A",D9+D10,H8)</f>
        <v>22.454981357142856</v>
      </c>
      <c r="F8" s="406" t="s">
        <v>1127</v>
      </c>
      <c r="G8" s="407"/>
      <c r="H8" s="408">
        <v>11</v>
      </c>
      <c r="I8" s="390"/>
      <c r="J8" s="390"/>
      <c r="K8" s="390"/>
      <c r="L8" s="390"/>
      <c r="M8" s="390"/>
      <c r="N8" s="426">
        <f>(N6-E16)/N6</f>
        <v>0.68967752677587824</v>
      </c>
      <c r="O8" s="427"/>
    </row>
    <row r="9" spans="1:17" ht="12" customHeight="1" x14ac:dyDescent="0.2">
      <c r="A9" s="398" t="str">
        <f>A39</f>
        <v xml:space="preserve">Biogas generation </v>
      </c>
      <c r="B9" s="414">
        <f>L71</f>
        <v>10.003809523809524</v>
      </c>
      <c r="C9" s="415">
        <f>J6</f>
        <v>1</v>
      </c>
      <c r="D9" s="416">
        <f>C9*B9</f>
        <v>10.003809523809524</v>
      </c>
      <c r="E9" s="417"/>
      <c r="F9" s="418"/>
      <c r="G9" s="418"/>
      <c r="H9" s="419">
        <f>1.4*7.64</f>
        <v>10.696</v>
      </c>
      <c r="I9" s="390"/>
      <c r="J9" s="390"/>
      <c r="K9" s="390"/>
      <c r="L9" s="390"/>
      <c r="M9" s="390"/>
      <c r="N9" s="390"/>
      <c r="O9" s="428"/>
    </row>
    <row r="10" spans="1:17" ht="12" customHeight="1" thickBot="1" x14ac:dyDescent="0.25">
      <c r="A10" s="398" t="str">
        <f>A74</f>
        <v xml:space="preserve">CH4 extraction </v>
      </c>
      <c r="B10" s="414">
        <f>L86</f>
        <v>12.45117183333333</v>
      </c>
      <c r="C10" s="415">
        <f>J6</f>
        <v>1</v>
      </c>
      <c r="D10" s="416">
        <f>C10*B10</f>
        <v>12.45117183333333</v>
      </c>
      <c r="E10" s="417"/>
      <c r="F10" s="418"/>
      <c r="G10" s="418"/>
      <c r="H10" s="419"/>
      <c r="I10" s="390"/>
      <c r="J10" s="390"/>
      <c r="K10" s="390"/>
      <c r="L10" s="390"/>
      <c r="M10" s="390"/>
      <c r="N10" s="390"/>
      <c r="O10" s="428"/>
      <c r="Q10" s="429"/>
    </row>
    <row r="11" spans="1:17" ht="16.5" customHeight="1" x14ac:dyDescent="0.35">
      <c r="A11" s="401" t="s">
        <v>545</v>
      </c>
      <c r="B11" s="423"/>
      <c r="C11" s="423"/>
      <c r="D11" s="424"/>
      <c r="E11" s="425">
        <f>IF(F11="A",D12+D13+D14, H11)</f>
        <v>3.5500418990385492</v>
      </c>
      <c r="F11" s="406" t="s">
        <v>1127</v>
      </c>
      <c r="G11" s="407"/>
      <c r="H11" s="408">
        <v>4</v>
      </c>
      <c r="I11" s="390"/>
      <c r="J11" s="432" t="s">
        <v>140</v>
      </c>
      <c r="K11" s="433"/>
      <c r="L11" s="433"/>
      <c r="M11" s="433"/>
      <c r="N11" s="434"/>
      <c r="O11" s="435"/>
    </row>
    <row r="12" spans="1:17" ht="12" customHeight="1" x14ac:dyDescent="0.2">
      <c r="A12" s="398" t="str">
        <f>A29</f>
        <v>Transport of dry manure</v>
      </c>
      <c r="B12" s="414">
        <f>L36</f>
        <v>0.6946661768163267</v>
      </c>
      <c r="C12" s="415">
        <f>J6</f>
        <v>1</v>
      </c>
      <c r="D12" s="416">
        <f>C12*B12</f>
        <v>0.6946661768163267</v>
      </c>
      <c r="E12" s="431"/>
      <c r="F12" s="418"/>
      <c r="G12" s="418"/>
      <c r="H12" s="419">
        <v>0.68</v>
      </c>
      <c r="I12" s="390"/>
      <c r="J12" s="438"/>
      <c r="K12" s="439"/>
      <c r="L12" s="439"/>
      <c r="M12" s="439"/>
      <c r="N12" s="440"/>
      <c r="O12" s="441"/>
    </row>
    <row r="13" spans="1:17" ht="12" customHeight="1" x14ac:dyDescent="0.2">
      <c r="A13" s="398" t="str">
        <f>A89</f>
        <v xml:space="preserve">Transport of CH4 </v>
      </c>
      <c r="B13" s="414">
        <f>L95</f>
        <v>0</v>
      </c>
      <c r="C13" s="415">
        <v>1</v>
      </c>
      <c r="D13" s="416">
        <f>C13*B13</f>
        <v>0</v>
      </c>
      <c r="E13" s="436"/>
      <c r="F13" s="437"/>
      <c r="G13" s="437"/>
      <c r="H13" s="419">
        <v>0</v>
      </c>
      <c r="I13" s="390"/>
      <c r="J13" s="438"/>
      <c r="K13" s="439"/>
      <c r="L13" s="439"/>
      <c r="M13" s="442"/>
      <c r="N13" s="443"/>
      <c r="O13" s="441"/>
      <c r="Q13" s="429"/>
    </row>
    <row r="14" spans="1:17" ht="12.75" customHeight="1" x14ac:dyDescent="0.2">
      <c r="A14" s="398" t="str">
        <f>A98</f>
        <v>CNG filling station</v>
      </c>
      <c r="B14" s="414">
        <f>L103</f>
        <v>2.8553757222222225</v>
      </c>
      <c r="C14" s="415">
        <v>1</v>
      </c>
      <c r="D14" s="416">
        <f>C14*B14</f>
        <v>2.8553757222222225</v>
      </c>
      <c r="E14" s="436"/>
      <c r="F14" s="437"/>
      <c r="G14" s="437"/>
      <c r="H14" s="419">
        <v>2.86</v>
      </c>
      <c r="I14" s="390"/>
      <c r="J14" s="438"/>
      <c r="K14" s="439"/>
      <c r="L14" s="439"/>
      <c r="M14" s="448"/>
      <c r="N14" s="449"/>
      <c r="O14" s="450"/>
    </row>
    <row r="15" spans="1:17" ht="16.5" customHeight="1" x14ac:dyDescent="0.35">
      <c r="A15" s="444" t="s">
        <v>725</v>
      </c>
      <c r="B15" s="445">
        <f>L121+L127</f>
        <v>0</v>
      </c>
      <c r="C15" s="446">
        <v>1</v>
      </c>
      <c r="D15" s="445">
        <f>C15*B15</f>
        <v>0</v>
      </c>
      <c r="E15" s="425">
        <f>D15</f>
        <v>0</v>
      </c>
      <c r="F15" s="451"/>
      <c r="G15" s="451"/>
      <c r="H15" s="447">
        <v>0</v>
      </c>
      <c r="I15" s="379"/>
      <c r="J15" s="438"/>
      <c r="K15" s="439"/>
      <c r="L15" s="439"/>
      <c r="M15" s="448"/>
      <c r="N15" s="449"/>
      <c r="O15" s="450"/>
    </row>
    <row r="16" spans="1:17" ht="16.5" customHeight="1" thickBot="1" x14ac:dyDescent="0.3">
      <c r="A16" s="452" t="s">
        <v>1049</v>
      </c>
      <c r="B16" s="453">
        <f>SUM(B7:B14)-B15</f>
        <v>26.005023256181406</v>
      </c>
      <c r="C16" s="454"/>
      <c r="D16" s="455"/>
      <c r="E16" s="456">
        <f>SUM(E6:E14)-E15</f>
        <v>26.005023256181406</v>
      </c>
      <c r="F16" s="457"/>
      <c r="G16" s="457"/>
      <c r="H16" s="458">
        <v>15</v>
      </c>
      <c r="I16" s="379"/>
      <c r="J16" s="459" t="s">
        <v>1</v>
      </c>
      <c r="K16" s="460"/>
      <c r="L16" s="460"/>
      <c r="M16" s="461"/>
      <c r="N16" s="462"/>
      <c r="O16" s="463"/>
      <c r="Q16" s="429"/>
    </row>
    <row r="17" spans="1:15" ht="16.5" customHeight="1" x14ac:dyDescent="0.25">
      <c r="A17" s="464"/>
      <c r="B17" s="465"/>
      <c r="E17" s="466" t="s">
        <v>859</v>
      </c>
      <c r="F17" s="467"/>
      <c r="G17" s="467"/>
      <c r="H17" s="468"/>
      <c r="I17" s="469"/>
      <c r="J17" s="470"/>
      <c r="K17" s="433"/>
      <c r="L17" s="471"/>
      <c r="M17" s="433"/>
      <c r="N17" s="433"/>
      <c r="O17" s="472"/>
    </row>
    <row r="18" spans="1:15" ht="22.5" customHeight="1" thickBot="1" x14ac:dyDescent="0.25">
      <c r="A18" s="473" t="s">
        <v>1051</v>
      </c>
      <c r="B18" s="379"/>
      <c r="E18" s="474" t="s">
        <v>860</v>
      </c>
      <c r="F18" s="442"/>
      <c r="G18" s="442"/>
      <c r="H18" s="442"/>
      <c r="I18" s="439"/>
      <c r="J18" s="475"/>
      <c r="K18" s="475"/>
      <c r="L18" s="476"/>
      <c r="M18" s="477"/>
      <c r="N18" s="477"/>
      <c r="O18" s="478"/>
    </row>
    <row r="19" spans="1:15" ht="15.75" x14ac:dyDescent="0.25">
      <c r="A19" s="479" t="s">
        <v>689</v>
      </c>
      <c r="B19" s="480"/>
      <c r="C19" s="480"/>
      <c r="D19" s="480"/>
      <c r="E19" s="479" t="s">
        <v>513</v>
      </c>
      <c r="F19" s="481"/>
      <c r="G19" s="481"/>
      <c r="H19" s="480"/>
      <c r="I19" s="482" t="s">
        <v>532</v>
      </c>
      <c r="J19" s="481"/>
      <c r="K19" s="481"/>
      <c r="L19" s="483"/>
      <c r="M19" s="484"/>
      <c r="N19" s="535" t="s">
        <v>162</v>
      </c>
      <c r="O19" s="485"/>
    </row>
    <row r="20" spans="1:15" ht="15.75" x14ac:dyDescent="0.25">
      <c r="A20" s="486"/>
      <c r="B20" s="487" t="s">
        <v>524</v>
      </c>
      <c r="C20" s="488"/>
      <c r="D20" s="488"/>
      <c r="E20" s="489" t="s">
        <v>524</v>
      </c>
      <c r="F20" s="490"/>
      <c r="G20" s="490"/>
      <c r="H20" s="491"/>
      <c r="I20" s="492" t="s">
        <v>899</v>
      </c>
      <c r="J20" s="490"/>
      <c r="K20" s="490"/>
      <c r="L20" s="493"/>
      <c r="M20" s="484"/>
      <c r="N20" s="538" t="s">
        <v>574</v>
      </c>
      <c r="O20" s="484"/>
    </row>
    <row r="21" spans="1:15" ht="16.5" x14ac:dyDescent="0.3">
      <c r="A21" s="494"/>
      <c r="B21" s="495" t="s">
        <v>504</v>
      </c>
      <c r="C21" s="496">
        <v>1</v>
      </c>
      <c r="D21" s="497" t="s">
        <v>501</v>
      </c>
      <c r="E21" s="498">
        <f>C21</f>
        <v>1</v>
      </c>
      <c r="F21" s="499" t="s">
        <v>185</v>
      </c>
      <c r="G21" s="499"/>
      <c r="H21" s="499"/>
      <c r="I21" s="500" t="s">
        <v>1053</v>
      </c>
      <c r="J21" s="500" t="s">
        <v>1054</v>
      </c>
      <c r="K21" s="500" t="s">
        <v>1055</v>
      </c>
      <c r="L21" s="501" t="s">
        <v>1056</v>
      </c>
      <c r="M21" s="379"/>
      <c r="N21" s="540" t="s">
        <v>1056</v>
      </c>
      <c r="O21" s="502"/>
    </row>
    <row r="22" spans="1:15" ht="15.75" x14ac:dyDescent="0.3">
      <c r="A22" s="503"/>
      <c r="B22" s="495" t="s">
        <v>521</v>
      </c>
      <c r="C22" s="504">
        <v>0.75</v>
      </c>
      <c r="D22" s="497"/>
      <c r="E22" s="513">
        <f>VLOOKUP(B30,'Standard values'!$C$9:$S$162,14, FALSE)</f>
        <v>10</v>
      </c>
      <c r="F22" s="506" t="s">
        <v>782</v>
      </c>
      <c r="G22" s="506"/>
      <c r="H22" s="495"/>
      <c r="I22" s="507"/>
      <c r="J22" s="508"/>
      <c r="K22" s="508"/>
      <c r="L22" s="509"/>
      <c r="M22" s="379"/>
      <c r="N22" s="541"/>
      <c r="O22" s="379"/>
    </row>
    <row r="23" spans="1:15" ht="15.75" x14ac:dyDescent="0.3">
      <c r="A23" s="503"/>
      <c r="B23" s="495"/>
      <c r="C23" s="495"/>
      <c r="D23" s="497"/>
      <c r="E23" s="510">
        <f>(1/(E22*(1-C22)))/$E$132</f>
        <v>0.78524408163265325</v>
      </c>
      <c r="F23" s="506" t="s">
        <v>783</v>
      </c>
      <c r="G23" s="506"/>
      <c r="H23" s="495"/>
      <c r="I23" s="508"/>
      <c r="J23" s="508"/>
      <c r="K23" s="508"/>
      <c r="L23" s="509"/>
      <c r="M23" s="379"/>
      <c r="N23" s="562"/>
      <c r="O23" s="379"/>
    </row>
    <row r="24" spans="1:15" x14ac:dyDescent="0.2">
      <c r="A24" s="503"/>
      <c r="B24" s="511"/>
      <c r="C24" s="512"/>
      <c r="D24" s="495"/>
      <c r="E24" s="513"/>
      <c r="F24" s="514"/>
      <c r="G24" s="514"/>
      <c r="H24" s="514" t="s">
        <v>1047</v>
      </c>
      <c r="I24" s="515">
        <f>SUM(I22:I23)</f>
        <v>0</v>
      </c>
      <c r="J24" s="515">
        <f>SUM(J22:J23)</f>
        <v>0</v>
      </c>
      <c r="K24" s="515">
        <f>SUM(K22:K23)</f>
        <v>0</v>
      </c>
      <c r="L24" s="516">
        <f>I24*'Standard values'!$D$10+J24*'Standard values'!$D$11+K24*'Standard values'!$D$12</f>
        <v>0</v>
      </c>
      <c r="M24" s="379"/>
      <c r="N24" s="1201">
        <f>+L24/E$23</f>
        <v>0</v>
      </c>
      <c r="O24" s="518"/>
    </row>
    <row r="25" spans="1:15" x14ac:dyDescent="0.2">
      <c r="A25" s="503"/>
      <c r="B25" s="511"/>
      <c r="C25" s="512"/>
      <c r="D25" s="495"/>
      <c r="E25" s="513"/>
      <c r="F25" s="514"/>
      <c r="G25" s="514"/>
      <c r="H25" s="514"/>
      <c r="I25" s="416"/>
      <c r="J25" s="416"/>
      <c r="K25" s="416"/>
      <c r="L25" s="436"/>
      <c r="M25" s="379"/>
      <c r="N25" s="1203"/>
      <c r="O25" s="390"/>
    </row>
    <row r="26" spans="1:15" ht="14.25" x14ac:dyDescent="0.25">
      <c r="A26" s="519"/>
      <c r="B26" s="520"/>
      <c r="C26" s="520"/>
      <c r="D26" s="520"/>
      <c r="E26" s="519"/>
      <c r="F26" s="521"/>
      <c r="G26" s="521"/>
      <c r="H26" s="521" t="s">
        <v>534</v>
      </c>
      <c r="I26" s="522"/>
      <c r="J26" s="523" t="s">
        <v>175</v>
      </c>
      <c r="K26" s="524"/>
      <c r="L26" s="525">
        <f>N24*$E23</f>
        <v>0</v>
      </c>
      <c r="M26" s="379"/>
      <c r="N26" s="390"/>
      <c r="O26" s="390"/>
    </row>
    <row r="27" spans="1:15" x14ac:dyDescent="0.2">
      <c r="A27" s="379"/>
      <c r="B27" s="379"/>
      <c r="C27" s="379"/>
      <c r="D27" s="379"/>
      <c r="E27" s="379"/>
      <c r="F27" s="526"/>
      <c r="G27" s="526"/>
      <c r="H27" s="526"/>
      <c r="I27" s="527"/>
      <c r="J27" s="528"/>
      <c r="K27" s="484"/>
      <c r="L27" s="430"/>
      <c r="M27" s="379"/>
      <c r="N27" s="390"/>
      <c r="O27" s="390"/>
    </row>
    <row r="28" spans="1:15" x14ac:dyDescent="0.2">
      <c r="A28" s="390"/>
      <c r="B28" s="390"/>
      <c r="C28" s="390"/>
      <c r="D28" s="390"/>
      <c r="E28" s="390"/>
      <c r="F28" s="390"/>
      <c r="G28" s="390"/>
      <c r="H28" s="390"/>
      <c r="I28" s="529"/>
      <c r="J28" s="529"/>
      <c r="K28" s="529"/>
      <c r="L28" s="529"/>
      <c r="M28" s="379"/>
      <c r="N28" s="390"/>
      <c r="O28" s="390"/>
    </row>
    <row r="29" spans="1:15" ht="15.75" x14ac:dyDescent="0.25">
      <c r="A29" s="530" t="s">
        <v>190</v>
      </c>
      <c r="B29" s="531"/>
      <c r="C29" s="531"/>
      <c r="D29" s="531"/>
      <c r="E29" s="530" t="s">
        <v>513</v>
      </c>
      <c r="F29" s="532"/>
      <c r="G29" s="532"/>
      <c r="H29" s="531"/>
      <c r="I29" s="532" t="s">
        <v>532</v>
      </c>
      <c r="J29" s="533"/>
      <c r="K29" s="533"/>
      <c r="L29" s="534"/>
      <c r="M29" s="379"/>
      <c r="N29" s="535" t="s">
        <v>162</v>
      </c>
      <c r="O29" s="390"/>
    </row>
    <row r="30" spans="1:15" ht="15.75" x14ac:dyDescent="0.3">
      <c r="A30" s="503"/>
      <c r="B30" s="511" t="s">
        <v>504</v>
      </c>
      <c r="C30" s="536">
        <v>1</v>
      </c>
      <c r="D30" s="495" t="s">
        <v>690</v>
      </c>
      <c r="E30" s="510">
        <f>E21*C30</f>
        <v>1</v>
      </c>
      <c r="F30" s="499" t="s">
        <v>185</v>
      </c>
      <c r="G30" s="499"/>
      <c r="H30" s="495"/>
      <c r="I30" s="492" t="s">
        <v>899</v>
      </c>
      <c r="J30" s="514"/>
      <c r="K30" s="514"/>
      <c r="L30" s="537"/>
      <c r="M30" s="379"/>
      <c r="N30" s="538" t="s">
        <v>574</v>
      </c>
      <c r="O30" s="390"/>
    </row>
    <row r="31" spans="1:15" ht="15.75" x14ac:dyDescent="0.3">
      <c r="A31" s="503"/>
      <c r="B31" s="495"/>
      <c r="C31" s="495"/>
      <c r="D31" s="495"/>
      <c r="E31" s="505"/>
      <c r="F31" s="499"/>
      <c r="G31" s="499"/>
      <c r="H31" s="495"/>
      <c r="I31" s="539" t="s">
        <v>1053</v>
      </c>
      <c r="J31" s="539" t="s">
        <v>1054</v>
      </c>
      <c r="K31" s="539" t="s">
        <v>1055</v>
      </c>
      <c r="L31" s="540" t="s">
        <v>1056</v>
      </c>
      <c r="M31" s="379"/>
      <c r="N31" s="540" t="s">
        <v>1056</v>
      </c>
      <c r="O31" s="390"/>
    </row>
    <row r="32" spans="1:15" x14ac:dyDescent="0.2">
      <c r="A32" s="503"/>
      <c r="B32" s="511" t="s">
        <v>498</v>
      </c>
      <c r="C32" s="495"/>
      <c r="D32" s="495"/>
      <c r="E32" s="505"/>
      <c r="F32" s="506"/>
      <c r="G32" s="506"/>
      <c r="H32" s="495"/>
      <c r="I32" s="539"/>
      <c r="J32" s="539"/>
      <c r="K32" s="539"/>
      <c r="L32" s="540"/>
      <c r="M32" s="379"/>
      <c r="N32" s="541"/>
      <c r="O32" s="390"/>
    </row>
    <row r="33" spans="1:15" ht="15.75" x14ac:dyDescent="0.3">
      <c r="A33" s="503"/>
      <c r="B33" s="495" t="s">
        <v>159</v>
      </c>
      <c r="C33" s="542">
        <v>10</v>
      </c>
      <c r="D33" s="495" t="s">
        <v>510</v>
      </c>
      <c r="E33" s="543">
        <f>(C33*E30)/(VLOOKUP($B30,'Standard values'!$C$9:$S$162,14, FALSE))/(1-$C$22)/1000</f>
        <v>4.0000000000000001E-3</v>
      </c>
      <c r="F33" s="495" t="s">
        <v>897</v>
      </c>
      <c r="G33" s="495"/>
      <c r="H33" s="495"/>
      <c r="I33" s="544">
        <f>$E33*VLOOKUP($B33,'Standard values'!$C$9:$S$162,15, FALSE)*VLOOKUP(C34,'Standard values'!$C$9:$S$162,7, FALSE)/$E$132</f>
        <v>0.69368462171428591</v>
      </c>
      <c r="J33" s="544">
        <f>$E33*((VLOOKUP($B33,'Standard values'!$C$9:$S$162,15, FALSE)*VLOOKUP(C34,'Standard values'!$C$9:$S$162,8, FALSE))+VLOOKUP($B33,'Standard values'!$C$9:$S$162,16, FALSE))/$E$132</f>
        <v>3.9262204081632667E-5</v>
      </c>
      <c r="K33" s="544">
        <f>$E33*((VLOOKUP($B33,'Standard values'!$C$9:$S$162,15, FALSE)*VLOOKUP(C34,'Standard values'!$C$9:$S$162,9, FALSE))+VLOOKUP($B33,'Standard values'!$C$9:$S$162,17, FALSE))/$E$132</f>
        <v>0</v>
      </c>
      <c r="L33" s="516">
        <f>I33*'Standard values'!$D$10+J33*'Standard values'!$D$11+K33*'Standard values'!$D$12</f>
        <v>0.6946661768163267</v>
      </c>
      <c r="M33" s="379"/>
      <c r="N33" s="545">
        <f>+L33/E$23</f>
        <v>0.88465000000000005</v>
      </c>
      <c r="O33" s="390"/>
    </row>
    <row r="34" spans="1:15" x14ac:dyDescent="0.2">
      <c r="A34" s="503"/>
      <c r="B34" s="546" t="s">
        <v>54</v>
      </c>
      <c r="C34" s="547" t="s">
        <v>509</v>
      </c>
      <c r="D34" s="495"/>
      <c r="E34" s="543"/>
      <c r="F34" s="495"/>
      <c r="G34" s="495"/>
      <c r="H34" s="495"/>
      <c r="I34" s="544"/>
      <c r="J34" s="544"/>
      <c r="K34" s="544"/>
      <c r="L34" s="516"/>
      <c r="M34" s="379"/>
      <c r="N34" s="390"/>
      <c r="O34" s="390"/>
    </row>
    <row r="35" spans="1:15" x14ac:dyDescent="0.2">
      <c r="A35" s="503"/>
      <c r="B35" s="495"/>
      <c r="C35" s="495"/>
      <c r="D35" s="495"/>
      <c r="E35" s="503"/>
      <c r="F35" s="495"/>
      <c r="G35" s="495"/>
      <c r="H35" s="548"/>
      <c r="I35" s="544"/>
      <c r="J35" s="544"/>
      <c r="K35" s="544"/>
      <c r="L35" s="516"/>
      <c r="M35" s="379"/>
      <c r="N35" s="390"/>
      <c r="O35" s="390"/>
    </row>
    <row r="36" spans="1:15" ht="14.25" x14ac:dyDescent="0.25">
      <c r="A36" s="519"/>
      <c r="B36" s="520"/>
      <c r="C36" s="520"/>
      <c r="D36" s="520"/>
      <c r="E36" s="519"/>
      <c r="F36" s="521"/>
      <c r="G36" s="521"/>
      <c r="H36" s="521" t="s">
        <v>534</v>
      </c>
      <c r="I36" s="520"/>
      <c r="J36" s="523" t="s">
        <v>175</v>
      </c>
      <c r="K36" s="549"/>
      <c r="L36" s="525">
        <f>L33</f>
        <v>0.6946661768163267</v>
      </c>
      <c r="M36" s="379"/>
      <c r="N36" s="390"/>
      <c r="O36" s="390"/>
    </row>
    <row r="37" spans="1:15" x14ac:dyDescent="0.2">
      <c r="A37" s="390"/>
      <c r="B37" s="390"/>
      <c r="C37" s="390"/>
      <c r="D37" s="390"/>
      <c r="E37" s="390"/>
      <c r="F37" s="376"/>
      <c r="G37" s="376"/>
      <c r="H37" s="376"/>
      <c r="I37" s="390"/>
      <c r="J37" s="550"/>
      <c r="K37" s="551"/>
      <c r="L37" s="552"/>
      <c r="M37" s="379"/>
      <c r="N37" s="379"/>
      <c r="O37" s="379"/>
    </row>
    <row r="38" spans="1:15" x14ac:dyDescent="0.2">
      <c r="A38" s="390"/>
      <c r="B38" s="390"/>
      <c r="C38" s="390"/>
      <c r="D38" s="390"/>
      <c r="E38" s="390"/>
      <c r="F38" s="390"/>
      <c r="G38" s="390"/>
      <c r="H38" s="390"/>
      <c r="I38" s="390"/>
      <c r="J38" s="390"/>
      <c r="K38" s="390"/>
      <c r="L38" s="375"/>
      <c r="M38" s="379"/>
      <c r="N38" s="379"/>
      <c r="O38" s="379"/>
    </row>
    <row r="39" spans="1:15" ht="15.75" x14ac:dyDescent="0.25">
      <c r="A39" s="530" t="s">
        <v>756</v>
      </c>
      <c r="B39" s="532" t="s">
        <v>757</v>
      </c>
      <c r="C39" s="531"/>
      <c r="D39" s="531"/>
      <c r="E39" s="530" t="s">
        <v>513</v>
      </c>
      <c r="F39" s="532"/>
      <c r="G39" s="532"/>
      <c r="H39" s="531"/>
      <c r="I39" s="532" t="s">
        <v>532</v>
      </c>
      <c r="J39" s="533"/>
      <c r="K39" s="533"/>
      <c r="L39" s="534"/>
      <c r="M39" s="379"/>
      <c r="N39" s="535" t="s">
        <v>162</v>
      </c>
      <c r="O39" s="379"/>
    </row>
    <row r="40" spans="1:15" x14ac:dyDescent="0.2">
      <c r="A40" s="503"/>
      <c r="B40" s="511" t="s">
        <v>524</v>
      </c>
      <c r="C40" s="495"/>
      <c r="D40" s="495"/>
      <c r="E40" s="553"/>
      <c r="F40" s="495"/>
      <c r="G40" s="495"/>
      <c r="H40" s="495"/>
      <c r="I40" s="492" t="s">
        <v>899</v>
      </c>
      <c r="J40" s="514"/>
      <c r="K40" s="514"/>
      <c r="L40" s="537"/>
      <c r="M40" s="379"/>
      <c r="N40" s="538" t="s">
        <v>576</v>
      </c>
      <c r="O40" s="379"/>
    </row>
    <row r="41" spans="1:15" ht="15.75" x14ac:dyDescent="0.3">
      <c r="A41" s="503"/>
      <c r="B41" s="506" t="s">
        <v>762</v>
      </c>
      <c r="C41" s="536">
        <f>1/1.4286</f>
        <v>0.69998600027999436</v>
      </c>
      <c r="D41" s="495" t="s">
        <v>186</v>
      </c>
      <c r="E41" s="553" t="s">
        <v>761</v>
      </c>
      <c r="F41" s="495"/>
      <c r="G41" s="495"/>
      <c r="H41" s="495"/>
      <c r="I41" s="492"/>
      <c r="J41" s="514"/>
      <c r="K41" s="514"/>
      <c r="L41" s="537"/>
      <c r="M41" s="379"/>
      <c r="N41" s="554"/>
      <c r="O41" s="379"/>
    </row>
    <row r="42" spans="1:15" ht="15.75" x14ac:dyDescent="0.3">
      <c r="A42" s="503"/>
      <c r="B42" s="506" t="s">
        <v>763</v>
      </c>
      <c r="C42" s="555">
        <f>C41-(C55*C50*C41)-(C68*C41)</f>
        <v>0.51448971020579581</v>
      </c>
      <c r="D42" s="495" t="s">
        <v>186</v>
      </c>
      <c r="E42" s="505">
        <f>E30*C42</f>
        <v>0.51448971020579581</v>
      </c>
      <c r="F42" s="499" t="s">
        <v>688</v>
      </c>
      <c r="G42" s="499"/>
      <c r="H42" s="495"/>
      <c r="I42" s="539" t="s">
        <v>1053</v>
      </c>
      <c r="J42" s="539" t="s">
        <v>1054</v>
      </c>
      <c r="K42" s="539" t="s">
        <v>1055</v>
      </c>
      <c r="L42" s="540" t="s">
        <v>1056</v>
      </c>
      <c r="M42" s="379"/>
      <c r="N42" s="540" t="s">
        <v>1056</v>
      </c>
      <c r="O42" s="379"/>
    </row>
    <row r="43" spans="1:15" ht="15.75" x14ac:dyDescent="0.3">
      <c r="A43" s="503"/>
      <c r="B43" s="506"/>
      <c r="C43" s="555"/>
      <c r="D43" s="495"/>
      <c r="E43" s="557">
        <f>E42/$E$132</f>
        <v>1.01</v>
      </c>
      <c r="F43" s="506" t="s">
        <v>575</v>
      </c>
      <c r="G43" s="506"/>
      <c r="H43" s="495"/>
      <c r="I43" s="539"/>
      <c r="J43" s="539"/>
      <c r="K43" s="539"/>
      <c r="L43" s="540"/>
      <c r="M43" s="379"/>
      <c r="N43" s="540"/>
      <c r="O43" s="379"/>
    </row>
    <row r="44" spans="1:15" x14ac:dyDescent="0.2">
      <c r="A44" s="503"/>
      <c r="B44" s="506" t="s">
        <v>579</v>
      </c>
      <c r="C44" s="556">
        <v>1.4</v>
      </c>
      <c r="D44" s="495"/>
      <c r="E44" s="505"/>
      <c r="F44" s="499"/>
      <c r="G44" s="499"/>
      <c r="H44" s="495"/>
      <c r="I44" s="539"/>
      <c r="J44" s="539"/>
      <c r="K44" s="539"/>
      <c r="L44" s="540"/>
      <c r="M44" s="379"/>
      <c r="N44" s="540"/>
      <c r="O44" s="379"/>
    </row>
    <row r="45" spans="1:15" x14ac:dyDescent="0.2">
      <c r="A45" s="503"/>
      <c r="B45" s="506"/>
      <c r="C45" s="555"/>
      <c r="D45" s="495"/>
      <c r="E45" s="505"/>
      <c r="F45" s="499"/>
      <c r="G45" s="499"/>
      <c r="H45" s="495"/>
      <c r="I45" s="539"/>
      <c r="J45" s="539"/>
      <c r="K45" s="539"/>
      <c r="L45" s="540"/>
      <c r="M45" s="379"/>
      <c r="N45" s="540"/>
      <c r="O45" s="379"/>
    </row>
    <row r="46" spans="1:15" ht="15.75" x14ac:dyDescent="0.3">
      <c r="A46" s="558" t="s">
        <v>133</v>
      </c>
      <c r="B46" s="506" t="s">
        <v>231</v>
      </c>
      <c r="C46" s="559">
        <v>-3.3333333333333332E-4</v>
      </c>
      <c r="D46" s="506" t="s">
        <v>913</v>
      </c>
      <c r="E46" s="557" t="s">
        <v>850</v>
      </c>
      <c r="F46" s="506"/>
      <c r="G46" s="506"/>
      <c r="H46" s="495"/>
      <c r="I46" s="560"/>
      <c r="J46" s="544"/>
      <c r="K46" s="544"/>
      <c r="L46" s="561"/>
      <c r="M46" s="379"/>
      <c r="N46" s="562"/>
      <c r="O46" s="379"/>
    </row>
    <row r="47" spans="1:15" x14ac:dyDescent="0.2">
      <c r="A47" s="563"/>
      <c r="B47" s="506"/>
      <c r="C47" s="564"/>
      <c r="D47" s="506"/>
      <c r="E47" s="557"/>
      <c r="F47" s="506"/>
      <c r="G47" s="506"/>
      <c r="H47" s="495"/>
      <c r="I47" s="495"/>
      <c r="J47" s="495"/>
      <c r="K47" s="495"/>
      <c r="L47" s="541"/>
      <c r="M47" s="379"/>
      <c r="N47" s="562"/>
      <c r="O47" s="379"/>
    </row>
    <row r="48" spans="1:15" x14ac:dyDescent="0.2">
      <c r="A48" s="503"/>
      <c r="B48" s="511" t="s">
        <v>525</v>
      </c>
      <c r="C48" s="495"/>
      <c r="D48" s="495"/>
      <c r="E48" s="513"/>
      <c r="F48" s="495"/>
      <c r="G48" s="495"/>
      <c r="H48" s="495"/>
      <c r="I48" s="495"/>
      <c r="J48" s="495"/>
      <c r="K48" s="495"/>
      <c r="L48" s="541"/>
      <c r="M48" s="379"/>
      <c r="N48" s="562"/>
      <c r="O48" s="379"/>
    </row>
    <row r="49" spans="1:15" ht="15.75" x14ac:dyDescent="0.3">
      <c r="A49" s="503"/>
      <c r="B49" s="495" t="s">
        <v>507</v>
      </c>
      <c r="C49" s="536">
        <f>0.043</f>
        <v>4.2999999999999997E-2</v>
      </c>
      <c r="D49" s="495" t="s">
        <v>254</v>
      </c>
      <c r="E49" s="503" t="s">
        <v>250</v>
      </c>
      <c r="F49" s="495"/>
      <c r="G49" s="495"/>
      <c r="H49" s="495"/>
      <c r="I49" s="544"/>
      <c r="J49" s="544"/>
      <c r="K49" s="544"/>
      <c r="L49" s="419"/>
      <c r="M49" s="379"/>
      <c r="N49" s="562"/>
      <c r="O49" s="379"/>
    </row>
    <row r="50" spans="1:15" ht="15.75" x14ac:dyDescent="0.3">
      <c r="A50" s="503"/>
      <c r="B50" s="495" t="s">
        <v>251</v>
      </c>
      <c r="C50" s="536">
        <f>0.15</f>
        <v>0.15</v>
      </c>
      <c r="D50" s="495" t="s">
        <v>254</v>
      </c>
      <c r="E50" s="503"/>
      <c r="F50" s="495"/>
      <c r="G50" s="495"/>
      <c r="H50" s="495"/>
      <c r="I50" s="544"/>
      <c r="J50" s="544"/>
      <c r="K50" s="544"/>
      <c r="L50" s="419"/>
      <c r="M50" s="379"/>
      <c r="N50" s="562"/>
      <c r="O50" s="379"/>
    </row>
    <row r="51" spans="1:15" x14ac:dyDescent="0.2">
      <c r="A51" s="503"/>
      <c r="B51" s="565" t="s">
        <v>252</v>
      </c>
      <c r="C51" s="566"/>
      <c r="D51" s="566"/>
      <c r="E51" s="567"/>
      <c r="F51" s="568"/>
      <c r="G51" s="568"/>
      <c r="H51" s="568"/>
      <c r="I51" s="569"/>
      <c r="J51" s="568"/>
      <c r="K51" s="568"/>
      <c r="L51" s="570"/>
      <c r="M51" s="379"/>
      <c r="N51" s="562"/>
      <c r="O51" s="379"/>
    </row>
    <row r="52" spans="1:15" x14ac:dyDescent="0.2">
      <c r="A52" s="503"/>
      <c r="B52" s="571" t="s">
        <v>377</v>
      </c>
      <c r="C52" s="566"/>
      <c r="D52" s="566"/>
      <c r="E52" s="567" t="s">
        <v>799</v>
      </c>
      <c r="F52" s="568"/>
      <c r="G52" s="568"/>
      <c r="H52" s="568"/>
      <c r="I52" s="569"/>
      <c r="J52" s="568"/>
      <c r="K52" s="568"/>
      <c r="L52" s="570"/>
      <c r="M52" s="379"/>
      <c r="N52" s="562"/>
      <c r="O52" s="379"/>
    </row>
    <row r="53" spans="1:15" ht="15.75" x14ac:dyDescent="0.3">
      <c r="A53" s="503"/>
      <c r="B53" s="572" t="s">
        <v>380</v>
      </c>
      <c r="C53" s="573">
        <f>C50</f>
        <v>0.15</v>
      </c>
      <c r="D53" s="568" t="s">
        <v>254</v>
      </c>
      <c r="E53" s="567" t="s">
        <v>768</v>
      </c>
      <c r="F53" s="568"/>
      <c r="G53" s="568"/>
      <c r="H53" s="568"/>
      <c r="I53" s="574"/>
      <c r="J53" s="574"/>
      <c r="K53" s="574"/>
      <c r="L53" s="575"/>
      <c r="M53" s="379"/>
      <c r="N53" s="562"/>
      <c r="O53" s="379"/>
    </row>
    <row r="54" spans="1:15" x14ac:dyDescent="0.2">
      <c r="A54" s="503"/>
      <c r="B54" s="571" t="s">
        <v>378</v>
      </c>
      <c r="C54" s="573"/>
      <c r="D54" s="566"/>
      <c r="E54" s="576"/>
      <c r="F54" s="568"/>
      <c r="G54" s="568"/>
      <c r="H54" s="568"/>
      <c r="I54" s="574"/>
      <c r="J54" s="574"/>
      <c r="K54" s="574"/>
      <c r="L54" s="575"/>
      <c r="M54" s="379"/>
      <c r="N54" s="562"/>
      <c r="O54" s="379"/>
    </row>
    <row r="55" spans="1:15" ht="14.25" x14ac:dyDescent="0.25">
      <c r="A55" s="503"/>
      <c r="B55" s="577" t="s">
        <v>253</v>
      </c>
      <c r="C55" s="536">
        <v>1.7</v>
      </c>
      <c r="D55" s="568" t="s">
        <v>419</v>
      </c>
      <c r="E55" s="578"/>
      <c r="F55" s="568"/>
      <c r="G55" s="568"/>
      <c r="H55" s="568"/>
      <c r="I55" s="574"/>
      <c r="J55" s="574"/>
      <c r="K55" s="574"/>
      <c r="L55" s="575"/>
      <c r="M55" s="379"/>
      <c r="N55" s="562"/>
      <c r="O55" s="379"/>
    </row>
    <row r="56" spans="1:15" ht="15.75" x14ac:dyDescent="0.3">
      <c r="A56" s="503"/>
      <c r="B56" s="572" t="s">
        <v>773</v>
      </c>
      <c r="C56" s="536">
        <v>0</v>
      </c>
      <c r="D56" s="568" t="s">
        <v>254</v>
      </c>
      <c r="E56" s="578"/>
      <c r="F56" s="568"/>
      <c r="G56" s="568"/>
      <c r="H56" s="568"/>
      <c r="I56" s="574"/>
      <c r="J56" s="574"/>
      <c r="K56" s="574"/>
      <c r="L56" s="575"/>
      <c r="M56" s="379"/>
      <c r="N56" s="562"/>
      <c r="O56" s="379"/>
    </row>
    <row r="57" spans="1:15" x14ac:dyDescent="0.2">
      <c r="A57" s="503"/>
      <c r="B57" s="571" t="s">
        <v>935</v>
      </c>
      <c r="C57" s="573"/>
      <c r="D57" s="566"/>
      <c r="E57" s="567"/>
      <c r="F57" s="568"/>
      <c r="G57" s="568"/>
      <c r="H57" s="568"/>
      <c r="I57" s="569" t="s">
        <v>532</v>
      </c>
      <c r="J57" s="574"/>
      <c r="K57" s="574"/>
      <c r="L57" s="575"/>
      <c r="M57" s="379"/>
      <c r="N57" s="562"/>
      <c r="O57" s="379"/>
    </row>
    <row r="58" spans="1:15" ht="15.75" x14ac:dyDescent="0.3">
      <c r="A58" s="503"/>
      <c r="B58" s="572" t="s">
        <v>581</v>
      </c>
      <c r="C58" s="573"/>
      <c r="D58" s="566"/>
      <c r="E58" s="567"/>
      <c r="F58" s="568"/>
      <c r="G58" s="568"/>
      <c r="H58" s="568"/>
      <c r="I58" s="574">
        <f>$C50*$C$41*$C$44*VLOOKUP($B58,'Standard values'!$C$9:$S$159,7, FALSE)/$E$132</f>
        <v>0</v>
      </c>
      <c r="J58" s="574">
        <f>$C50*$C$41*$C$44*VLOOKUP($B58,'Standard values'!$C$9:$S$159,8, FALSE)/$E$132</f>
        <v>1.5390476190476187E-2</v>
      </c>
      <c r="K58" s="574">
        <f>$C50*$C$41*$C$44*VLOOKUP($B58,'Standard values'!$C$9:$S$159,9, FALSE)/$E$132</f>
        <v>0</v>
      </c>
      <c r="L58" s="575">
        <f>I58*'Standard values'!$D$10+J58*'Standard values'!$D$11+K58*'Standard values'!$D$12</f>
        <v>0.38476190476190469</v>
      </c>
      <c r="M58" s="379"/>
      <c r="N58" s="562">
        <f>+L58/$E$43</f>
        <v>0.38095238095238088</v>
      </c>
      <c r="O58" s="379"/>
    </row>
    <row r="59" spans="1:15" ht="27" x14ac:dyDescent="0.3">
      <c r="A59" s="503"/>
      <c r="B59" s="579" t="s">
        <v>158</v>
      </c>
      <c r="C59" s="573">
        <f>C56</f>
        <v>0</v>
      </c>
      <c r="D59" s="568" t="s">
        <v>254</v>
      </c>
      <c r="E59" s="567"/>
      <c r="F59" s="568"/>
      <c r="G59" s="568"/>
      <c r="H59" s="568"/>
      <c r="I59" s="574">
        <f>$C59*$C$41*$C$44*VLOOKUP($B59,'Standard values'!$C$9:$S$162,7, FALSE)/$E$132</f>
        <v>0</v>
      </c>
      <c r="J59" s="574">
        <f>$C59*$C$41*$C$44*VLOOKUP($B59,'Standard values'!$C$9:$S$162,8, FALSE)/$E$132</f>
        <v>0</v>
      </c>
      <c r="K59" s="574">
        <f>$C59*$C$41*$C$44*VLOOKUP($B59,'Standard values'!$C$9:$S$162,9, FALSE)/$E$132</f>
        <v>0</v>
      </c>
      <c r="L59" s="575">
        <f>I59*'Standard values'!$D$10+J59*'Standard values'!$D$11+K59*'Standard values'!$D$12</f>
        <v>0</v>
      </c>
      <c r="M59" s="379"/>
      <c r="N59" s="562">
        <f>+L59/$E$43</f>
        <v>0</v>
      </c>
      <c r="O59" s="379"/>
    </row>
    <row r="60" spans="1:15" x14ac:dyDescent="0.2">
      <c r="A60" s="503"/>
      <c r="B60" s="580" t="s">
        <v>801</v>
      </c>
      <c r="C60" s="573"/>
      <c r="D60" s="568"/>
      <c r="E60" s="567"/>
      <c r="F60" s="568"/>
      <c r="G60" s="568"/>
      <c r="H60" s="568"/>
      <c r="I60" s="574"/>
      <c r="J60" s="574"/>
      <c r="K60" s="574"/>
      <c r="L60" s="575"/>
      <c r="M60" s="379"/>
      <c r="N60" s="562"/>
      <c r="O60" s="379"/>
    </row>
    <row r="61" spans="1:15" ht="14.25" x14ac:dyDescent="0.25">
      <c r="A61" s="503"/>
      <c r="B61" s="577" t="s">
        <v>348</v>
      </c>
      <c r="C61" s="536">
        <v>0.5</v>
      </c>
      <c r="D61" s="568" t="s">
        <v>419</v>
      </c>
      <c r="E61" s="567"/>
      <c r="F61" s="568"/>
      <c r="G61" s="568"/>
      <c r="H61" s="568"/>
      <c r="I61" s="574"/>
      <c r="J61" s="581"/>
      <c r="K61" s="581"/>
      <c r="L61" s="575"/>
      <c r="M61" s="379"/>
      <c r="N61" s="562"/>
      <c r="O61" s="379"/>
    </row>
    <row r="62" spans="1:15" ht="15.75" x14ac:dyDescent="0.3">
      <c r="A62" s="503"/>
      <c r="B62" s="577" t="s">
        <v>774</v>
      </c>
      <c r="C62" s="573">
        <f>C61*C50</f>
        <v>7.4999999999999997E-2</v>
      </c>
      <c r="D62" s="568" t="s">
        <v>254</v>
      </c>
      <c r="E62" s="567" t="s">
        <v>776</v>
      </c>
      <c r="F62" s="568"/>
      <c r="G62" s="568"/>
      <c r="H62" s="568"/>
      <c r="I62" s="574"/>
      <c r="J62" s="581"/>
      <c r="K62" s="581"/>
      <c r="L62" s="575"/>
      <c r="M62" s="379"/>
      <c r="N62" s="562"/>
      <c r="O62" s="379"/>
    </row>
    <row r="63" spans="1:15" ht="27" x14ac:dyDescent="0.3">
      <c r="A63" s="503"/>
      <c r="B63" s="579" t="s">
        <v>775</v>
      </c>
      <c r="C63" s="573">
        <f>C49-C62</f>
        <v>-3.2000000000000001E-2</v>
      </c>
      <c r="D63" s="568" t="s">
        <v>254</v>
      </c>
      <c r="E63" s="567"/>
      <c r="F63" s="568"/>
      <c r="G63" s="568"/>
      <c r="H63" s="568"/>
      <c r="I63" s="574"/>
      <c r="J63" s="581"/>
      <c r="K63" s="581"/>
      <c r="L63" s="575"/>
      <c r="M63" s="379"/>
      <c r="N63" s="562"/>
      <c r="O63" s="379"/>
    </row>
    <row r="64" spans="1:15" ht="15.75" x14ac:dyDescent="0.3">
      <c r="A64" s="503"/>
      <c r="B64" s="577" t="str">
        <f>IF(C63&gt;0, "Electricity EU mix LV", "Electricity surplus from CHP")</f>
        <v>Electricity surplus from CHP</v>
      </c>
      <c r="C64" s="573">
        <f>ABS(C49-C62)</f>
        <v>3.2000000000000001E-2</v>
      </c>
      <c r="D64" s="568" t="s">
        <v>254</v>
      </c>
      <c r="E64" s="567" t="str">
        <f>IF(C63&gt;0, "Electricity use in biogas plant larger than generation", "Surplus electricity.")</f>
        <v>Surplus electricity.</v>
      </c>
      <c r="F64" s="568"/>
      <c r="G64" s="568"/>
      <c r="H64" s="568"/>
      <c r="I64" s="574">
        <f>$C64*$C$41*$C$44*VLOOKUP($B64,'Standard values'!$C$9:$S$162,7, FALSE)/$E$132</f>
        <v>0</v>
      </c>
      <c r="J64" s="574">
        <f>$C64*$C$41*$C$44*VLOOKUP($B64,'Standard values'!$C$9:$S$162,8, FALSE)/$E$132</f>
        <v>0</v>
      </c>
      <c r="K64" s="574">
        <f>$C64*$C$41*$C$44*VLOOKUP($B64,'Standard values'!$C$9:$S$162,9, FALSE)/$E$132</f>
        <v>0</v>
      </c>
      <c r="L64" s="575">
        <f>I64*'Standard values'!$D$10+J64*'Standard values'!$D$11+K64*'Standard values'!$D$12</f>
        <v>0</v>
      </c>
      <c r="M64" s="379"/>
      <c r="N64" s="562">
        <f>+L64/$E$43</f>
        <v>0</v>
      </c>
      <c r="O64" s="379"/>
    </row>
    <row r="65" spans="1:15" x14ac:dyDescent="0.2">
      <c r="A65" s="503"/>
      <c r="B65" s="582"/>
      <c r="C65" s="573"/>
      <c r="D65" s="568"/>
      <c r="E65" s="567" t="str">
        <f>IF(C63&gt;0, "   in NG CHP. Therefore calculated as EU Mix LV", " No credit for surplus electricity from CHP")</f>
        <v xml:space="preserve"> No credit for surplus electricity from CHP</v>
      </c>
      <c r="F65" s="568"/>
      <c r="G65" s="568"/>
      <c r="H65" s="568"/>
      <c r="I65" s="574"/>
      <c r="J65" s="574"/>
      <c r="K65" s="574"/>
      <c r="L65" s="575"/>
      <c r="M65" s="379"/>
      <c r="N65" s="562"/>
      <c r="O65" s="379"/>
    </row>
    <row r="66" spans="1:15" x14ac:dyDescent="0.2">
      <c r="A66" s="503"/>
      <c r="B66" s="511"/>
      <c r="C66" s="495"/>
      <c r="D66" s="495"/>
      <c r="E66" s="503"/>
      <c r="F66" s="495"/>
      <c r="G66" s="495"/>
      <c r="H66" s="514"/>
      <c r="I66" s="583"/>
      <c r="J66" s="583"/>
      <c r="K66" s="583"/>
      <c r="L66" s="516"/>
      <c r="M66" s="379"/>
      <c r="N66" s="584"/>
      <c r="O66" s="379"/>
    </row>
    <row r="67" spans="1:15" x14ac:dyDescent="0.2">
      <c r="A67" s="503"/>
      <c r="B67" s="511" t="s">
        <v>900</v>
      </c>
      <c r="C67" s="495"/>
      <c r="D67" s="495"/>
      <c r="E67" s="503"/>
      <c r="F67" s="495"/>
      <c r="G67" s="495"/>
      <c r="H67" s="514"/>
      <c r="I67" s="583"/>
      <c r="J67" s="583"/>
      <c r="K67" s="583"/>
      <c r="L67" s="516"/>
      <c r="M67" s="379"/>
      <c r="N67" s="584"/>
      <c r="O67" s="379"/>
    </row>
    <row r="68" spans="1:15" ht="15.75" x14ac:dyDescent="0.3">
      <c r="A68" s="503"/>
      <c r="B68" s="495" t="s">
        <v>901</v>
      </c>
      <c r="C68" s="555">
        <f>0.01</f>
        <v>0.01</v>
      </c>
      <c r="D68" s="495" t="s">
        <v>254</v>
      </c>
      <c r="E68" s="503"/>
      <c r="F68" s="495"/>
      <c r="G68" s="495"/>
      <c r="H68" s="514"/>
      <c r="I68" s="583"/>
      <c r="J68" s="544">
        <f>$C68*$C$41*$C$44*1000/VLOOKUP($B68,'Standard values'!$C$9:$S$162,14, FALSE)/$E$132</f>
        <v>0.3847619047619048</v>
      </c>
      <c r="K68" s="495"/>
      <c r="L68" s="561">
        <f>I68*'Standard values'!$D$10+J68*'Standard values'!$D$11+K68*'Standard values'!$D$12</f>
        <v>9.6190476190476204</v>
      </c>
      <c r="M68" s="379"/>
      <c r="N68" s="562">
        <f>+L68/$E$43</f>
        <v>9.5238095238095255</v>
      </c>
      <c r="O68" s="379"/>
    </row>
    <row r="69" spans="1:15" x14ac:dyDescent="0.2">
      <c r="A69" s="503"/>
      <c r="B69" s="511"/>
      <c r="C69" s="495"/>
      <c r="D69" s="495"/>
      <c r="E69" s="503"/>
      <c r="F69" s="495"/>
      <c r="G69" s="495"/>
      <c r="H69" s="514" t="s">
        <v>1047</v>
      </c>
      <c r="I69" s="583">
        <f>SUM(I46:I68)</f>
        <v>0</v>
      </c>
      <c r="J69" s="583">
        <f>SUM(J46:J68)</f>
        <v>0.40015238095238098</v>
      </c>
      <c r="K69" s="583">
        <f>SUM(K46:K68)</f>
        <v>0</v>
      </c>
      <c r="L69" s="516">
        <f>I69*'Standard values'!$D$10+J69*'Standard values'!$D$11+K69*'Standard values'!$D$12</f>
        <v>10.003809523809524</v>
      </c>
      <c r="M69" s="379"/>
      <c r="N69" s="545">
        <f>+L69/$E$43</f>
        <v>9.9047619047619051</v>
      </c>
      <c r="O69" s="379"/>
    </row>
    <row r="70" spans="1:15" x14ac:dyDescent="0.2">
      <c r="A70" s="503"/>
      <c r="B70" s="511"/>
      <c r="C70" s="495"/>
      <c r="D70" s="495"/>
      <c r="E70" s="503"/>
      <c r="F70" s="495"/>
      <c r="G70" s="495"/>
      <c r="H70" s="514"/>
      <c r="I70" s="583"/>
      <c r="J70" s="583"/>
      <c r="K70" s="583"/>
      <c r="L70" s="516"/>
      <c r="M70" s="379"/>
      <c r="N70" s="390"/>
      <c r="O70" s="379"/>
    </row>
    <row r="71" spans="1:15" ht="14.25" x14ac:dyDescent="0.25">
      <c r="A71" s="519"/>
      <c r="B71" s="520"/>
      <c r="C71" s="520"/>
      <c r="D71" s="520"/>
      <c r="E71" s="519"/>
      <c r="F71" s="521"/>
      <c r="G71" s="521"/>
      <c r="H71" s="521" t="s">
        <v>534</v>
      </c>
      <c r="I71" s="520"/>
      <c r="J71" s="523" t="s">
        <v>175</v>
      </c>
      <c r="K71" s="549"/>
      <c r="L71" s="525">
        <f>L69</f>
        <v>10.003809523809524</v>
      </c>
      <c r="M71" s="379"/>
      <c r="N71" s="390"/>
      <c r="O71" s="379"/>
    </row>
    <row r="72" spans="1:15" x14ac:dyDescent="0.2">
      <c r="A72" s="390"/>
      <c r="B72" s="390"/>
      <c r="C72" s="390"/>
      <c r="D72" s="390"/>
      <c r="E72" s="390"/>
      <c r="F72" s="376"/>
      <c r="G72" s="376"/>
      <c r="H72" s="376"/>
      <c r="I72" s="390"/>
      <c r="J72" s="550"/>
      <c r="K72" s="551"/>
      <c r="L72" s="585"/>
      <c r="M72" s="379"/>
      <c r="N72" s="390"/>
      <c r="O72" s="390"/>
    </row>
    <row r="73" spans="1:15" x14ac:dyDescent="0.2">
      <c r="A73" s="390"/>
      <c r="B73" s="390"/>
      <c r="C73" s="390"/>
      <c r="D73" s="379"/>
      <c r="E73" s="379"/>
      <c r="F73" s="551"/>
      <c r="G73" s="551"/>
      <c r="H73" s="437"/>
      <c r="I73" s="378"/>
      <c r="J73" s="379"/>
      <c r="K73" s="379"/>
      <c r="L73" s="586"/>
      <c r="M73" s="379"/>
      <c r="N73" s="379"/>
      <c r="O73" s="379"/>
    </row>
    <row r="74" spans="1:15" ht="18.75" x14ac:dyDescent="0.35">
      <c r="A74" s="530" t="s">
        <v>336</v>
      </c>
      <c r="B74" s="532" t="s">
        <v>758</v>
      </c>
      <c r="C74" s="531"/>
      <c r="D74" s="531"/>
      <c r="E74" s="530" t="s">
        <v>513</v>
      </c>
      <c r="F74" s="532"/>
      <c r="G74" s="532"/>
      <c r="H74" s="531"/>
      <c r="I74" s="532" t="s">
        <v>532</v>
      </c>
      <c r="J74" s="533"/>
      <c r="K74" s="533"/>
      <c r="L74" s="534"/>
      <c r="M74" s="379"/>
      <c r="N74" s="535" t="s">
        <v>162</v>
      </c>
      <c r="O74" s="390"/>
    </row>
    <row r="75" spans="1:15" ht="14.25" x14ac:dyDescent="0.25">
      <c r="A75" s="587"/>
      <c r="B75" s="511" t="s">
        <v>524</v>
      </c>
      <c r="C75" s="511"/>
      <c r="D75" s="495"/>
      <c r="E75" s="588"/>
      <c r="F75" s="495"/>
      <c r="G75" s="495"/>
      <c r="H75" s="495"/>
      <c r="I75" s="492" t="s">
        <v>899</v>
      </c>
      <c r="J75" s="514"/>
      <c r="K75" s="514"/>
      <c r="L75" s="537"/>
      <c r="M75" s="379"/>
      <c r="N75" s="554" t="s">
        <v>577</v>
      </c>
      <c r="O75" s="390"/>
    </row>
    <row r="76" spans="1:15" ht="15.75" x14ac:dyDescent="0.3">
      <c r="A76" s="587"/>
      <c r="B76" s="495" t="s">
        <v>256</v>
      </c>
      <c r="C76" s="536">
        <f>1/1.01</f>
        <v>0.99009900990099009</v>
      </c>
      <c r="D76" s="495" t="s">
        <v>257</v>
      </c>
      <c r="E76" s="589">
        <f>C76*E42</f>
        <v>0.50939575267900572</v>
      </c>
      <c r="F76" s="495" t="s">
        <v>187</v>
      </c>
      <c r="G76" s="495"/>
      <c r="H76" s="495"/>
      <c r="I76" s="539" t="s">
        <v>1053</v>
      </c>
      <c r="J76" s="539" t="s">
        <v>1054</v>
      </c>
      <c r="K76" s="539" t="s">
        <v>1055</v>
      </c>
      <c r="L76" s="540" t="s">
        <v>1056</v>
      </c>
      <c r="M76" s="379"/>
      <c r="N76" s="540" t="s">
        <v>1056</v>
      </c>
      <c r="O76" s="390"/>
    </row>
    <row r="77" spans="1:15" ht="15.75" x14ac:dyDescent="0.3">
      <c r="A77" s="587"/>
      <c r="B77" s="495"/>
      <c r="C77" s="512"/>
      <c r="D77" s="495"/>
      <c r="E77" s="505">
        <f>E76/$E$132</f>
        <v>1</v>
      </c>
      <c r="F77" s="495" t="s">
        <v>578</v>
      </c>
      <c r="G77" s="495"/>
      <c r="H77" s="495"/>
      <c r="I77" s="495"/>
      <c r="J77" s="495"/>
      <c r="K77" s="495"/>
      <c r="L77" s="541"/>
      <c r="M77" s="379"/>
      <c r="N77" s="541"/>
      <c r="O77" s="390"/>
    </row>
    <row r="78" spans="1:15" x14ac:dyDescent="0.2">
      <c r="A78" s="503"/>
      <c r="B78" s="506" t="s">
        <v>579</v>
      </c>
      <c r="C78" s="556">
        <v>1.4</v>
      </c>
      <c r="D78" s="495"/>
      <c r="E78" s="505"/>
      <c r="F78" s="499"/>
      <c r="G78" s="499"/>
      <c r="H78" s="495"/>
      <c r="I78" s="539"/>
      <c r="J78" s="539"/>
      <c r="K78" s="539"/>
      <c r="L78" s="540"/>
      <c r="M78" s="379"/>
      <c r="N78" s="540"/>
      <c r="O78" s="390"/>
    </row>
    <row r="79" spans="1:15" x14ac:dyDescent="0.2">
      <c r="A79" s="587"/>
      <c r="B79" s="495"/>
      <c r="C79" s="512"/>
      <c r="D79" s="495"/>
      <c r="E79" s="505"/>
      <c r="F79" s="495"/>
      <c r="G79" s="495"/>
      <c r="H79" s="495"/>
      <c r="I79" s="495"/>
      <c r="J79" s="495"/>
      <c r="K79" s="495"/>
      <c r="L79" s="541"/>
      <c r="M79" s="379"/>
      <c r="N79" s="541"/>
      <c r="O79" s="390"/>
    </row>
    <row r="80" spans="1:15" x14ac:dyDescent="0.2">
      <c r="A80" s="503"/>
      <c r="B80" s="511" t="s">
        <v>525</v>
      </c>
      <c r="C80" s="512"/>
      <c r="D80" s="495"/>
      <c r="E80" s="503"/>
      <c r="F80" s="495"/>
      <c r="G80" s="495"/>
      <c r="H80" s="495"/>
      <c r="I80" s="495"/>
      <c r="J80" s="495"/>
      <c r="K80" s="495"/>
      <c r="L80" s="541"/>
      <c r="M80" s="379"/>
      <c r="N80" s="541"/>
      <c r="O80" s="390"/>
    </row>
    <row r="81" spans="1:15" ht="15.75" x14ac:dyDescent="0.3">
      <c r="A81" s="503"/>
      <c r="B81" s="1301" t="s">
        <v>49</v>
      </c>
      <c r="C81" s="536">
        <v>0.03</v>
      </c>
      <c r="D81" s="495" t="s">
        <v>258</v>
      </c>
      <c r="E81" s="503"/>
      <c r="F81" s="495"/>
      <c r="G81" s="495"/>
      <c r="H81" s="495"/>
      <c r="I81" s="544">
        <f>$C78*$C81*$E$76*VLOOKUP($B81,'Standard values'!$C$9:$S$162,7, FALSE)/$E$132</f>
        <v>5.0733689999999987</v>
      </c>
      <c r="J81" s="544">
        <f>$C78*$C81*$E$76*VLOOKUP($B81,'Standard values'!$C$9:$S$162,8, FALSE)/$E$132</f>
        <v>1.2372499999999998E-2</v>
      </c>
      <c r="K81" s="544">
        <f>$C78*$C81*$E$76*VLOOKUP($B81,'Standard values'!$C$9:$S$162,9, FALSE)/$E$132</f>
        <v>2.2983333333333327E-4</v>
      </c>
      <c r="L81" s="516">
        <f>I81*'Standard values'!$D$10+J81*'Standard values'!$D$11+K81*'Standard values'!$D$12</f>
        <v>5.4511718333333317</v>
      </c>
      <c r="M81" s="379"/>
      <c r="N81" s="562">
        <f>L81/$E$77</f>
        <v>5.4511718333333317</v>
      </c>
      <c r="O81" s="390"/>
    </row>
    <row r="82" spans="1:15" x14ac:dyDescent="0.2">
      <c r="A82" s="590"/>
      <c r="B82" s="495"/>
      <c r="C82" s="492"/>
      <c r="D82" s="495"/>
      <c r="E82" s="503"/>
      <c r="F82" s="495"/>
      <c r="G82" s="495"/>
      <c r="H82" s="495"/>
      <c r="I82" s="495"/>
      <c r="J82" s="495"/>
      <c r="K82" s="495"/>
      <c r="L82" s="516"/>
      <c r="M82" s="379"/>
      <c r="N82" s="541"/>
      <c r="O82" s="390"/>
    </row>
    <row r="83" spans="1:15" x14ac:dyDescent="0.2">
      <c r="A83" s="590"/>
      <c r="B83" s="511" t="s">
        <v>900</v>
      </c>
      <c r="C83" s="492"/>
      <c r="D83" s="495"/>
      <c r="E83" s="503"/>
      <c r="F83" s="495"/>
      <c r="G83" s="495"/>
      <c r="H83" s="495"/>
      <c r="I83" s="495"/>
      <c r="J83" s="495"/>
      <c r="K83" s="495"/>
      <c r="L83" s="516"/>
      <c r="M83" s="379"/>
      <c r="N83" s="541"/>
      <c r="O83" s="390"/>
    </row>
    <row r="84" spans="1:15" ht="15.75" x14ac:dyDescent="0.3">
      <c r="A84" s="590"/>
      <c r="B84" s="495" t="s">
        <v>901</v>
      </c>
      <c r="C84" s="555">
        <v>0.01</v>
      </c>
      <c r="D84" s="495" t="s">
        <v>258</v>
      </c>
      <c r="E84" s="503"/>
      <c r="F84" s="495"/>
      <c r="G84" s="495"/>
      <c r="H84" s="495"/>
      <c r="I84" s="495"/>
      <c r="J84" s="544">
        <f>$C78*$C84*$E$76*1000/VLOOKUP($B84,'Standard values'!$C$9:$S$162,14, FALSE)/$E$132</f>
        <v>0.27999999999999992</v>
      </c>
      <c r="K84" s="495"/>
      <c r="L84" s="516">
        <f>I84*'Standard values'!$D$10+J84*'Standard values'!$D$11+K84*'Standard values'!$D$12</f>
        <v>6.9999999999999982</v>
      </c>
      <c r="M84" s="379"/>
      <c r="N84" s="562">
        <f>L84/$E$77</f>
        <v>6.9999999999999982</v>
      </c>
      <c r="O84" s="390"/>
    </row>
    <row r="85" spans="1:15" x14ac:dyDescent="0.2">
      <c r="A85" s="590"/>
      <c r="B85" s="495"/>
      <c r="C85" s="492"/>
      <c r="D85" s="495"/>
      <c r="E85" s="503"/>
      <c r="F85" s="495"/>
      <c r="G85" s="495"/>
      <c r="H85" s="495"/>
      <c r="I85" s="495"/>
      <c r="J85" s="495"/>
      <c r="K85" s="495"/>
      <c r="L85" s="541"/>
      <c r="M85" s="379"/>
      <c r="N85" s="541"/>
      <c r="O85" s="390"/>
    </row>
    <row r="86" spans="1:15" ht="14.25" x14ac:dyDescent="0.25">
      <c r="A86" s="519"/>
      <c r="B86" s="520"/>
      <c r="C86" s="520"/>
      <c r="D86" s="520"/>
      <c r="E86" s="519"/>
      <c r="F86" s="521"/>
      <c r="G86" s="521"/>
      <c r="H86" s="521" t="s">
        <v>534</v>
      </c>
      <c r="I86" s="520"/>
      <c r="J86" s="523" t="s">
        <v>175</v>
      </c>
      <c r="K86" s="549"/>
      <c r="L86" s="525">
        <f>L81+L84</f>
        <v>12.45117183333333</v>
      </c>
      <c r="M86" s="379"/>
      <c r="N86" s="545">
        <f>+L86/$E$77</f>
        <v>12.45117183333333</v>
      </c>
      <c r="O86" s="390"/>
    </row>
    <row r="87" spans="1:15" x14ac:dyDescent="0.2">
      <c r="A87" s="390"/>
      <c r="B87" s="390"/>
      <c r="C87" s="390"/>
      <c r="D87" s="379"/>
      <c r="E87" s="379"/>
      <c r="F87" s="551"/>
      <c r="G87" s="551"/>
      <c r="H87" s="437"/>
      <c r="I87" s="378"/>
      <c r="J87" s="379"/>
      <c r="K87" s="379"/>
      <c r="L87" s="586"/>
      <c r="M87" s="379"/>
      <c r="N87" s="379"/>
      <c r="O87" s="379"/>
    </row>
    <row r="88" spans="1:15" x14ac:dyDescent="0.2">
      <c r="A88" s="375"/>
      <c r="B88" s="585"/>
      <c r="C88" s="386"/>
      <c r="D88" s="390"/>
      <c r="E88" s="379"/>
      <c r="F88" s="379"/>
      <c r="G88" s="379"/>
      <c r="H88" s="379"/>
      <c r="I88" s="379"/>
      <c r="J88" s="591"/>
      <c r="K88" s="379"/>
      <c r="L88" s="379"/>
      <c r="M88" s="379"/>
      <c r="N88" s="379"/>
      <c r="O88" s="379"/>
    </row>
    <row r="89" spans="1:15" ht="18.75" x14ac:dyDescent="0.35">
      <c r="A89" s="530" t="s">
        <v>337</v>
      </c>
      <c r="B89" s="532" t="s">
        <v>333</v>
      </c>
      <c r="C89" s="531"/>
      <c r="D89" s="531"/>
      <c r="E89" s="530" t="s">
        <v>513</v>
      </c>
      <c r="F89" s="532"/>
      <c r="G89" s="532"/>
      <c r="H89" s="531"/>
      <c r="I89" s="532" t="s">
        <v>532</v>
      </c>
      <c r="J89" s="533"/>
      <c r="K89" s="533"/>
      <c r="L89" s="534"/>
      <c r="M89" s="379"/>
      <c r="N89" s="592" t="s">
        <v>162</v>
      </c>
      <c r="O89" s="379"/>
    </row>
    <row r="90" spans="1:15" ht="15.75" x14ac:dyDescent="0.3">
      <c r="A90" s="503"/>
      <c r="B90" s="511" t="s">
        <v>901</v>
      </c>
      <c r="C90" s="593">
        <v>1</v>
      </c>
      <c r="D90" s="495" t="s">
        <v>332</v>
      </c>
      <c r="E90" s="505">
        <f>E76*C90</f>
        <v>0.50939575267900572</v>
      </c>
      <c r="F90" s="495" t="s">
        <v>188</v>
      </c>
      <c r="G90" s="495"/>
      <c r="H90" s="594"/>
      <c r="I90" s="492" t="s">
        <v>899</v>
      </c>
      <c r="J90" s="514"/>
      <c r="K90" s="514"/>
      <c r="L90" s="537"/>
      <c r="M90" s="379"/>
      <c r="N90" s="554" t="s">
        <v>577</v>
      </c>
      <c r="O90" s="379"/>
    </row>
    <row r="91" spans="1:15" ht="15.75" x14ac:dyDescent="0.3">
      <c r="A91" s="503"/>
      <c r="B91" s="495"/>
      <c r="C91" s="495"/>
      <c r="D91" s="495"/>
      <c r="E91" s="513"/>
      <c r="F91" s="506"/>
      <c r="G91" s="506"/>
      <c r="H91" s="594"/>
      <c r="I91" s="539" t="s">
        <v>1053</v>
      </c>
      <c r="J91" s="539" t="s">
        <v>1054</v>
      </c>
      <c r="K91" s="539" t="s">
        <v>1055</v>
      </c>
      <c r="L91" s="540" t="s">
        <v>1056</v>
      </c>
      <c r="M91" s="379"/>
      <c r="N91" s="540" t="s">
        <v>1056</v>
      </c>
      <c r="O91" s="379"/>
    </row>
    <row r="92" spans="1:15" x14ac:dyDescent="0.2">
      <c r="A92" s="503"/>
      <c r="B92" s="511" t="s">
        <v>498</v>
      </c>
      <c r="C92" s="495"/>
      <c r="D92" s="495"/>
      <c r="E92" s="513"/>
      <c r="F92" s="495"/>
      <c r="G92" s="495"/>
      <c r="H92" s="495"/>
      <c r="I92" s="495"/>
      <c r="J92" s="495"/>
      <c r="K92" s="495"/>
      <c r="L92" s="541"/>
      <c r="M92" s="379"/>
      <c r="N92" s="541"/>
      <c r="O92" s="379"/>
    </row>
    <row r="93" spans="1:15" ht="15.75" x14ac:dyDescent="0.3">
      <c r="A93" s="503"/>
      <c r="B93" s="495" t="s">
        <v>42</v>
      </c>
      <c r="C93" s="595">
        <v>10</v>
      </c>
      <c r="D93" s="495" t="s">
        <v>510</v>
      </c>
      <c r="E93" s="543">
        <f>(C93*E90/VLOOKUP($B90,'Standard values'!$C$9:$S$162,14, FALSE))/1000</f>
        <v>1.0187915053580116E-4</v>
      </c>
      <c r="F93" s="495" t="s">
        <v>760</v>
      </c>
      <c r="G93" s="495"/>
      <c r="H93" s="495"/>
      <c r="I93" s="544">
        <f>$E93*VLOOKUP($B93,'Standard values'!$C$9:$S$162,15, FALSE)/$E$132</f>
        <v>0</v>
      </c>
      <c r="J93" s="544">
        <f>$E93*((VLOOKUP($B93,'Standard values'!$C$9:$S$162,15, FALSE))+VLOOKUP($B93,'Standard values'!$C$9:$S$162,16, FALSE))/$E$132</f>
        <v>0</v>
      </c>
      <c r="K93" s="544">
        <f>$E93*((VLOOKUP($B93,'Standard values'!$C$9:$S$162,15, FALSE))+VLOOKUP($B93,'Standard values'!$C$9:$S$162,17, FALSE))/$E$132</f>
        <v>0</v>
      </c>
      <c r="L93" s="516">
        <f>I93*'Standard values'!$D$10+J93*'Standard values'!$D$11+K93*'Standard values'!$D$12</f>
        <v>0</v>
      </c>
      <c r="M93" s="379"/>
      <c r="N93" s="562">
        <f>+L93/E$33</f>
        <v>0</v>
      </c>
      <c r="O93" s="379"/>
    </row>
    <row r="94" spans="1:15" x14ac:dyDescent="0.2">
      <c r="A94" s="503"/>
      <c r="B94" s="546"/>
      <c r="C94" s="546"/>
      <c r="D94" s="495"/>
      <c r="E94" s="503"/>
      <c r="F94" s="495"/>
      <c r="G94" s="495"/>
      <c r="H94" s="495"/>
      <c r="I94" s="544"/>
      <c r="J94" s="544"/>
      <c r="K94" s="544"/>
      <c r="L94" s="516"/>
      <c r="M94" s="379"/>
      <c r="N94" s="562"/>
      <c r="O94" s="379"/>
    </row>
    <row r="95" spans="1:15" ht="14.25" x14ac:dyDescent="0.25">
      <c r="A95" s="519"/>
      <c r="B95" s="520"/>
      <c r="C95" s="520"/>
      <c r="D95" s="520"/>
      <c r="E95" s="519"/>
      <c r="F95" s="521"/>
      <c r="G95" s="521"/>
      <c r="H95" s="521" t="s">
        <v>534</v>
      </c>
      <c r="I95" s="520"/>
      <c r="J95" s="523" t="s">
        <v>175</v>
      </c>
      <c r="K95" s="549"/>
      <c r="L95" s="525">
        <f>L93</f>
        <v>0</v>
      </c>
      <c r="M95" s="379"/>
      <c r="N95" s="545">
        <f>+L95/$E$77</f>
        <v>0</v>
      </c>
      <c r="O95" s="379"/>
    </row>
    <row r="96" spans="1:15" x14ac:dyDescent="0.2">
      <c r="A96" s="390"/>
      <c r="B96" s="390"/>
      <c r="C96" s="390"/>
      <c r="D96" s="390"/>
      <c r="E96" s="390"/>
      <c r="F96" s="376"/>
      <c r="G96" s="376"/>
      <c r="H96" s="376"/>
      <c r="I96" s="390"/>
      <c r="J96" s="550"/>
      <c r="K96" s="551"/>
      <c r="L96" s="552"/>
      <c r="M96" s="379"/>
      <c r="N96" s="390"/>
      <c r="O96" s="379"/>
    </row>
    <row r="97" spans="1:15" x14ac:dyDescent="0.2">
      <c r="A97" s="390"/>
      <c r="B97" s="390"/>
      <c r="C97" s="390"/>
      <c r="D97" s="390"/>
      <c r="E97" s="390"/>
      <c r="F97" s="376"/>
      <c r="G97" s="376"/>
      <c r="H97" s="376"/>
      <c r="I97" s="390"/>
      <c r="J97" s="550"/>
      <c r="K97" s="551"/>
      <c r="L97" s="552"/>
      <c r="M97" s="379"/>
      <c r="N97" s="379"/>
      <c r="O97" s="379"/>
    </row>
    <row r="98" spans="1:15" ht="15.75" x14ac:dyDescent="0.25">
      <c r="A98" s="530" t="s">
        <v>334</v>
      </c>
      <c r="B98" s="531"/>
      <c r="C98" s="531"/>
      <c r="D98" s="531"/>
      <c r="E98" s="530" t="s">
        <v>513</v>
      </c>
      <c r="F98" s="531"/>
      <c r="G98" s="531"/>
      <c r="H98" s="531"/>
      <c r="I98" s="531"/>
      <c r="J98" s="531"/>
      <c r="K98" s="531"/>
      <c r="L98" s="596"/>
      <c r="M98" s="379"/>
      <c r="N98" s="485"/>
      <c r="O98" s="379"/>
    </row>
    <row r="99" spans="1:15" ht="15.75" x14ac:dyDescent="0.3">
      <c r="A99" s="503"/>
      <c r="B99" s="511" t="s">
        <v>524</v>
      </c>
      <c r="C99" s="593">
        <v>1</v>
      </c>
      <c r="D99" s="495" t="s">
        <v>335</v>
      </c>
      <c r="E99" s="510">
        <f>E90*C99</f>
        <v>0.50939575267900572</v>
      </c>
      <c r="F99" s="495" t="s">
        <v>189</v>
      </c>
      <c r="G99" s="495"/>
      <c r="H99" s="495"/>
      <c r="I99" s="492" t="s">
        <v>899</v>
      </c>
      <c r="J99" s="514"/>
      <c r="K99" s="514"/>
      <c r="L99" s="537"/>
      <c r="M99" s="379"/>
      <c r="N99" s="378"/>
      <c r="O99" s="379"/>
    </row>
    <row r="100" spans="1:15" ht="15.75" x14ac:dyDescent="0.3">
      <c r="A100" s="503"/>
      <c r="B100" s="495"/>
      <c r="C100" s="495"/>
      <c r="D100" s="495"/>
      <c r="E100" s="505"/>
      <c r="F100" s="506"/>
      <c r="G100" s="506"/>
      <c r="H100" s="495"/>
      <c r="I100" s="539" t="s">
        <v>1053</v>
      </c>
      <c r="J100" s="539" t="s">
        <v>1054</v>
      </c>
      <c r="K100" s="539" t="s">
        <v>1055</v>
      </c>
      <c r="L100" s="540" t="s">
        <v>1056</v>
      </c>
      <c r="M100" s="379"/>
      <c r="N100" s="502"/>
      <c r="O100" s="379"/>
    </row>
    <row r="101" spans="1:15" x14ac:dyDescent="0.2">
      <c r="A101" s="503"/>
      <c r="B101" s="511" t="s">
        <v>441</v>
      </c>
      <c r="C101" s="495"/>
      <c r="D101" s="495"/>
      <c r="E101" s="503"/>
      <c r="F101" s="495"/>
      <c r="G101" s="495"/>
      <c r="H101" s="495"/>
      <c r="I101" s="544"/>
      <c r="J101" s="544"/>
      <c r="K101" s="544"/>
      <c r="L101" s="561"/>
      <c r="M101" s="379"/>
      <c r="N101" s="379"/>
      <c r="O101" s="379"/>
    </row>
    <row r="102" spans="1:15" ht="15.75" x14ac:dyDescent="0.3">
      <c r="A102" s="503"/>
      <c r="B102" s="1301" t="s">
        <v>49</v>
      </c>
      <c r="C102" s="542">
        <v>2.1999999999999999E-2</v>
      </c>
      <c r="D102" s="495" t="s">
        <v>401</v>
      </c>
      <c r="E102" s="503"/>
      <c r="F102" s="495"/>
      <c r="G102" s="495"/>
      <c r="H102" s="495"/>
      <c r="I102" s="544">
        <f>$C102*$E$99*VLOOKUP($B102,'Standard values'!$C$9:$S$162,7, FALSE)/$E$132</f>
        <v>2.6574789999999999</v>
      </c>
      <c r="J102" s="544">
        <f>$C102*$E$99*VLOOKUP($B102,'Standard values'!$C$9:$S$162,8, FALSE)/$E$132</f>
        <v>6.4808333333333324E-3</v>
      </c>
      <c r="K102" s="544">
        <f>$C102*$E$99*VLOOKUP($B102,'Standard values'!$C$9:$S$162,9, FALSE)/$E$132</f>
        <v>1.2038888888888889E-4</v>
      </c>
      <c r="L102" s="516">
        <f>I102*'Standard values'!$D$10+J102*'Standard values'!$D$11+K102*'Standard values'!$D$12</f>
        <v>2.8553757222222225</v>
      </c>
      <c r="M102" s="379"/>
      <c r="N102" s="517"/>
      <c r="O102" s="379"/>
    </row>
    <row r="103" spans="1:15" ht="14.25" x14ac:dyDescent="0.25">
      <c r="A103" s="519"/>
      <c r="B103" s="520"/>
      <c r="C103" s="520"/>
      <c r="D103" s="520"/>
      <c r="E103" s="519"/>
      <c r="F103" s="521"/>
      <c r="G103" s="521"/>
      <c r="H103" s="521" t="s">
        <v>534</v>
      </c>
      <c r="I103" s="520"/>
      <c r="J103" s="523" t="s">
        <v>175</v>
      </c>
      <c r="K103" s="549"/>
      <c r="L103" s="525">
        <f>L102</f>
        <v>2.8553757222222225</v>
      </c>
      <c r="M103" s="379"/>
      <c r="N103" s="390"/>
      <c r="O103" s="379"/>
    </row>
    <row r="104" spans="1:15" x14ac:dyDescent="0.2">
      <c r="A104" s="390"/>
      <c r="B104" s="390"/>
      <c r="C104" s="390"/>
      <c r="D104" s="390"/>
      <c r="E104" s="390"/>
      <c r="F104" s="376"/>
      <c r="G104" s="376"/>
      <c r="H104" s="376"/>
      <c r="I104" s="390"/>
      <c r="J104" s="550"/>
      <c r="K104" s="551"/>
      <c r="L104" s="597"/>
      <c r="M104" s="379"/>
      <c r="N104" s="390"/>
      <c r="O104" s="379"/>
    </row>
    <row r="105" spans="1:15" x14ac:dyDescent="0.2">
      <c r="A105" s="390"/>
      <c r="B105" s="390"/>
      <c r="C105" s="390"/>
      <c r="D105" s="390"/>
      <c r="E105" s="390"/>
      <c r="F105" s="376"/>
      <c r="G105" s="376"/>
      <c r="H105" s="376"/>
      <c r="I105" s="390"/>
      <c r="J105" s="550"/>
      <c r="K105" s="551"/>
      <c r="L105" s="597"/>
      <c r="M105" s="379"/>
      <c r="N105" s="379"/>
      <c r="O105" s="379"/>
    </row>
    <row r="106" spans="1:15" ht="15.75" x14ac:dyDescent="0.25">
      <c r="A106" s="530" t="s">
        <v>546</v>
      </c>
      <c r="B106" s="598"/>
      <c r="C106" s="599"/>
      <c r="D106" s="531"/>
      <c r="E106" s="600"/>
      <c r="F106" s="531"/>
      <c r="G106" s="531"/>
      <c r="H106" s="531"/>
      <c r="I106" s="531"/>
      <c r="J106" s="531"/>
      <c r="K106" s="531"/>
      <c r="L106" s="601"/>
      <c r="M106" s="379"/>
      <c r="N106" s="379"/>
      <c r="O106" s="379"/>
    </row>
    <row r="107" spans="1:15" ht="15.75" x14ac:dyDescent="0.25">
      <c r="A107" s="602"/>
      <c r="B107" s="603" t="s">
        <v>549</v>
      </c>
      <c r="C107" s="511"/>
      <c r="D107" s="495"/>
      <c r="E107" s="503"/>
      <c r="F107" s="495"/>
      <c r="G107" s="495"/>
      <c r="H107" s="495"/>
      <c r="I107" s="492" t="s">
        <v>899</v>
      </c>
      <c r="J107" s="514"/>
      <c r="K107" s="514"/>
      <c r="L107" s="537"/>
      <c r="M107" s="379"/>
      <c r="N107" s="390"/>
      <c r="O107" s="390"/>
    </row>
    <row r="108" spans="1:15" ht="15.75" x14ac:dyDescent="0.25">
      <c r="A108" s="602"/>
      <c r="B108" s="416"/>
      <c r="C108" s="511" t="s">
        <v>352</v>
      </c>
      <c r="D108" s="495"/>
      <c r="E108" s="503"/>
      <c r="F108" s="495"/>
      <c r="G108" s="495"/>
      <c r="H108" s="495"/>
      <c r="I108" s="495"/>
      <c r="J108" s="495"/>
      <c r="K108" s="544"/>
      <c r="L108" s="516">
        <v>0</v>
      </c>
      <c r="M108" s="379"/>
      <c r="N108" s="390"/>
      <c r="O108" s="390"/>
    </row>
    <row r="109" spans="1:15" ht="14.25" x14ac:dyDescent="0.25">
      <c r="A109" s="519"/>
      <c r="B109" s="520"/>
      <c r="C109" s="520"/>
      <c r="D109" s="520"/>
      <c r="E109" s="519"/>
      <c r="F109" s="521"/>
      <c r="G109" s="521"/>
      <c r="H109" s="521" t="s">
        <v>534</v>
      </c>
      <c r="I109" s="520"/>
      <c r="J109" s="523" t="s">
        <v>175</v>
      </c>
      <c r="K109" s="549"/>
      <c r="L109" s="525">
        <f>L108</f>
        <v>0</v>
      </c>
      <c r="M109" s="379"/>
      <c r="N109" s="390"/>
      <c r="O109" s="390"/>
    </row>
    <row r="110" spans="1:15" x14ac:dyDescent="0.2">
      <c r="A110" s="390"/>
      <c r="B110" s="390"/>
      <c r="C110" s="390"/>
      <c r="D110" s="390"/>
      <c r="E110" s="390"/>
      <c r="F110" s="376"/>
      <c r="G110" s="376"/>
      <c r="H110" s="376"/>
      <c r="I110" s="390"/>
      <c r="J110" s="550"/>
      <c r="K110" s="551"/>
      <c r="L110" s="604"/>
      <c r="M110" s="379"/>
      <c r="N110" s="390"/>
      <c r="O110" s="390"/>
    </row>
    <row r="111" spans="1:15" x14ac:dyDescent="0.2">
      <c r="A111" s="390"/>
      <c r="B111" s="390"/>
      <c r="C111" s="390"/>
      <c r="D111" s="390"/>
      <c r="E111" s="390"/>
      <c r="F111" s="376"/>
      <c r="G111" s="376"/>
      <c r="H111" s="376"/>
      <c r="I111" s="390"/>
      <c r="J111" s="550"/>
      <c r="K111" s="551"/>
      <c r="L111" s="604"/>
      <c r="M111" s="379"/>
      <c r="N111" s="390"/>
      <c r="O111" s="390"/>
    </row>
    <row r="112" spans="1:15" ht="15.75" x14ac:dyDescent="0.25">
      <c r="A112" s="530" t="s">
        <v>547</v>
      </c>
      <c r="B112" s="598"/>
      <c r="C112" s="599"/>
      <c r="D112" s="531"/>
      <c r="E112" s="600"/>
      <c r="F112" s="531"/>
      <c r="G112" s="531"/>
      <c r="H112" s="531"/>
      <c r="I112" s="531"/>
      <c r="J112" s="531"/>
      <c r="K112" s="531"/>
      <c r="L112" s="601"/>
      <c r="M112" s="379"/>
      <c r="N112" s="390"/>
      <c r="O112" s="390"/>
    </row>
    <row r="113" spans="1:15" ht="15.75" x14ac:dyDescent="0.25">
      <c r="A113" s="602"/>
      <c r="B113" s="603" t="s">
        <v>549</v>
      </c>
      <c r="C113" s="511"/>
      <c r="D113" s="495"/>
      <c r="E113" s="503"/>
      <c r="F113" s="495"/>
      <c r="G113" s="495"/>
      <c r="H113" s="495"/>
      <c r="I113" s="492" t="s">
        <v>899</v>
      </c>
      <c r="J113" s="514"/>
      <c r="K113" s="514"/>
      <c r="L113" s="537"/>
      <c r="M113" s="379"/>
      <c r="N113" s="390"/>
      <c r="O113" s="390"/>
    </row>
    <row r="114" spans="1:15" ht="15.75" x14ac:dyDescent="0.25">
      <c r="A114" s="602"/>
      <c r="B114" s="416"/>
      <c r="C114" s="511" t="s">
        <v>352</v>
      </c>
      <c r="D114" s="495"/>
      <c r="E114" s="503"/>
      <c r="F114" s="495"/>
      <c r="G114" s="495"/>
      <c r="H114" s="495"/>
      <c r="I114" s="495"/>
      <c r="J114" s="495"/>
      <c r="K114" s="544"/>
      <c r="L114" s="516">
        <v>0</v>
      </c>
      <c r="M114" s="379"/>
      <c r="N114" s="390"/>
      <c r="O114" s="390"/>
    </row>
    <row r="115" spans="1:15" ht="14.25" x14ac:dyDescent="0.25">
      <c r="A115" s="519"/>
      <c r="B115" s="520"/>
      <c r="C115" s="520"/>
      <c r="D115" s="520"/>
      <c r="E115" s="519"/>
      <c r="F115" s="521"/>
      <c r="G115" s="521"/>
      <c r="H115" s="521" t="s">
        <v>534</v>
      </c>
      <c r="I115" s="520"/>
      <c r="J115" s="523" t="s">
        <v>175</v>
      </c>
      <c r="K115" s="549"/>
      <c r="L115" s="525">
        <f>L114</f>
        <v>0</v>
      </c>
      <c r="M115" s="379"/>
      <c r="N115" s="390"/>
      <c r="O115" s="390"/>
    </row>
    <row r="116" spans="1:15" x14ac:dyDescent="0.2">
      <c r="A116" s="390"/>
      <c r="B116" s="390"/>
      <c r="C116" s="390"/>
      <c r="D116" s="390"/>
      <c r="E116" s="390"/>
      <c r="F116" s="376"/>
      <c r="G116" s="376"/>
      <c r="H116" s="376"/>
      <c r="I116" s="390"/>
      <c r="J116" s="550"/>
      <c r="K116" s="551"/>
      <c r="L116" s="604"/>
      <c r="M116" s="379"/>
      <c r="N116" s="390"/>
      <c r="O116" s="390"/>
    </row>
    <row r="117" spans="1:15" x14ac:dyDescent="0.2">
      <c r="A117" s="390"/>
      <c r="B117" s="390"/>
      <c r="C117" s="390"/>
      <c r="D117" s="390"/>
      <c r="E117" s="390"/>
      <c r="F117" s="376"/>
      <c r="G117" s="376"/>
      <c r="H117" s="376"/>
      <c r="I117" s="390"/>
      <c r="J117" s="550"/>
      <c r="K117" s="551"/>
      <c r="L117" s="604"/>
      <c r="M117" s="379"/>
      <c r="N117" s="390"/>
      <c r="O117" s="390"/>
    </row>
    <row r="118" spans="1:15" ht="18.75" x14ac:dyDescent="0.35">
      <c r="A118" s="530" t="s">
        <v>168</v>
      </c>
      <c r="B118" s="598"/>
      <c r="C118" s="599"/>
      <c r="D118" s="531"/>
      <c r="E118" s="600"/>
      <c r="F118" s="531"/>
      <c r="G118" s="531"/>
      <c r="H118" s="531"/>
      <c r="I118" s="531"/>
      <c r="J118" s="531"/>
      <c r="K118" s="531"/>
      <c r="L118" s="601"/>
      <c r="M118" s="379"/>
      <c r="N118" s="390"/>
      <c r="O118" s="390"/>
    </row>
    <row r="119" spans="1:15" ht="15.75" x14ac:dyDescent="0.25">
      <c r="A119" s="602"/>
      <c r="B119" s="416" t="s">
        <v>166</v>
      </c>
      <c r="C119" s="492"/>
      <c r="D119" s="495"/>
      <c r="E119" s="503"/>
      <c r="F119" s="495"/>
      <c r="G119" s="495"/>
      <c r="H119" s="495"/>
      <c r="I119" s="492" t="s">
        <v>899</v>
      </c>
      <c r="J119" s="514"/>
      <c r="K119" s="514"/>
      <c r="L119" s="537"/>
      <c r="M119" s="379"/>
      <c r="N119" s="390"/>
      <c r="O119" s="390"/>
    </row>
    <row r="120" spans="1:15" ht="15.75" x14ac:dyDescent="0.3">
      <c r="A120" s="503"/>
      <c r="B120" s="539"/>
      <c r="C120" s="595">
        <v>0</v>
      </c>
      <c r="D120" s="605" t="s">
        <v>176</v>
      </c>
      <c r="E120" s="503"/>
      <c r="F120" s="495"/>
      <c r="G120" s="495"/>
      <c r="H120" s="495"/>
      <c r="I120" s="495"/>
      <c r="J120" s="495"/>
      <c r="K120" s="544"/>
      <c r="L120" s="516">
        <f>C120</f>
        <v>0</v>
      </c>
      <c r="M120" s="379"/>
      <c r="N120" s="390"/>
      <c r="O120" s="390"/>
    </row>
    <row r="121" spans="1:15" ht="14.25" x14ac:dyDescent="0.25">
      <c r="A121" s="519"/>
      <c r="B121" s="520"/>
      <c r="C121" s="520"/>
      <c r="D121" s="520"/>
      <c r="E121" s="519"/>
      <c r="F121" s="521"/>
      <c r="G121" s="521"/>
      <c r="H121" s="521" t="s">
        <v>534</v>
      </c>
      <c r="I121" s="520"/>
      <c r="J121" s="523" t="s">
        <v>175</v>
      </c>
      <c r="K121" s="549"/>
      <c r="L121" s="525">
        <f>C120</f>
        <v>0</v>
      </c>
      <c r="M121" s="379"/>
      <c r="N121" s="390"/>
      <c r="O121" s="390"/>
    </row>
    <row r="122" spans="1:15" x14ac:dyDescent="0.2">
      <c r="A122" s="390"/>
      <c r="B122" s="390"/>
      <c r="C122" s="390"/>
      <c r="D122" s="390"/>
      <c r="E122" s="390"/>
      <c r="F122" s="376"/>
      <c r="G122" s="376"/>
      <c r="H122" s="376"/>
      <c r="I122" s="390"/>
      <c r="J122" s="550"/>
      <c r="K122" s="551"/>
      <c r="L122" s="604"/>
      <c r="M122" s="379"/>
      <c r="N122" s="390"/>
      <c r="O122" s="390"/>
    </row>
    <row r="123" spans="1:15" x14ac:dyDescent="0.2">
      <c r="A123" s="390"/>
      <c r="B123" s="390"/>
      <c r="C123" s="390"/>
      <c r="D123" s="390"/>
      <c r="E123" s="390"/>
      <c r="F123" s="376"/>
      <c r="G123" s="376"/>
      <c r="H123" s="376"/>
      <c r="I123" s="390"/>
      <c r="J123" s="550"/>
      <c r="K123" s="551"/>
      <c r="L123" s="604"/>
      <c r="M123" s="379"/>
      <c r="N123" s="390"/>
      <c r="O123" s="390"/>
    </row>
    <row r="124" spans="1:15" ht="18.75" x14ac:dyDescent="0.35">
      <c r="A124" s="530" t="s">
        <v>169</v>
      </c>
      <c r="B124" s="598"/>
      <c r="C124" s="599"/>
      <c r="D124" s="531"/>
      <c r="E124" s="600"/>
      <c r="F124" s="531"/>
      <c r="G124" s="531"/>
      <c r="H124" s="531"/>
      <c r="I124" s="531"/>
      <c r="J124" s="531"/>
      <c r="K124" s="531"/>
      <c r="L124" s="601"/>
      <c r="M124" s="379"/>
      <c r="N124" s="390"/>
      <c r="O124" s="390"/>
    </row>
    <row r="125" spans="1:15" ht="15.75" x14ac:dyDescent="0.25">
      <c r="A125" s="602"/>
      <c r="B125" s="416" t="s">
        <v>167</v>
      </c>
      <c r="C125" s="492"/>
      <c r="D125" s="495"/>
      <c r="E125" s="503"/>
      <c r="F125" s="495"/>
      <c r="G125" s="495"/>
      <c r="H125" s="495"/>
      <c r="I125" s="492" t="s">
        <v>899</v>
      </c>
      <c r="J125" s="514"/>
      <c r="K125" s="514"/>
      <c r="L125" s="537"/>
      <c r="M125" s="379"/>
      <c r="N125" s="390"/>
      <c r="O125" s="390"/>
    </row>
    <row r="126" spans="1:15" ht="15.75" x14ac:dyDescent="0.3">
      <c r="A126" s="503"/>
      <c r="B126" s="539"/>
      <c r="C126" s="595">
        <v>0</v>
      </c>
      <c r="D126" s="605" t="s">
        <v>176</v>
      </c>
      <c r="E126" s="503"/>
      <c r="F126" s="495"/>
      <c r="G126" s="495"/>
      <c r="H126" s="495"/>
      <c r="I126" s="495"/>
      <c r="J126" s="495"/>
      <c r="K126" s="544"/>
      <c r="L126" s="516">
        <f>C126</f>
        <v>0</v>
      </c>
      <c r="M126" s="379"/>
      <c r="N126" s="390"/>
      <c r="O126" s="390"/>
    </row>
    <row r="127" spans="1:15" ht="14.25" x14ac:dyDescent="0.25">
      <c r="A127" s="519"/>
      <c r="B127" s="520"/>
      <c r="C127" s="520"/>
      <c r="D127" s="520"/>
      <c r="E127" s="519"/>
      <c r="F127" s="521"/>
      <c r="G127" s="521"/>
      <c r="H127" s="521" t="s">
        <v>534</v>
      </c>
      <c r="I127" s="520"/>
      <c r="J127" s="523" t="s">
        <v>175</v>
      </c>
      <c r="K127" s="549"/>
      <c r="L127" s="525">
        <f>C126</f>
        <v>0</v>
      </c>
      <c r="M127" s="379"/>
      <c r="N127" s="390"/>
      <c r="O127" s="390"/>
    </row>
    <row r="128" spans="1:15" x14ac:dyDescent="0.2">
      <c r="A128" s="390"/>
      <c r="B128" s="390"/>
      <c r="C128" s="390"/>
      <c r="D128" s="390"/>
      <c r="E128" s="390"/>
      <c r="F128" s="376"/>
      <c r="G128" s="376"/>
      <c r="H128" s="376"/>
      <c r="I128" s="390"/>
      <c r="J128" s="550"/>
      <c r="K128" s="551"/>
      <c r="L128" s="604"/>
      <c r="M128" s="379"/>
      <c r="N128" s="390"/>
      <c r="O128" s="390"/>
    </row>
    <row r="129" spans="1:15" x14ac:dyDescent="0.2">
      <c r="A129" s="390"/>
      <c r="B129" s="390"/>
      <c r="C129" s="390"/>
      <c r="D129" s="390"/>
      <c r="E129" s="390"/>
      <c r="F129" s="376"/>
      <c r="G129" s="376"/>
      <c r="H129" s="376"/>
      <c r="I129" s="390"/>
      <c r="J129" s="550"/>
      <c r="K129" s="551"/>
      <c r="L129" s="604"/>
      <c r="M129" s="379"/>
      <c r="N129" s="390"/>
      <c r="O129" s="390"/>
    </row>
    <row r="130" spans="1:15" ht="15.75" x14ac:dyDescent="0.25">
      <c r="A130" s="530" t="s">
        <v>457</v>
      </c>
      <c r="B130" s="531"/>
      <c r="C130" s="531"/>
      <c r="D130" s="531"/>
      <c r="E130" s="532"/>
      <c r="F130" s="606"/>
      <c r="G130" s="606"/>
      <c r="H130" s="606"/>
      <c r="I130" s="607"/>
      <c r="J130" s="608"/>
      <c r="K130" s="607"/>
      <c r="L130" s="609"/>
      <c r="M130" s="379"/>
      <c r="N130" s="390"/>
      <c r="O130" s="390"/>
    </row>
    <row r="131" spans="1:15" ht="15.75" x14ac:dyDescent="0.25">
      <c r="A131" s="610"/>
      <c r="B131" s="611"/>
      <c r="C131" s="611"/>
      <c r="D131" s="611"/>
      <c r="E131" s="612"/>
      <c r="F131" s="613"/>
      <c r="G131" s="613"/>
      <c r="H131" s="613"/>
      <c r="I131" s="613"/>
      <c r="J131" s="613"/>
      <c r="K131" s="613"/>
      <c r="L131" s="614"/>
      <c r="M131" s="379"/>
      <c r="N131" s="390"/>
      <c r="O131" s="390"/>
    </row>
    <row r="132" spans="1:15" ht="15.75" x14ac:dyDescent="0.3">
      <c r="A132" s="503"/>
      <c r="B132" s="495"/>
      <c r="C132" s="495"/>
      <c r="D132" s="546" t="s">
        <v>299</v>
      </c>
      <c r="E132" s="615">
        <f>E21*C76*C30*C42*C90*C99</f>
        <v>0.50939575267900572</v>
      </c>
      <c r="F132" s="495" t="s">
        <v>898</v>
      </c>
      <c r="G132" s="495"/>
      <c r="H132" s="495"/>
      <c r="I132" s="544"/>
      <c r="J132" s="495"/>
      <c r="K132" s="495"/>
      <c r="L132" s="616"/>
      <c r="M132" s="379"/>
      <c r="N132" s="390"/>
      <c r="O132" s="390"/>
    </row>
    <row r="133" spans="1:15" x14ac:dyDescent="0.2">
      <c r="A133" s="503"/>
      <c r="B133" s="495"/>
      <c r="C133" s="495"/>
      <c r="D133" s="495"/>
      <c r="E133" s="495"/>
      <c r="F133" s="617"/>
      <c r="G133" s="617"/>
      <c r="H133" s="495"/>
      <c r="I133" s="544"/>
      <c r="J133" s="495"/>
      <c r="K133" s="495"/>
      <c r="L133" s="616"/>
      <c r="M133" s="379"/>
      <c r="N133" s="390"/>
      <c r="O133" s="390"/>
    </row>
    <row r="134" spans="1:15" x14ac:dyDescent="0.2">
      <c r="A134" s="503"/>
      <c r="B134" s="495"/>
      <c r="C134" s="495"/>
      <c r="D134" s="495"/>
      <c r="E134" s="495"/>
      <c r="F134" s="617"/>
      <c r="G134" s="617"/>
      <c r="H134" s="495"/>
      <c r="I134" s="495"/>
      <c r="J134" s="495"/>
      <c r="K134" s="495"/>
      <c r="L134" s="616"/>
      <c r="M134" s="379"/>
      <c r="N134" s="390"/>
      <c r="O134" s="390"/>
    </row>
    <row r="135" spans="1:15" ht="14.25" x14ac:dyDescent="0.25">
      <c r="A135" s="618"/>
      <c r="B135" s="619"/>
      <c r="C135" s="619"/>
      <c r="D135" s="619"/>
      <c r="E135" s="620" t="s">
        <v>1059</v>
      </c>
      <c r="F135" s="621"/>
      <c r="G135" s="621"/>
      <c r="H135" s="622"/>
      <c r="I135" s="622"/>
      <c r="J135" s="620" t="s">
        <v>182</v>
      </c>
      <c r="K135" s="622"/>
      <c r="L135" s="623">
        <f>L26+L36+L71+L86+L95+L103+L109-L115-L121-L127</f>
        <v>26.005023256181406</v>
      </c>
      <c r="M135" s="379"/>
      <c r="N135" s="390"/>
      <c r="O135" s="390"/>
    </row>
    <row r="136" spans="1:15" ht="14.25" x14ac:dyDescent="0.25">
      <c r="A136" s="624"/>
      <c r="B136" s="625"/>
      <c r="C136" s="626"/>
      <c r="D136" s="619"/>
      <c r="E136" s="620" t="s">
        <v>1060</v>
      </c>
      <c r="F136" s="622"/>
      <c r="G136" s="622"/>
      <c r="H136" s="622"/>
      <c r="I136" s="622"/>
      <c r="J136" s="620" t="s">
        <v>182</v>
      </c>
      <c r="K136" s="622"/>
      <c r="L136" s="627">
        <f>L26+L36+L71+L86+L95+L103+L109-L115-L121-L127</f>
        <v>26.005023256181406</v>
      </c>
      <c r="M136" s="379"/>
      <c r="N136" s="390"/>
      <c r="O136" s="390"/>
    </row>
    <row r="137" spans="1:15" x14ac:dyDescent="0.2">
      <c r="A137" s="618"/>
      <c r="B137" s="619"/>
      <c r="C137" s="619"/>
      <c r="D137" s="619"/>
      <c r="E137" s="622"/>
      <c r="F137" s="622"/>
      <c r="G137" s="622"/>
      <c r="H137" s="622"/>
      <c r="I137" s="622"/>
      <c r="J137" s="622"/>
      <c r="K137" s="622"/>
      <c r="L137" s="628"/>
      <c r="M137" s="379"/>
      <c r="N137" s="390"/>
      <c r="O137" s="390"/>
    </row>
    <row r="138" spans="1:15" x14ac:dyDescent="0.2">
      <c r="A138" s="629"/>
      <c r="B138" s="630"/>
      <c r="C138" s="630"/>
      <c r="D138" s="630"/>
      <c r="E138" s="631" t="s">
        <v>1061</v>
      </c>
      <c r="F138" s="632"/>
      <c r="G138" s="632"/>
      <c r="H138" s="632"/>
      <c r="I138" s="632"/>
      <c r="J138" s="632"/>
      <c r="K138" s="632"/>
      <c r="L138" s="633">
        <f>(83.8-L136)/83.8</f>
        <v>0.68967752677587824</v>
      </c>
      <c r="M138" s="379"/>
      <c r="N138" s="390"/>
      <c r="O138" s="390"/>
    </row>
    <row r="139" spans="1:15" x14ac:dyDescent="0.2">
      <c r="M139" s="361"/>
    </row>
    <row r="140" spans="1:15" x14ac:dyDescent="0.2">
      <c r="E140" s="634"/>
      <c r="F140" s="634"/>
      <c r="G140" s="634"/>
      <c r="H140" s="635"/>
      <c r="I140" s="634"/>
      <c r="J140" s="634"/>
      <c r="K140" s="634"/>
      <c r="L140" s="636"/>
      <c r="M140" s="361"/>
    </row>
    <row r="141" spans="1:15" x14ac:dyDescent="0.2">
      <c r="F141" s="634"/>
      <c r="G141" s="634"/>
      <c r="H141" s="634"/>
      <c r="I141" s="637"/>
      <c r="J141" s="634"/>
      <c r="K141" s="634"/>
      <c r="L141" s="638"/>
      <c r="M141" s="639"/>
      <c r="N141" s="361"/>
    </row>
    <row r="142" spans="1:15" x14ac:dyDescent="0.2">
      <c r="F142" s="634"/>
      <c r="G142" s="634"/>
      <c r="H142" s="634"/>
      <c r="I142" s="637"/>
      <c r="J142" s="634"/>
      <c r="K142" s="634"/>
      <c r="L142" s="638"/>
      <c r="M142" s="639"/>
      <c r="N142" s="361"/>
    </row>
    <row r="143" spans="1:15" ht="15.75" x14ac:dyDescent="0.25">
      <c r="F143" s="640"/>
      <c r="G143" s="640"/>
      <c r="H143" s="634"/>
      <c r="I143" s="634"/>
      <c r="J143" s="634"/>
      <c r="K143" s="634"/>
      <c r="L143" s="634"/>
      <c r="M143" s="634"/>
      <c r="N143" s="361"/>
    </row>
    <row r="144" spans="1:15" x14ac:dyDescent="0.2">
      <c r="F144" s="634"/>
      <c r="G144" s="634"/>
      <c r="H144" s="637"/>
      <c r="I144" s="634"/>
      <c r="J144" s="634"/>
      <c r="K144" s="634"/>
      <c r="L144" s="634"/>
      <c r="M144" s="634"/>
      <c r="N144" s="634"/>
    </row>
    <row r="145" spans="6:14" x14ac:dyDescent="0.2">
      <c r="F145" s="637"/>
      <c r="G145" s="637"/>
      <c r="H145" s="634"/>
      <c r="I145" s="641"/>
      <c r="J145" s="634"/>
      <c r="K145" s="634"/>
      <c r="L145" s="634"/>
      <c r="M145" s="634"/>
      <c r="N145" s="634"/>
    </row>
    <row r="146" spans="6:14" x14ac:dyDescent="0.2">
      <c r="F146" s="637"/>
      <c r="G146" s="637"/>
      <c r="H146" s="634"/>
      <c r="I146" s="641"/>
      <c r="J146" s="634"/>
      <c r="K146" s="634"/>
      <c r="L146" s="634"/>
      <c r="M146" s="634"/>
      <c r="N146" s="634"/>
    </row>
    <row r="147" spans="6:14" x14ac:dyDescent="0.2">
      <c r="F147" s="634"/>
      <c r="G147" s="634"/>
      <c r="H147" s="639"/>
      <c r="I147" s="634"/>
      <c r="J147" s="634"/>
      <c r="K147" s="634"/>
      <c r="L147" s="634"/>
      <c r="M147" s="634"/>
      <c r="N147" s="634"/>
    </row>
    <row r="148" spans="6:14" x14ac:dyDescent="0.2">
      <c r="F148" s="634"/>
      <c r="G148" s="634"/>
      <c r="H148" s="634"/>
      <c r="I148" s="634"/>
      <c r="J148" s="634"/>
      <c r="K148" s="634"/>
      <c r="L148" s="634"/>
      <c r="M148" s="634"/>
      <c r="N148" s="634"/>
    </row>
    <row r="149" spans="6:14" x14ac:dyDescent="0.2">
      <c r="F149" s="634"/>
      <c r="G149" s="634"/>
      <c r="H149" s="634"/>
      <c r="I149" s="634"/>
      <c r="J149" s="634"/>
      <c r="K149" s="634"/>
      <c r="L149" s="634"/>
      <c r="M149" s="634"/>
      <c r="N149" s="634"/>
    </row>
    <row r="150" spans="6:14" x14ac:dyDescent="0.2">
      <c r="F150" s="634"/>
      <c r="G150" s="634"/>
      <c r="H150" s="634"/>
      <c r="I150" s="634"/>
      <c r="J150" s="634"/>
      <c r="K150" s="634"/>
      <c r="L150" s="634"/>
      <c r="M150" s="634"/>
      <c r="N150" s="634"/>
    </row>
    <row r="151" spans="6:14" x14ac:dyDescent="0.2">
      <c r="F151" s="634"/>
      <c r="G151" s="634"/>
      <c r="H151" s="634"/>
      <c r="I151" s="634"/>
      <c r="J151" s="634"/>
      <c r="K151" s="634"/>
      <c r="L151" s="634"/>
      <c r="M151" s="634"/>
      <c r="N151" s="634"/>
    </row>
    <row r="152" spans="6:14" x14ac:dyDescent="0.2">
      <c r="F152" s="634"/>
      <c r="G152" s="634"/>
      <c r="H152" s="634"/>
      <c r="I152" s="634"/>
      <c r="J152" s="634"/>
      <c r="K152" s="634"/>
      <c r="L152" s="634"/>
      <c r="M152" s="634"/>
      <c r="N152" s="634"/>
    </row>
    <row r="153" spans="6:14" x14ac:dyDescent="0.2">
      <c r="F153" s="634"/>
      <c r="G153" s="634"/>
      <c r="H153" s="634"/>
      <c r="I153" s="634"/>
      <c r="J153" s="634"/>
      <c r="K153" s="634"/>
      <c r="L153" s="634"/>
      <c r="M153" s="634"/>
      <c r="N153" s="634"/>
    </row>
    <row r="154" spans="6:14" x14ac:dyDescent="0.2">
      <c r="F154" s="634"/>
      <c r="G154" s="634"/>
      <c r="H154" s="634"/>
      <c r="I154" s="634"/>
      <c r="J154" s="634"/>
      <c r="K154" s="634"/>
      <c r="L154" s="634"/>
      <c r="M154" s="634"/>
      <c r="N154" s="634"/>
    </row>
    <row r="155" spans="6:14" x14ac:dyDescent="0.2">
      <c r="F155" s="634"/>
      <c r="G155" s="634"/>
      <c r="H155" s="634"/>
      <c r="I155" s="634"/>
      <c r="J155" s="634"/>
      <c r="K155" s="634"/>
      <c r="L155" s="634"/>
      <c r="M155" s="634"/>
      <c r="N155" s="634"/>
    </row>
    <row r="156" spans="6:14" x14ac:dyDescent="0.2">
      <c r="F156" s="634"/>
      <c r="G156" s="634"/>
      <c r="H156" s="634"/>
      <c r="I156" s="634"/>
      <c r="J156" s="634"/>
      <c r="K156" s="634"/>
      <c r="L156" s="634"/>
      <c r="M156" s="634"/>
      <c r="N156" s="634"/>
    </row>
    <row r="157" spans="6:14" x14ac:dyDescent="0.2">
      <c r="F157" s="634"/>
      <c r="G157" s="634"/>
      <c r="H157" s="634"/>
      <c r="I157" s="634"/>
      <c r="J157" s="634"/>
      <c r="K157" s="634"/>
      <c r="L157" s="634"/>
      <c r="M157" s="634"/>
      <c r="N157" s="634"/>
    </row>
    <row r="158" spans="6:14" x14ac:dyDescent="0.2">
      <c r="F158" s="634"/>
      <c r="G158" s="634"/>
      <c r="H158" s="634"/>
      <c r="I158" s="634"/>
      <c r="J158" s="634"/>
      <c r="K158" s="634"/>
      <c r="L158" s="634"/>
      <c r="M158" s="634"/>
      <c r="N158" s="634"/>
    </row>
    <row r="159" spans="6:14" x14ac:dyDescent="0.2">
      <c r="F159" s="634"/>
      <c r="G159" s="634"/>
      <c r="H159" s="634"/>
      <c r="I159" s="634"/>
      <c r="J159" s="634"/>
      <c r="K159" s="634"/>
      <c r="L159" s="634"/>
      <c r="M159" s="634"/>
      <c r="N159" s="634"/>
    </row>
  </sheetData>
  <sheetProtection insertColumns="0" insertRows="0" deleteColumns="0" deleteRows="0"/>
  <customSheetViews>
    <customSheetView guid="{AD88818B-9F97-4B1E-9426-0DECE603685E}" scale="80" showGridLines="0" fitToPage="1" showRuler="0">
      <pane ySplit="19" topLeftCell="A20" activePane="bottomLeft" state="frozen"/>
      <selection pane="bottomLeft" activeCell="E3" sqref="E3"/>
      <pageMargins left="0.75" right="0.75" top="1" bottom="1" header="0.5" footer="0.5"/>
      <pageSetup paperSize="8" fitToHeight="0" orientation="landscape"/>
      <headerFooter alignWithMargins="0">
        <oddFooter>&amp;L&amp;8&amp;F&amp;C&amp;8&amp;A&amp;R&amp;8page&amp;P</oddFooter>
      </headerFooter>
    </customSheetView>
    <customSheetView guid="{7EB5D807-CE20-46E2-AEE6-2C193E010EA4}" scale="80" showGridLines="0" fitToPage="1" showRuler="0">
      <pane ySplit="19" topLeftCell="A20" activePane="bottomLeft" state="frozen"/>
      <selection pane="bottomLeft" activeCell="E3" sqref="E3"/>
      <pageMargins left="0.75" right="0.75" top="1" bottom="1" header="0.5" footer="0.5"/>
      <pageSetup paperSize="8" fitToHeight="0" orientation="landscape"/>
      <headerFooter alignWithMargins="0">
        <oddFooter>&amp;L&amp;8&amp;F&amp;C&amp;8&amp;A&amp;R&amp;8page&amp;P</oddFooter>
      </headerFooter>
    </customSheetView>
  </customSheetViews>
  <phoneticPr fontId="0" type="noConversion"/>
  <conditionalFormatting sqref="A7:G7">
    <cfRule type="expression" dxfId="4" priority="3" stopIfTrue="1">
      <formula>($E7&lt;&gt;"")</formula>
    </cfRule>
  </conditionalFormatting>
  <conditionalFormatting sqref="O9:O17">
    <cfRule type="cellIs" dxfId="3" priority="2" stopIfTrue="1" operator="notBetween">
      <formula>-0.05</formula>
      <formula>0.05</formula>
    </cfRule>
  </conditionalFormatting>
  <conditionalFormatting sqref="B64">
    <cfRule type="expression" dxfId="2" priority="1" stopIfTrue="1">
      <formula>(C63&gt;0)</formula>
    </cfRule>
  </conditionalFormatting>
  <dataValidations count="5">
    <dataValidation type="list" allowBlank="1" showInputMessage="1" showErrorMessage="1" sqref="F11 F6 F8" xr:uid="{00000000-0002-0000-1E00-000000000000}">
      <formula1>"A,D"</formula1>
    </dataValidation>
    <dataValidation type="list" allowBlank="1" showInputMessage="1" showErrorMessage="1" sqref="E7" xr:uid="{00000000-0002-0000-1E00-000001000000}">
      <formula1>"- ,Individual result of previous calculation, Combined result of previous calculation"</formula1>
    </dataValidation>
    <dataValidation allowBlank="1" showInputMessage="1" showErrorMessage="1" promptTitle="Please note !" prompt="When changing the value in this cell, you must indicate in column E under &quot;overview results&quot; that you have used the result of a previous calculation. Please refer to paragraph 4.2 of the user manual for further instructions and examples." sqref="N24" xr:uid="{00000000-0002-0000-1E00-000002000000}"/>
    <dataValidation allowBlank="1" showInputMessage="1" showErrorMessage="1" promptTitle="Electricity mix" sqref="B102 B81" xr:uid="{00000000-0002-0000-1E00-000003000000}"/>
    <dataValidation type="list" allowBlank="1" showInputMessage="1" showErrorMessage="1" sqref="C44 C78" xr:uid="{00000000-0002-0000-1E00-000004000000}">
      <mc:AlternateContent xmlns:x12ac="http://schemas.microsoft.com/office/spreadsheetml/2011/1/ac" xmlns:mc="http://schemas.openxmlformats.org/markup-compatibility/2006">
        <mc:Choice Requires="x12ac">
          <x12ac:list>1,"1,4"</x12ac:list>
        </mc:Choice>
        <mc:Fallback>
          <formula1>"1,1,4"</formula1>
        </mc:Fallback>
      </mc:AlternateContent>
    </dataValidation>
  </dataValidations>
  <pageMargins left="0.75" right="0.75" top="1" bottom="1" header="0.5" footer="0.5"/>
  <pageSetup paperSize="8" fitToHeight="0" orientation="landscape"/>
  <headerFooter alignWithMargins="0">
    <oddFooter>&amp;L&amp;8&amp;F&amp;C&amp;8&amp;A&amp;R&amp;8page&amp;P</oddFooter>
  </headerFooter>
  <drawing r:id="rId1"/>
  <legacyDrawing r:id="rId2"/>
  <controls>
    <mc:AlternateContent xmlns:mc="http://schemas.openxmlformats.org/markup-compatibility/2006">
      <mc:Choice Requires="x14">
        <control shapeId="32772" r:id="rId3" name="CheckBox2">
          <controlPr autoLine="0" linkedCell="About!N86" r:id="rId4">
            <anchor moveWithCells="1">
              <from>
                <xdr:col>9</xdr:col>
                <xdr:colOff>38100</xdr:colOff>
                <xdr:row>12</xdr:row>
                <xdr:rowOff>142875</xdr:rowOff>
              </from>
              <to>
                <xdr:col>13</xdr:col>
                <xdr:colOff>885825</xdr:colOff>
                <xdr:row>15</xdr:row>
                <xdr:rowOff>85725</xdr:rowOff>
              </to>
            </anchor>
          </controlPr>
        </control>
      </mc:Choice>
      <mc:Fallback>
        <control shapeId="32772" r:id="rId3" name="CheckBox2"/>
      </mc:Fallback>
    </mc:AlternateContent>
    <mc:AlternateContent xmlns:mc="http://schemas.openxmlformats.org/markup-compatibility/2006">
      <mc:Choice Requires="x14">
        <control shapeId="32773" r:id="rId5" name="CheckBox1">
          <controlPr autoLine="0" linkedCell="About!N88" r:id="rId6">
            <anchor moveWithCells="1">
              <from>
                <xdr:col>9</xdr:col>
                <xdr:colOff>38100</xdr:colOff>
                <xdr:row>10</xdr:row>
                <xdr:rowOff>152400</xdr:rowOff>
              </from>
              <to>
                <xdr:col>13</xdr:col>
                <xdr:colOff>866775</xdr:colOff>
                <xdr:row>14</xdr:row>
                <xdr:rowOff>0</xdr:rowOff>
              </to>
            </anchor>
          </controlPr>
        </control>
      </mc:Choice>
      <mc:Fallback>
        <control shapeId="32773" r:id="rId5" name="CheckBox1"/>
      </mc:Fallback>
    </mc:AlternateContent>
    <mc:AlternateContent xmlns:mc="http://schemas.openxmlformats.org/markup-compatibility/2006">
      <mc:Choice Requires="x14">
        <control shapeId="33356" r:id="rId7" name="cmdTrackChanges">
          <controlPr defaultSize="0" autoLine="0" r:id="rId8">
            <anchor moveWithCells="1">
              <from>
                <xdr:col>1</xdr:col>
                <xdr:colOff>1219200</xdr:colOff>
                <xdr:row>16</xdr:row>
                <xdr:rowOff>95250</xdr:rowOff>
              </from>
              <to>
                <xdr:col>3</xdr:col>
                <xdr:colOff>390525</xdr:colOff>
                <xdr:row>17</xdr:row>
                <xdr:rowOff>219075</xdr:rowOff>
              </to>
            </anchor>
          </controlPr>
        </control>
      </mc:Choice>
      <mc:Fallback>
        <control shapeId="33356" r:id="rId7" name="cmdTrackChanges"/>
      </mc:Fallback>
    </mc:AlternateContent>
    <mc:AlternateContent xmlns:mc="http://schemas.openxmlformats.org/markup-compatibility/2006">
      <mc:Choice Requires="x14">
        <control shapeId="33417" r:id="rId9" name="Label 649">
          <controlPr defaultSize="0" autoFill="0" autoLine="0" autoPict="0" macro="[0]!GoToAbout">
            <anchor moveWithCells="1" sizeWithCells="1">
              <from>
                <xdr:col>10</xdr:col>
                <xdr:colOff>438150</xdr:colOff>
                <xdr:row>0</xdr:row>
                <xdr:rowOff>800100</xdr:rowOff>
              </from>
              <to>
                <xdr:col>12</xdr:col>
                <xdr:colOff>85725</xdr:colOff>
                <xdr:row>1</xdr:row>
                <xdr:rowOff>0</xdr:rowOff>
              </to>
            </anchor>
          </controlPr>
        </control>
      </mc:Choice>
    </mc:AlternateContent>
    <mc:AlternateContent xmlns:mc="http://schemas.openxmlformats.org/markup-compatibility/2006">
      <mc:Choice Requires="x14">
        <control shapeId="33418" r:id="rId10" name="Label 650">
          <controlPr defaultSize="0" autoFill="0" autoLine="0" autoPict="0" macro="[0]!GoToDirectory">
            <anchor moveWithCells="1" sizeWithCells="1">
              <from>
                <xdr:col>12</xdr:col>
                <xdr:colOff>161925</xdr:colOff>
                <xdr:row>0</xdr:row>
                <xdr:rowOff>800100</xdr:rowOff>
              </from>
              <to>
                <xdr:col>13</xdr:col>
                <xdr:colOff>990600</xdr:colOff>
                <xdr:row>1</xdr:row>
                <xdr:rowOff>0</xdr:rowOff>
              </to>
            </anchor>
          </controlPr>
        </control>
      </mc:Choice>
    </mc:AlternateContent>
  </controls>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V_UC">
    <pageSetUpPr fitToPage="1"/>
  </sheetPr>
  <dimension ref="A1:U11"/>
  <sheetViews>
    <sheetView zoomScale="80" zoomScaleNormal="100" workbookViewId="0">
      <pane ySplit="5" topLeftCell="A6" activePane="bottomLeft" state="frozen"/>
      <selection pane="bottomLeft" activeCell="A2" sqref="A2"/>
    </sheetView>
  </sheetViews>
  <sheetFormatPr baseColWidth="10" defaultColWidth="9.140625" defaultRowHeight="12.75" x14ac:dyDescent="0.2"/>
  <cols>
    <col min="1" max="1" width="3.140625" style="1220" customWidth="1"/>
    <col min="2" max="2" width="4.7109375" style="1221" customWidth="1"/>
    <col min="3" max="3" width="48.140625" style="1220" customWidth="1"/>
    <col min="4" max="4" width="16.28515625" style="1220" customWidth="1"/>
    <col min="5" max="7" width="10.7109375" style="1220" customWidth="1"/>
    <col min="8" max="8" width="13.7109375" style="1220" customWidth="1"/>
    <col min="9" max="11" width="10.7109375" style="1220" customWidth="1"/>
    <col min="12" max="12" width="13.85546875" style="1220" customWidth="1"/>
    <col min="13" max="14" width="11.85546875" style="1220" customWidth="1"/>
    <col min="15" max="15" width="12" style="1220" customWidth="1"/>
    <col min="16" max="16" width="14.7109375" style="1220" customWidth="1"/>
    <col min="17" max="19" width="12.7109375" style="1220" customWidth="1"/>
    <col min="20" max="20" width="54.42578125" style="1220" customWidth="1"/>
    <col min="21" max="21" width="51.85546875" style="1220" customWidth="1"/>
    <col min="22" max="22" width="9.28515625" style="1220" bestFit="1" customWidth="1"/>
    <col min="23" max="24" width="11.140625" style="1220" bestFit="1" customWidth="1"/>
    <col min="25" max="25" width="9.7109375" style="1220" bestFit="1" customWidth="1"/>
    <col min="26" max="26" width="11.140625" style="1220" bestFit="1" customWidth="1"/>
    <col min="27" max="27" width="9.140625" style="1220"/>
    <col min="28" max="28" width="11.140625" style="1220" bestFit="1" customWidth="1"/>
    <col min="29" max="29" width="9.140625" style="1220"/>
    <col min="30" max="30" width="11.140625" style="1220" bestFit="1" customWidth="1"/>
    <col min="31" max="16384" width="9.140625" style="1220"/>
  </cols>
  <sheetData>
    <row r="1" spans="1:21" s="1222" customFormat="1" ht="102" customHeight="1" x14ac:dyDescent="0.2">
      <c r="B1" s="1223"/>
    </row>
    <row r="2" spans="1:21" s="1222" customFormat="1" ht="14.25" customHeight="1" x14ac:dyDescent="0.2">
      <c r="B2" s="1432" t="str">
        <f>About!D2</f>
        <v>Version 4d for Testing</v>
      </c>
      <c r="C2" s="1433"/>
      <c r="D2" s="1224"/>
    </row>
    <row r="3" spans="1:21" s="1222" customFormat="1" ht="13.5" thickBot="1" x14ac:dyDescent="0.25">
      <c r="B3" s="1223"/>
      <c r="Q3" s="1225"/>
      <c r="R3" s="1225"/>
      <c r="S3" s="1225"/>
    </row>
    <row r="4" spans="1:21" s="1222" customFormat="1" ht="19.5" x14ac:dyDescent="0.25">
      <c r="A4" s="1225"/>
      <c r="B4" s="1436" t="s">
        <v>146</v>
      </c>
      <c r="C4" s="1437"/>
      <c r="D4" s="1226"/>
      <c r="E4" s="1227"/>
      <c r="F4" s="1227"/>
      <c r="G4" s="1227"/>
      <c r="H4" s="1227"/>
      <c r="I4" s="1227"/>
      <c r="J4" s="1227"/>
      <c r="K4" s="1227"/>
      <c r="L4" s="1227"/>
      <c r="M4" s="1227"/>
      <c r="N4" s="1228"/>
      <c r="O4" s="1228"/>
      <c r="P4" s="1228"/>
      <c r="Q4" s="1228"/>
      <c r="R4" s="1434"/>
      <c r="S4" s="1435"/>
      <c r="T4" s="1227"/>
      <c r="U4" s="1229"/>
    </row>
    <row r="5" spans="1:21" s="1222" customFormat="1" ht="13.5" thickBot="1" x14ac:dyDescent="0.25">
      <c r="A5" s="1225"/>
      <c r="B5" s="1230"/>
      <c r="C5" s="1231"/>
      <c r="D5" s="1231"/>
      <c r="E5" s="1231"/>
      <c r="F5" s="1231"/>
      <c r="G5" s="1231"/>
      <c r="H5" s="1232"/>
      <c r="I5" s="1231"/>
      <c r="J5" s="1231"/>
      <c r="K5" s="1231"/>
      <c r="L5" s="1232"/>
      <c r="M5" s="1232"/>
      <c r="N5" s="1232"/>
      <c r="O5" s="1232"/>
      <c r="P5" s="1232"/>
      <c r="Q5" s="1232"/>
      <c r="R5" s="1232"/>
      <c r="S5" s="1232"/>
      <c r="T5" s="1233"/>
      <c r="U5" s="1234"/>
    </row>
    <row r="9" spans="1:21" x14ac:dyDescent="0.2">
      <c r="C9" s="1220" t="s">
        <v>293</v>
      </c>
    </row>
    <row r="11" spans="1:21" x14ac:dyDescent="0.2">
      <c r="C11" s="1220" t="s">
        <v>147</v>
      </c>
    </row>
  </sheetData>
  <sheetProtection insertColumns="0" insertRows="0" deleteColumns="0" deleteRows="0"/>
  <mergeCells count="3">
    <mergeCell ref="B2:C2"/>
    <mergeCell ref="R4:S4"/>
    <mergeCell ref="B4:C4"/>
  </mergeCells>
  <phoneticPr fontId="27" type="noConversion"/>
  <pageMargins left="0.75" right="0.75" top="1" bottom="1" header="0.5" footer="0.5"/>
  <pageSetup paperSize="9" scale="37" fitToHeight="0" orientation="landscape"/>
  <headerFooter alignWithMargins="0">
    <oddFooter>&amp;L&amp;8&amp;F&amp;C&amp;8&amp;A&amp;R&amp;8page&amp;P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48139" r:id="rId3" name="Label 11">
              <controlPr defaultSize="0" autoFill="0" autoLine="0" autoPict="0" macro="[0]!GoToAbout">
                <anchor moveWithCells="1" sizeWithCells="1">
                  <from>
                    <xdr:col>10</xdr:col>
                    <xdr:colOff>619125</xdr:colOff>
                    <xdr:row>0</xdr:row>
                    <xdr:rowOff>800100</xdr:rowOff>
                  </from>
                  <to>
                    <xdr:col>11</xdr:col>
                    <xdr:colOff>771525</xdr:colOff>
                    <xdr:row>1</xdr:row>
                    <xdr:rowOff>0</xdr:rowOff>
                  </to>
                </anchor>
              </controlPr>
            </control>
          </mc:Choice>
        </mc:AlternateContent>
        <mc:AlternateContent xmlns:mc="http://schemas.openxmlformats.org/markup-compatibility/2006">
          <mc:Choice Requires="x14">
            <control shapeId="48140" r:id="rId4" name="Label 12">
              <controlPr defaultSize="0" autoFill="0" autoLine="0" autoPict="0" macro="[0]!GoToDirectory">
                <anchor moveWithCells="1" sizeWithCells="1">
                  <from>
                    <xdr:col>11</xdr:col>
                    <xdr:colOff>847725</xdr:colOff>
                    <xdr:row>0</xdr:row>
                    <xdr:rowOff>800100</xdr:rowOff>
                  </from>
                  <to>
                    <xdr:col>13</xdr:col>
                    <xdr:colOff>133350</xdr:colOff>
                    <xdr:row>1</xdr:row>
                    <xdr:rowOff>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V_UD">
    <pageSetUpPr fitToPage="1"/>
  </sheetPr>
  <dimension ref="A1:W49"/>
  <sheetViews>
    <sheetView zoomScale="80" zoomScaleNormal="100" workbookViewId="0">
      <pane xSplit="3" ySplit="6" topLeftCell="D7" activePane="bottomRight" state="frozen"/>
      <selection pane="topRight" activeCell="D1" sqref="D1"/>
      <selection pane="bottomLeft" activeCell="A5" sqref="A5"/>
      <selection pane="bottomRight" activeCell="A2" sqref="A2"/>
    </sheetView>
  </sheetViews>
  <sheetFormatPr baseColWidth="10" defaultColWidth="9.140625" defaultRowHeight="12.75" x14ac:dyDescent="0.2"/>
  <cols>
    <col min="1" max="1" width="3.140625" style="3" customWidth="1"/>
    <col min="2" max="2" width="4.7109375" style="4" customWidth="1"/>
    <col min="3" max="3" width="48.140625" style="3" customWidth="1"/>
    <col min="4" max="4" width="16.28515625" style="3" customWidth="1"/>
    <col min="5" max="7" width="10.7109375" style="3" customWidth="1"/>
    <col min="8" max="8" width="13.7109375" style="3" customWidth="1"/>
    <col min="9" max="11" width="10.7109375" style="3" customWidth="1"/>
    <col min="12" max="12" width="13.85546875" style="3" customWidth="1"/>
    <col min="13" max="14" width="11.85546875" style="3" customWidth="1"/>
    <col min="15" max="15" width="12" style="3" customWidth="1"/>
    <col min="16" max="16" width="14.7109375" style="3" customWidth="1"/>
    <col min="17" max="19" width="12.7109375" style="3" customWidth="1"/>
    <col min="20" max="20" width="54.42578125" style="3" customWidth="1"/>
    <col min="21" max="21" width="51.85546875" style="3" customWidth="1"/>
    <col min="22" max="22" width="9.28515625" style="3" bestFit="1" customWidth="1"/>
    <col min="23" max="24" width="11.140625" style="3" bestFit="1" customWidth="1"/>
    <col min="25" max="25" width="9.7109375" style="3" bestFit="1" customWidth="1"/>
    <col min="26" max="26" width="11.140625" style="3" bestFit="1" customWidth="1"/>
    <col min="27" max="27" width="9.140625" style="3"/>
    <col min="28" max="28" width="11.140625" style="3" bestFit="1" customWidth="1"/>
    <col min="29" max="29" width="9.140625" style="3"/>
    <col min="30" max="30" width="11.140625" style="3" bestFit="1" customWidth="1"/>
    <col min="31" max="16384" width="9.140625" style="3"/>
  </cols>
  <sheetData>
    <row r="1" spans="1:23" ht="102" customHeight="1" thickBot="1" x14ac:dyDescent="0.25"/>
    <row r="2" spans="1:23" ht="14.25" customHeight="1" thickBot="1" x14ac:dyDescent="0.25">
      <c r="B2" s="1438" t="str">
        <f>About!D2</f>
        <v>Version 4d for Testing</v>
      </c>
      <c r="C2" s="1439"/>
      <c r="D2" s="173"/>
    </row>
    <row r="3" spans="1:23" ht="13.5" thickBot="1" x14ac:dyDescent="0.25">
      <c r="C3" s="3">
        <v>1</v>
      </c>
      <c r="D3" s="3">
        <v>2</v>
      </c>
      <c r="E3" s="3">
        <v>3</v>
      </c>
      <c r="F3" s="3">
        <v>4</v>
      </c>
      <c r="G3" s="3">
        <v>5</v>
      </c>
      <c r="H3" s="3">
        <v>6</v>
      </c>
      <c r="I3" s="3">
        <v>7</v>
      </c>
      <c r="J3" s="3">
        <v>8</v>
      </c>
      <c r="K3" s="3">
        <v>9</v>
      </c>
      <c r="L3" s="3">
        <v>10</v>
      </c>
      <c r="M3" s="3">
        <v>11</v>
      </c>
      <c r="N3" s="3">
        <v>12</v>
      </c>
      <c r="O3" s="3">
        <v>13</v>
      </c>
      <c r="P3" s="3">
        <v>14</v>
      </c>
      <c r="Q3" s="10">
        <v>15</v>
      </c>
      <c r="R3" s="10">
        <v>16</v>
      </c>
      <c r="S3" s="10">
        <v>17</v>
      </c>
    </row>
    <row r="4" spans="1:23" ht="19.5" x14ac:dyDescent="0.25">
      <c r="A4" s="28"/>
      <c r="B4" s="1447" t="s">
        <v>855</v>
      </c>
      <c r="C4" s="1448"/>
      <c r="D4" s="297"/>
      <c r="E4" s="34"/>
      <c r="F4" s="34"/>
      <c r="G4" s="34"/>
      <c r="H4" s="34"/>
      <c r="I4" s="34"/>
      <c r="J4" s="34"/>
      <c r="K4" s="34"/>
      <c r="L4" s="35"/>
      <c r="M4" s="34"/>
      <c r="N4" s="36"/>
      <c r="O4" s="37"/>
      <c r="P4" s="38" t="s">
        <v>514</v>
      </c>
      <c r="Q4" s="39" t="s">
        <v>958</v>
      </c>
      <c r="R4" s="1443" t="s">
        <v>197</v>
      </c>
      <c r="S4" s="1444"/>
      <c r="T4" s="40"/>
      <c r="U4" s="35"/>
    </row>
    <row r="5" spans="1:23" ht="18.75" customHeight="1" x14ac:dyDescent="0.2">
      <c r="A5" s="28"/>
      <c r="B5" s="32"/>
      <c r="C5" s="43" t="s">
        <v>1065</v>
      </c>
      <c r="D5" s="298" t="s">
        <v>1123</v>
      </c>
      <c r="E5" s="1440" t="s">
        <v>1066</v>
      </c>
      <c r="F5" s="1440"/>
      <c r="G5" s="1440"/>
      <c r="H5" s="1440"/>
      <c r="I5" s="1440"/>
      <c r="J5" s="1440"/>
      <c r="K5" s="1440"/>
      <c r="L5" s="1446"/>
      <c r="M5" s="1440" t="s">
        <v>1067</v>
      </c>
      <c r="N5" s="1440"/>
      <c r="O5" s="9" t="s">
        <v>517</v>
      </c>
      <c r="P5" s="27" t="s">
        <v>515</v>
      </c>
      <c r="Q5" s="18" t="s">
        <v>959</v>
      </c>
      <c r="R5" s="1445" t="s">
        <v>198</v>
      </c>
      <c r="S5" s="1446"/>
      <c r="T5" s="29" t="s">
        <v>1068</v>
      </c>
      <c r="U5" s="29" t="s">
        <v>1069</v>
      </c>
    </row>
    <row r="6" spans="1:23" ht="16.5" thickBot="1" x14ac:dyDescent="0.3">
      <c r="A6" s="28"/>
      <c r="B6" s="33"/>
      <c r="C6" s="44" t="s">
        <v>1070</v>
      </c>
      <c r="D6" s="31"/>
      <c r="E6" s="31" t="s">
        <v>886</v>
      </c>
      <c r="F6" s="31" t="s">
        <v>887</v>
      </c>
      <c r="G6" s="31" t="s">
        <v>888</v>
      </c>
      <c r="H6" s="21" t="s">
        <v>930</v>
      </c>
      <c r="I6" s="31" t="s">
        <v>931</v>
      </c>
      <c r="J6" s="31" t="s">
        <v>932</v>
      </c>
      <c r="K6" s="31" t="s">
        <v>933</v>
      </c>
      <c r="L6" s="21" t="s">
        <v>934</v>
      </c>
      <c r="M6" s="17" t="s">
        <v>941</v>
      </c>
      <c r="N6" s="17" t="s">
        <v>942</v>
      </c>
      <c r="O6" s="19" t="s">
        <v>196</v>
      </c>
      <c r="P6" s="27" t="s">
        <v>1072</v>
      </c>
      <c r="Q6" s="41" t="s">
        <v>1071</v>
      </c>
      <c r="R6" s="68" t="s">
        <v>943</v>
      </c>
      <c r="S6" s="67" t="s">
        <v>944</v>
      </c>
      <c r="T6" s="74"/>
      <c r="U6" s="42"/>
    </row>
    <row r="7" spans="1:23" x14ac:dyDescent="0.2">
      <c r="A7" s="28"/>
      <c r="B7" s="324"/>
      <c r="C7" s="325"/>
      <c r="D7" s="326"/>
      <c r="E7" s="327"/>
      <c r="F7" s="328"/>
      <c r="G7" s="328"/>
      <c r="H7" s="329"/>
      <c r="I7" s="330"/>
      <c r="J7" s="328"/>
      <c r="K7" s="328"/>
      <c r="L7" s="331"/>
      <c r="M7" s="330"/>
      <c r="N7" s="330"/>
      <c r="O7" s="330"/>
      <c r="P7" s="332"/>
      <c r="Q7" s="333"/>
      <c r="R7" s="334"/>
      <c r="S7" s="335"/>
      <c r="T7" s="336"/>
      <c r="U7" s="337"/>
      <c r="V7" s="5"/>
      <c r="W7" s="5"/>
    </row>
    <row r="8" spans="1:23" x14ac:dyDescent="0.2">
      <c r="B8" s="1441" t="s">
        <v>52</v>
      </c>
      <c r="C8" s="1442"/>
      <c r="D8" s="299"/>
      <c r="E8" s="303"/>
      <c r="F8" s="304"/>
      <c r="G8" s="304"/>
      <c r="H8" s="90"/>
      <c r="I8" s="89"/>
      <c r="J8" s="304"/>
      <c r="K8" s="304"/>
      <c r="L8" s="90"/>
      <c r="M8" s="89"/>
      <c r="N8" s="89"/>
      <c r="O8" s="89"/>
      <c r="P8" s="91"/>
      <c r="Q8" s="92"/>
      <c r="R8" s="93"/>
      <c r="S8" s="94"/>
      <c r="T8" s="95"/>
      <c r="U8" s="96"/>
      <c r="V8" s="5"/>
      <c r="W8" s="5"/>
    </row>
    <row r="9" spans="1:23" x14ac:dyDescent="0.2">
      <c r="B9" s="293"/>
      <c r="C9" s="305" t="s">
        <v>679</v>
      </c>
      <c r="D9" s="306"/>
      <c r="E9" s="307"/>
      <c r="F9" s="308"/>
      <c r="G9" s="309"/>
      <c r="H9" s="357">
        <f>E9*'Standard values'!$D$10+F9*'Standard values'!$D$11+G9*'Standard values'!$D$12</f>
        <v>0</v>
      </c>
      <c r="I9" s="312">
        <v>87.638888888888886</v>
      </c>
      <c r="J9" s="309">
        <v>0</v>
      </c>
      <c r="K9" s="309">
        <v>0</v>
      </c>
      <c r="L9" s="357">
        <f>I9*'Standard values'!$D$10+J9*'Standard values'!$D$11+K9*'Standard values'!$D$12</f>
        <v>87.638888888888886</v>
      </c>
      <c r="M9" s="312"/>
      <c r="N9" s="338">
        <v>1.1575</v>
      </c>
      <c r="O9" s="339">
        <v>832</v>
      </c>
      <c r="P9" s="340">
        <v>43.1</v>
      </c>
      <c r="Q9" s="341"/>
      <c r="R9" s="342"/>
      <c r="S9" s="343"/>
      <c r="T9" s="344" t="s">
        <v>179</v>
      </c>
      <c r="U9" s="345"/>
      <c r="V9" s="5"/>
      <c r="W9" s="5"/>
    </row>
    <row r="10" spans="1:23" x14ac:dyDescent="0.2">
      <c r="B10" s="293"/>
      <c r="C10" s="305" t="s">
        <v>680</v>
      </c>
      <c r="D10" s="306"/>
      <c r="E10" s="307"/>
      <c r="F10" s="308"/>
      <c r="G10" s="309"/>
      <c r="H10" s="357">
        <f>E10*'Standard values'!$D$10+F10*'Standard values'!$D$11+G10*'Standard values'!$D$12</f>
        <v>0</v>
      </c>
      <c r="I10" s="312">
        <v>92.797444444444452</v>
      </c>
      <c r="J10" s="309">
        <v>0.29002777777777777</v>
      </c>
      <c r="K10" s="309">
        <v>3.3333333333333332E-4</v>
      </c>
      <c r="L10" s="357">
        <f>I10*'Standard values'!$D$10+J10*'Standard values'!$D$11+K10*'Standard values'!$D$12</f>
        <v>100.14747222222223</v>
      </c>
      <c r="M10" s="312"/>
      <c r="N10" s="338">
        <v>1.6594</v>
      </c>
      <c r="O10" s="339">
        <v>793</v>
      </c>
      <c r="P10" s="340">
        <v>19.899999999999999</v>
      </c>
      <c r="Q10" s="341"/>
      <c r="R10" s="342"/>
      <c r="S10" s="343"/>
      <c r="T10" s="344" t="s">
        <v>1093</v>
      </c>
      <c r="U10" s="345"/>
      <c r="V10" s="5"/>
      <c r="W10" s="5"/>
    </row>
    <row r="11" spans="1:23" x14ac:dyDescent="0.2">
      <c r="B11" s="293"/>
      <c r="C11" s="310" t="s">
        <v>312</v>
      </c>
      <c r="D11" s="311"/>
      <c r="E11" s="307">
        <v>2827.0048999999999</v>
      </c>
      <c r="F11" s="308">
        <v>8.6788000000000007</v>
      </c>
      <c r="G11" s="309">
        <v>9.6417999999999999</v>
      </c>
      <c r="H11" s="357">
        <f>E11*'Standard values'!$D$10+F11*'Standard values'!$D$11+G11*'Standard values'!$D$12</f>
        <v>5917.2312999999995</v>
      </c>
      <c r="I11" s="312"/>
      <c r="J11" s="309"/>
      <c r="K11" s="309"/>
      <c r="L11" s="357">
        <f>I11*'Standard values'!$D$10+J11*'Standard values'!$D$11+K11*'Standard values'!$D$12</f>
        <v>0</v>
      </c>
      <c r="M11" s="312">
        <v>48.990600000000001</v>
      </c>
      <c r="N11" s="338"/>
      <c r="O11" s="339"/>
      <c r="P11" s="340"/>
      <c r="Q11" s="341"/>
      <c r="R11" s="342"/>
      <c r="S11" s="343"/>
      <c r="T11" s="344"/>
      <c r="U11" s="345"/>
      <c r="V11" s="5"/>
      <c r="W11" s="5"/>
    </row>
    <row r="12" spans="1:23" x14ac:dyDescent="0.2">
      <c r="B12" s="293"/>
      <c r="C12" s="310" t="s">
        <v>912</v>
      </c>
      <c r="D12" s="311"/>
      <c r="E12" s="307"/>
      <c r="F12" s="308"/>
      <c r="G12" s="309"/>
      <c r="H12" s="357">
        <f>E12*'Standard values'!$D$10+F12*'Standard values'!$D$11+G12*'Standard values'!$D$12</f>
        <v>0</v>
      </c>
      <c r="I12" s="312">
        <v>292.51906369859699</v>
      </c>
      <c r="J12" s="309">
        <v>0.23866379237031363</v>
      </c>
      <c r="K12" s="309">
        <v>5.1089144424481814E-3</v>
      </c>
      <c r="L12" s="357">
        <f>I12*'Standard values'!$D$10+J12*'Standard values'!$D$11+K12*'Standard values'!$D$12</f>
        <v>300.00811501170443</v>
      </c>
      <c r="M12" s="312"/>
      <c r="N12" s="338"/>
      <c r="O12" s="339"/>
      <c r="P12" s="340"/>
      <c r="Q12" s="341"/>
      <c r="R12" s="342"/>
      <c r="S12" s="343"/>
      <c r="T12" s="344" t="s">
        <v>57</v>
      </c>
      <c r="U12" s="345" t="s">
        <v>58</v>
      </c>
      <c r="V12" s="5"/>
      <c r="W12" s="5"/>
    </row>
    <row r="13" spans="1:23" x14ac:dyDescent="0.2">
      <c r="B13" s="293"/>
      <c r="C13" s="310"/>
      <c r="D13" s="311"/>
      <c r="E13" s="307"/>
      <c r="F13" s="308"/>
      <c r="G13" s="309"/>
      <c r="H13" s="357">
        <f>E13*'Standard values'!$D$10+F13*'Standard values'!$D$11+G13*'Standard values'!$D$12</f>
        <v>0</v>
      </c>
      <c r="I13" s="312"/>
      <c r="J13" s="309"/>
      <c r="K13" s="309"/>
      <c r="L13" s="357">
        <f>I13*'Standard values'!$D$10+J13*'Standard values'!$D$11+K13*'Standard values'!$D$12</f>
        <v>0</v>
      </c>
      <c r="M13" s="312"/>
      <c r="N13" s="338"/>
      <c r="O13" s="339"/>
      <c r="P13" s="340"/>
      <c r="Q13" s="341"/>
      <c r="R13" s="342"/>
      <c r="S13" s="343"/>
      <c r="T13" s="344"/>
      <c r="U13" s="345"/>
      <c r="V13" s="5"/>
      <c r="W13" s="5"/>
    </row>
    <row r="14" spans="1:23" x14ac:dyDescent="0.2">
      <c r="B14" s="293"/>
      <c r="C14" s="310"/>
      <c r="D14" s="311"/>
      <c r="E14" s="307"/>
      <c r="F14" s="308"/>
      <c r="G14" s="309"/>
      <c r="H14" s="357">
        <f>E14*'Standard values'!$D$10+F14*'Standard values'!$D$11+G14*'Standard values'!$D$12</f>
        <v>0</v>
      </c>
      <c r="I14" s="312"/>
      <c r="J14" s="309"/>
      <c r="K14" s="309"/>
      <c r="L14" s="357">
        <f>I14*'Standard values'!$D$10+J14*'Standard values'!$D$11+K14*'Standard values'!$D$12</f>
        <v>0</v>
      </c>
      <c r="M14" s="312"/>
      <c r="N14" s="338"/>
      <c r="O14" s="339"/>
      <c r="P14" s="340"/>
      <c r="Q14" s="341"/>
      <c r="R14" s="342"/>
      <c r="S14" s="343"/>
      <c r="T14" s="344"/>
      <c r="U14" s="345"/>
      <c r="V14" s="5"/>
      <c r="W14" s="5"/>
    </row>
    <row r="15" spans="1:23" x14ac:dyDescent="0.2">
      <c r="B15" s="293"/>
      <c r="C15" s="310"/>
      <c r="D15" s="311"/>
      <c r="E15" s="307"/>
      <c r="F15" s="308"/>
      <c r="G15" s="309"/>
      <c r="H15" s="357">
        <f>E15*'Standard values'!$D$10+F15*'Standard values'!$D$11+G15*'Standard values'!$D$12</f>
        <v>0</v>
      </c>
      <c r="I15" s="312"/>
      <c r="J15" s="309"/>
      <c r="K15" s="309"/>
      <c r="L15" s="357">
        <f>I15*'Standard values'!$D$10+J15*'Standard values'!$D$11+K15*'Standard values'!$D$12</f>
        <v>0</v>
      </c>
      <c r="M15" s="312"/>
      <c r="N15" s="338"/>
      <c r="O15" s="339"/>
      <c r="P15" s="340"/>
      <c r="Q15" s="341"/>
      <c r="R15" s="342"/>
      <c r="S15" s="343"/>
      <c r="T15" s="344"/>
      <c r="U15" s="345"/>
      <c r="V15" s="5"/>
      <c r="W15" s="5"/>
    </row>
    <row r="16" spans="1:23" x14ac:dyDescent="0.2">
      <c r="B16" s="293"/>
      <c r="C16" s="310"/>
      <c r="D16" s="311"/>
      <c r="E16" s="307"/>
      <c r="F16" s="308"/>
      <c r="G16" s="309"/>
      <c r="H16" s="357">
        <f>E16*'Standard values'!$D$10+F16*'Standard values'!$D$11+G16*'Standard values'!$D$12</f>
        <v>0</v>
      </c>
      <c r="I16" s="312"/>
      <c r="J16" s="309"/>
      <c r="K16" s="309"/>
      <c r="L16" s="357">
        <f>I16*'Standard values'!$D$10+J16*'Standard values'!$D$11+K16*'Standard values'!$D$12</f>
        <v>0</v>
      </c>
      <c r="M16" s="312"/>
      <c r="N16" s="338"/>
      <c r="O16" s="339"/>
      <c r="P16" s="340"/>
      <c r="Q16" s="341"/>
      <c r="R16" s="342"/>
      <c r="S16" s="343"/>
      <c r="T16" s="344"/>
      <c r="U16" s="345"/>
      <c r="V16" s="5"/>
      <c r="W16" s="5"/>
    </row>
    <row r="17" spans="2:23" x14ac:dyDescent="0.2">
      <c r="B17" s="293"/>
      <c r="C17" s="310"/>
      <c r="D17" s="311"/>
      <c r="E17" s="307"/>
      <c r="F17" s="308"/>
      <c r="G17" s="309"/>
      <c r="H17" s="357">
        <f>E17*'Standard values'!$D$10+F17*'Standard values'!$D$11+G17*'Standard values'!$D$12</f>
        <v>0</v>
      </c>
      <c r="I17" s="312"/>
      <c r="J17" s="309"/>
      <c r="K17" s="309"/>
      <c r="L17" s="357">
        <f>I17*'Standard values'!$D$10+J17*'Standard values'!$D$11+K17*'Standard values'!$D$12</f>
        <v>0</v>
      </c>
      <c r="M17" s="312"/>
      <c r="N17" s="338"/>
      <c r="O17" s="339"/>
      <c r="P17" s="340"/>
      <c r="Q17" s="341"/>
      <c r="R17" s="342"/>
      <c r="S17" s="343"/>
      <c r="T17" s="344"/>
      <c r="U17" s="345"/>
      <c r="V17" s="5"/>
      <c r="W17" s="5"/>
    </row>
    <row r="18" spans="2:23" x14ac:dyDescent="0.2">
      <c r="B18" s="293"/>
      <c r="C18" s="310"/>
      <c r="D18" s="311"/>
      <c r="E18" s="307"/>
      <c r="F18" s="308"/>
      <c r="G18" s="309"/>
      <c r="H18" s="357">
        <f>E18*'Standard values'!$D$10+F18*'Standard values'!$D$11+G18*'Standard values'!$D$12</f>
        <v>0</v>
      </c>
      <c r="I18" s="312"/>
      <c r="J18" s="309"/>
      <c r="K18" s="309"/>
      <c r="L18" s="357">
        <f>I18*'Standard values'!$D$10+J18*'Standard values'!$D$11+K18*'Standard values'!$D$12</f>
        <v>0</v>
      </c>
      <c r="M18" s="312"/>
      <c r="N18" s="338"/>
      <c r="O18" s="339"/>
      <c r="P18" s="340"/>
      <c r="Q18" s="341"/>
      <c r="R18" s="342"/>
      <c r="S18" s="343"/>
      <c r="T18" s="344"/>
      <c r="U18" s="345"/>
      <c r="V18" s="5"/>
      <c r="W18" s="5"/>
    </row>
    <row r="19" spans="2:23" x14ac:dyDescent="0.2">
      <c r="B19" s="293"/>
      <c r="C19" s="310"/>
      <c r="D19" s="311"/>
      <c r="E19" s="307"/>
      <c r="F19" s="308"/>
      <c r="G19" s="309"/>
      <c r="H19" s="357">
        <f>E19*'Standard values'!$D$10+F19*'Standard values'!$D$11+G19*'Standard values'!$D$12</f>
        <v>0</v>
      </c>
      <c r="I19" s="312"/>
      <c r="J19" s="309"/>
      <c r="K19" s="309"/>
      <c r="L19" s="357">
        <f>I19*'Standard values'!$D$10+J19*'Standard values'!$D$11+K19*'Standard values'!$D$12</f>
        <v>0</v>
      </c>
      <c r="M19" s="312"/>
      <c r="N19" s="338"/>
      <c r="O19" s="339"/>
      <c r="P19" s="340"/>
      <c r="Q19" s="341"/>
      <c r="R19" s="342"/>
      <c r="S19" s="343"/>
      <c r="T19" s="344"/>
      <c r="U19" s="345"/>
      <c r="V19" s="5"/>
      <c r="W19" s="5"/>
    </row>
    <row r="20" spans="2:23" x14ac:dyDescent="0.2">
      <c r="B20" s="293"/>
      <c r="C20" s="310"/>
      <c r="D20" s="311"/>
      <c r="E20" s="307"/>
      <c r="F20" s="308"/>
      <c r="G20" s="309"/>
      <c r="H20" s="357">
        <f>E20*'Standard values'!$D$10+F20*'Standard values'!$D$11+G20*'Standard values'!$D$12</f>
        <v>0</v>
      </c>
      <c r="I20" s="312"/>
      <c r="J20" s="309"/>
      <c r="K20" s="309"/>
      <c r="L20" s="357">
        <f>I20*'Standard values'!$D$10+J20*'Standard values'!$D$11+K20*'Standard values'!$D$12</f>
        <v>0</v>
      </c>
      <c r="M20" s="312"/>
      <c r="N20" s="338"/>
      <c r="O20" s="339"/>
      <c r="P20" s="340"/>
      <c r="Q20" s="341"/>
      <c r="R20" s="342"/>
      <c r="S20" s="343"/>
      <c r="T20" s="344"/>
      <c r="U20" s="345"/>
      <c r="V20" s="5"/>
      <c r="W20" s="5"/>
    </row>
    <row r="21" spans="2:23" x14ac:dyDescent="0.2">
      <c r="B21" s="293"/>
      <c r="C21" s="310"/>
      <c r="D21" s="311"/>
      <c r="E21" s="307"/>
      <c r="F21" s="308"/>
      <c r="G21" s="309"/>
      <c r="H21" s="357">
        <f>E21*'Standard values'!$D$10+F21*'Standard values'!$D$11+G21*'Standard values'!$D$12</f>
        <v>0</v>
      </c>
      <c r="I21" s="312"/>
      <c r="J21" s="309"/>
      <c r="K21" s="309"/>
      <c r="L21" s="357">
        <f>I21*'Standard values'!$D$10+J21*'Standard values'!$D$11+K21*'Standard values'!$D$12</f>
        <v>0</v>
      </c>
      <c r="M21" s="312"/>
      <c r="N21" s="338"/>
      <c r="O21" s="339"/>
      <c r="P21" s="340"/>
      <c r="Q21" s="341"/>
      <c r="R21" s="342"/>
      <c r="S21" s="343"/>
      <c r="T21" s="344"/>
      <c r="U21" s="345"/>
      <c r="V21" s="5"/>
      <c r="W21" s="5"/>
    </row>
    <row r="22" spans="2:23" x14ac:dyDescent="0.2">
      <c r="B22" s="293"/>
      <c r="C22" s="310"/>
      <c r="D22" s="311"/>
      <c r="E22" s="307"/>
      <c r="F22" s="308"/>
      <c r="G22" s="309"/>
      <c r="H22" s="357">
        <f>E22*'Standard values'!$D$10+F22*'Standard values'!$D$11+G22*'Standard values'!$D$12</f>
        <v>0</v>
      </c>
      <c r="I22" s="312"/>
      <c r="J22" s="309"/>
      <c r="K22" s="309"/>
      <c r="L22" s="357">
        <f>I22*'Standard values'!$D$10+J22*'Standard values'!$D$11+K22*'Standard values'!$D$12</f>
        <v>0</v>
      </c>
      <c r="M22" s="312"/>
      <c r="N22" s="338"/>
      <c r="O22" s="339"/>
      <c r="P22" s="340"/>
      <c r="Q22" s="341"/>
      <c r="R22" s="342"/>
      <c r="S22" s="343"/>
      <c r="T22" s="344"/>
      <c r="U22" s="345"/>
      <c r="V22" s="5"/>
      <c r="W22" s="5"/>
    </row>
    <row r="23" spans="2:23" x14ac:dyDescent="0.2">
      <c r="B23" s="293"/>
      <c r="C23" s="310"/>
      <c r="D23" s="311"/>
      <c r="E23" s="307"/>
      <c r="F23" s="308"/>
      <c r="G23" s="309"/>
      <c r="H23" s="357">
        <f>E23*'Standard values'!$D$10+F23*'Standard values'!$D$11+G23*'Standard values'!$D$12</f>
        <v>0</v>
      </c>
      <c r="I23" s="312"/>
      <c r="J23" s="309"/>
      <c r="K23" s="309"/>
      <c r="L23" s="357">
        <f>I23*'Standard values'!$D$10+J23*'Standard values'!$D$11+K23*'Standard values'!$D$12</f>
        <v>0</v>
      </c>
      <c r="M23" s="312"/>
      <c r="N23" s="338"/>
      <c r="O23" s="339"/>
      <c r="P23" s="340"/>
      <c r="Q23" s="341"/>
      <c r="R23" s="342"/>
      <c r="S23" s="343"/>
      <c r="T23" s="344"/>
      <c r="U23" s="345"/>
      <c r="V23" s="5"/>
      <c r="W23" s="5"/>
    </row>
    <row r="24" spans="2:23" x14ac:dyDescent="0.2">
      <c r="B24" s="293"/>
      <c r="C24" s="310"/>
      <c r="D24" s="311"/>
      <c r="E24" s="307"/>
      <c r="F24" s="308"/>
      <c r="G24" s="309"/>
      <c r="H24" s="357">
        <f>E24*'Standard values'!$D$10+F24*'Standard values'!$D$11+G24*'Standard values'!$D$12</f>
        <v>0</v>
      </c>
      <c r="I24" s="312"/>
      <c r="J24" s="309"/>
      <c r="K24" s="309"/>
      <c r="L24" s="357">
        <f>I24*'Standard values'!$D$10+J24*'Standard values'!$D$11+K24*'Standard values'!$D$12</f>
        <v>0</v>
      </c>
      <c r="M24" s="312"/>
      <c r="N24" s="338"/>
      <c r="O24" s="339"/>
      <c r="P24" s="340"/>
      <c r="Q24" s="341"/>
      <c r="R24" s="342"/>
      <c r="S24" s="343"/>
      <c r="T24" s="344"/>
      <c r="U24" s="345"/>
      <c r="V24" s="5"/>
      <c r="W24" s="5"/>
    </row>
    <row r="25" spans="2:23" x14ac:dyDescent="0.2">
      <c r="B25" s="293"/>
      <c r="C25" s="310"/>
      <c r="D25" s="311"/>
      <c r="E25" s="307"/>
      <c r="F25" s="308"/>
      <c r="G25" s="309"/>
      <c r="H25" s="357">
        <f>E25*'Standard values'!$D$10+F25*'Standard values'!$D$11+G25*'Standard values'!$D$12</f>
        <v>0</v>
      </c>
      <c r="I25" s="312"/>
      <c r="J25" s="309"/>
      <c r="K25" s="309"/>
      <c r="L25" s="357">
        <f>I25*'Standard values'!$D$10+J25*'Standard values'!$D$11+K25*'Standard values'!$D$12</f>
        <v>0</v>
      </c>
      <c r="M25" s="312"/>
      <c r="N25" s="338"/>
      <c r="O25" s="339"/>
      <c r="P25" s="340"/>
      <c r="Q25" s="341"/>
      <c r="R25" s="342"/>
      <c r="S25" s="343"/>
      <c r="T25" s="344"/>
      <c r="U25" s="345"/>
      <c r="V25" s="5"/>
      <c r="W25" s="5"/>
    </row>
    <row r="26" spans="2:23" x14ac:dyDescent="0.2">
      <c r="B26" s="293"/>
      <c r="C26" s="310"/>
      <c r="D26" s="311"/>
      <c r="E26" s="307"/>
      <c r="F26" s="308"/>
      <c r="G26" s="309"/>
      <c r="H26" s="357">
        <f>E26*'Standard values'!$D$10+F26*'Standard values'!$D$11+G26*'Standard values'!$D$12</f>
        <v>0</v>
      </c>
      <c r="I26" s="312"/>
      <c r="J26" s="309"/>
      <c r="K26" s="309"/>
      <c r="L26" s="357">
        <f>I26*'Standard values'!$D$10+J26*'Standard values'!$D$11+K26*'Standard values'!$D$12</f>
        <v>0</v>
      </c>
      <c r="M26" s="312"/>
      <c r="N26" s="338"/>
      <c r="O26" s="339"/>
      <c r="P26" s="340"/>
      <c r="Q26" s="341"/>
      <c r="R26" s="342"/>
      <c r="S26" s="343"/>
      <c r="T26" s="344"/>
      <c r="U26" s="345"/>
      <c r="V26" s="5"/>
      <c r="W26" s="5"/>
    </row>
    <row r="27" spans="2:23" x14ac:dyDescent="0.2">
      <c r="B27" s="293"/>
      <c r="C27" s="310"/>
      <c r="D27" s="311"/>
      <c r="E27" s="307"/>
      <c r="F27" s="308"/>
      <c r="G27" s="309"/>
      <c r="H27" s="357">
        <f>E27*'Standard values'!$D$10+F27*'Standard values'!$D$11+G27*'Standard values'!$D$12</f>
        <v>0</v>
      </c>
      <c r="I27" s="312"/>
      <c r="J27" s="309"/>
      <c r="K27" s="309"/>
      <c r="L27" s="357">
        <f>I27*'Standard values'!$D$10+J27*'Standard values'!$D$11+K27*'Standard values'!$D$12</f>
        <v>0</v>
      </c>
      <c r="M27" s="312"/>
      <c r="N27" s="338"/>
      <c r="O27" s="339"/>
      <c r="P27" s="340"/>
      <c r="Q27" s="341"/>
      <c r="R27" s="342"/>
      <c r="S27" s="343"/>
      <c r="T27" s="344"/>
      <c r="U27" s="345"/>
      <c r="V27" s="5"/>
      <c r="W27" s="5"/>
    </row>
    <row r="28" spans="2:23" x14ac:dyDescent="0.2">
      <c r="B28" s="293"/>
      <c r="C28" s="310"/>
      <c r="D28" s="311"/>
      <c r="E28" s="307"/>
      <c r="F28" s="308"/>
      <c r="G28" s="309"/>
      <c r="H28" s="357">
        <f>E28*'Standard values'!$D$10+F28*'Standard values'!$D$11+G28*'Standard values'!$D$12</f>
        <v>0</v>
      </c>
      <c r="I28" s="312"/>
      <c r="J28" s="309"/>
      <c r="K28" s="309"/>
      <c r="L28" s="357">
        <f>I28*'Standard values'!$D$10+J28*'Standard values'!$D$11+K28*'Standard values'!$D$12</f>
        <v>0</v>
      </c>
      <c r="M28" s="312"/>
      <c r="N28" s="338"/>
      <c r="O28" s="339"/>
      <c r="P28" s="340"/>
      <c r="Q28" s="341"/>
      <c r="R28" s="342"/>
      <c r="S28" s="343"/>
      <c r="T28" s="344"/>
      <c r="U28" s="345"/>
      <c r="V28" s="5"/>
      <c r="W28" s="5"/>
    </row>
    <row r="29" spans="2:23" x14ac:dyDescent="0.2">
      <c r="B29" s="293"/>
      <c r="C29" s="310"/>
      <c r="D29" s="311"/>
      <c r="E29" s="307"/>
      <c r="F29" s="308"/>
      <c r="G29" s="309"/>
      <c r="H29" s="357">
        <f>E29*'Standard values'!$D$10+F29*'Standard values'!$D$11+G29*'Standard values'!$D$12</f>
        <v>0</v>
      </c>
      <c r="I29" s="312"/>
      <c r="J29" s="309"/>
      <c r="K29" s="309"/>
      <c r="L29" s="357">
        <f>I29*'Standard values'!$D$10+J29*'Standard values'!$D$11+K29*'Standard values'!$D$12</f>
        <v>0</v>
      </c>
      <c r="M29" s="312"/>
      <c r="N29" s="338"/>
      <c r="O29" s="339"/>
      <c r="P29" s="340"/>
      <c r="Q29" s="341"/>
      <c r="R29" s="342"/>
      <c r="S29" s="343"/>
      <c r="T29" s="344"/>
      <c r="U29" s="345"/>
      <c r="V29" s="5"/>
      <c r="W29" s="5"/>
    </row>
    <row r="30" spans="2:23" x14ac:dyDescent="0.2">
      <c r="B30" s="293"/>
      <c r="C30" s="310"/>
      <c r="D30" s="311"/>
      <c r="E30" s="307"/>
      <c r="F30" s="308"/>
      <c r="G30" s="309"/>
      <c r="H30" s="357">
        <f>E30*'Standard values'!$D$10+F30*'Standard values'!$D$11+G30*'Standard values'!$D$12</f>
        <v>0</v>
      </c>
      <c r="I30" s="312"/>
      <c r="J30" s="309"/>
      <c r="K30" s="309"/>
      <c r="L30" s="357">
        <f>I30*'Standard values'!$D$10+J30*'Standard values'!$D$11+K30*'Standard values'!$D$12</f>
        <v>0</v>
      </c>
      <c r="M30" s="312"/>
      <c r="N30" s="338"/>
      <c r="O30" s="339"/>
      <c r="P30" s="340"/>
      <c r="Q30" s="341"/>
      <c r="R30" s="342"/>
      <c r="S30" s="343"/>
      <c r="T30" s="344"/>
      <c r="U30" s="345"/>
      <c r="V30" s="5"/>
      <c r="W30" s="5"/>
    </row>
    <row r="31" spans="2:23" x14ac:dyDescent="0.2">
      <c r="B31" s="293"/>
      <c r="C31" s="310"/>
      <c r="D31" s="311"/>
      <c r="E31" s="307"/>
      <c r="F31" s="308"/>
      <c r="G31" s="309"/>
      <c r="H31" s="357">
        <f>E31*'Standard values'!$D$10+F31*'Standard values'!$D$11+G31*'Standard values'!$D$12</f>
        <v>0</v>
      </c>
      <c r="I31" s="312"/>
      <c r="J31" s="309"/>
      <c r="K31" s="309"/>
      <c r="L31" s="357">
        <f>I31*'Standard values'!$D$10+J31*'Standard values'!$D$11+K31*'Standard values'!$D$12</f>
        <v>0</v>
      </c>
      <c r="M31" s="312"/>
      <c r="N31" s="338"/>
      <c r="O31" s="339"/>
      <c r="P31" s="340"/>
      <c r="Q31" s="341"/>
      <c r="R31" s="342"/>
      <c r="S31" s="343"/>
      <c r="T31" s="344"/>
      <c r="U31" s="345"/>
      <c r="V31" s="5"/>
      <c r="W31" s="5"/>
    </row>
    <row r="32" spans="2:23" x14ac:dyDescent="0.2">
      <c r="B32" s="293"/>
      <c r="C32" s="310"/>
      <c r="D32" s="311"/>
      <c r="E32" s="307"/>
      <c r="F32" s="308"/>
      <c r="G32" s="309"/>
      <c r="H32" s="357">
        <f>E32*'Standard values'!$D$10+F32*'Standard values'!$D$11+G32*'Standard values'!$D$12</f>
        <v>0</v>
      </c>
      <c r="I32" s="312"/>
      <c r="J32" s="309"/>
      <c r="K32" s="309"/>
      <c r="L32" s="357">
        <f>I32*'Standard values'!$D$10+J32*'Standard values'!$D$11+K32*'Standard values'!$D$12</f>
        <v>0</v>
      </c>
      <c r="M32" s="312"/>
      <c r="N32" s="338"/>
      <c r="O32" s="339"/>
      <c r="P32" s="340"/>
      <c r="Q32" s="341"/>
      <c r="R32" s="342"/>
      <c r="S32" s="343"/>
      <c r="T32" s="344"/>
      <c r="U32" s="345"/>
      <c r="V32" s="5"/>
      <c r="W32" s="5"/>
    </row>
    <row r="33" spans="2:23" x14ac:dyDescent="0.2">
      <c r="B33" s="293"/>
      <c r="C33" s="310"/>
      <c r="D33" s="311"/>
      <c r="E33" s="307"/>
      <c r="F33" s="308"/>
      <c r="G33" s="309"/>
      <c r="H33" s="357">
        <f>E33*'Standard values'!$D$10+F33*'Standard values'!$D$11+G33*'Standard values'!$D$12</f>
        <v>0</v>
      </c>
      <c r="I33" s="312"/>
      <c r="J33" s="309"/>
      <c r="K33" s="309"/>
      <c r="L33" s="357">
        <f>I33*'Standard values'!$D$10+J33*'Standard values'!$D$11+K33*'Standard values'!$D$12</f>
        <v>0</v>
      </c>
      <c r="M33" s="312"/>
      <c r="N33" s="338"/>
      <c r="O33" s="339"/>
      <c r="P33" s="340"/>
      <c r="Q33" s="341"/>
      <c r="R33" s="342"/>
      <c r="S33" s="343"/>
      <c r="T33" s="344"/>
      <c r="U33" s="345"/>
      <c r="V33" s="5"/>
      <c r="W33" s="5"/>
    </row>
    <row r="34" spans="2:23" x14ac:dyDescent="0.2">
      <c r="B34" s="293"/>
      <c r="C34" s="310"/>
      <c r="D34" s="311"/>
      <c r="E34" s="307"/>
      <c r="F34" s="308"/>
      <c r="G34" s="309"/>
      <c r="H34" s="357">
        <f>E34*'Standard values'!$D$10+F34*'Standard values'!$D$11+G34*'Standard values'!$D$12</f>
        <v>0</v>
      </c>
      <c r="I34" s="312"/>
      <c r="J34" s="309"/>
      <c r="K34" s="309"/>
      <c r="L34" s="357">
        <f>I34*'Standard values'!$D$10+J34*'Standard values'!$D$11+K34*'Standard values'!$D$12</f>
        <v>0</v>
      </c>
      <c r="M34" s="312"/>
      <c r="N34" s="338"/>
      <c r="O34" s="339"/>
      <c r="P34" s="340"/>
      <c r="Q34" s="341"/>
      <c r="R34" s="342"/>
      <c r="S34" s="343"/>
      <c r="T34" s="344"/>
      <c r="U34" s="345"/>
      <c r="V34" s="5"/>
      <c r="W34" s="5"/>
    </row>
    <row r="35" spans="2:23" x14ac:dyDescent="0.2">
      <c r="B35" s="293"/>
      <c r="C35" s="310"/>
      <c r="D35" s="311"/>
      <c r="E35" s="307"/>
      <c r="F35" s="308"/>
      <c r="G35" s="309"/>
      <c r="H35" s="357">
        <f>E35*'Standard values'!$D$10+F35*'Standard values'!$D$11+G35*'Standard values'!$D$12</f>
        <v>0</v>
      </c>
      <c r="I35" s="312"/>
      <c r="J35" s="309"/>
      <c r="K35" s="309"/>
      <c r="L35" s="357">
        <f>I35*'Standard values'!$D$10+J35*'Standard values'!$D$11+K35*'Standard values'!$D$12</f>
        <v>0</v>
      </c>
      <c r="M35" s="312"/>
      <c r="N35" s="338"/>
      <c r="O35" s="339"/>
      <c r="P35" s="340"/>
      <c r="Q35" s="341"/>
      <c r="R35" s="342"/>
      <c r="S35" s="343"/>
      <c r="T35" s="344"/>
      <c r="U35" s="345"/>
      <c r="V35" s="5"/>
      <c r="W35" s="5"/>
    </row>
    <row r="36" spans="2:23" x14ac:dyDescent="0.2">
      <c r="B36" s="293"/>
      <c r="C36" s="310"/>
      <c r="D36" s="311"/>
      <c r="E36" s="307"/>
      <c r="F36" s="308"/>
      <c r="G36" s="309"/>
      <c r="H36" s="357">
        <f>E36*'Standard values'!$D$10+F36*'Standard values'!$D$11+G36*'Standard values'!$D$12</f>
        <v>0</v>
      </c>
      <c r="I36" s="312"/>
      <c r="J36" s="309"/>
      <c r="K36" s="309"/>
      <c r="L36" s="357">
        <f>I36*'Standard values'!$D$10+J36*'Standard values'!$D$11+K36*'Standard values'!$D$12</f>
        <v>0</v>
      </c>
      <c r="M36" s="312"/>
      <c r="N36" s="338"/>
      <c r="O36" s="339"/>
      <c r="P36" s="340"/>
      <c r="Q36" s="341"/>
      <c r="R36" s="342"/>
      <c r="S36" s="343"/>
      <c r="T36" s="344"/>
      <c r="U36" s="345"/>
      <c r="V36" s="5"/>
      <c r="W36" s="5"/>
    </row>
    <row r="37" spans="2:23" x14ac:dyDescent="0.2">
      <c r="B37" s="293"/>
      <c r="C37" s="310"/>
      <c r="D37" s="311"/>
      <c r="E37" s="307"/>
      <c r="F37" s="308"/>
      <c r="G37" s="309"/>
      <c r="H37" s="357">
        <f>E37*'Standard values'!$D$10+F37*'Standard values'!$D$11+G37*'Standard values'!$D$12</f>
        <v>0</v>
      </c>
      <c r="I37" s="312"/>
      <c r="J37" s="309"/>
      <c r="K37" s="309"/>
      <c r="L37" s="357">
        <f>I37*'Standard values'!$D$10+J37*'Standard values'!$D$11+K37*'Standard values'!$D$12</f>
        <v>0</v>
      </c>
      <c r="M37" s="312"/>
      <c r="N37" s="338"/>
      <c r="O37" s="339"/>
      <c r="P37" s="340"/>
      <c r="Q37" s="341"/>
      <c r="R37" s="342"/>
      <c r="S37" s="343"/>
      <c r="T37" s="344"/>
      <c r="U37" s="345"/>
      <c r="V37" s="5"/>
      <c r="W37" s="5"/>
    </row>
    <row r="38" spans="2:23" x14ac:dyDescent="0.2">
      <c r="B38" s="293"/>
      <c r="C38" s="310"/>
      <c r="D38" s="311"/>
      <c r="E38" s="307"/>
      <c r="F38" s="308"/>
      <c r="G38" s="309"/>
      <c r="H38" s="357">
        <f>E38*'Standard values'!$D$10+F38*'Standard values'!$D$11+G38*'Standard values'!$D$12</f>
        <v>0</v>
      </c>
      <c r="I38" s="312"/>
      <c r="J38" s="309"/>
      <c r="K38" s="309"/>
      <c r="L38" s="357">
        <f>I38*'Standard values'!$D$10+J38*'Standard values'!$D$11+K38*'Standard values'!$D$12</f>
        <v>0</v>
      </c>
      <c r="M38" s="312"/>
      <c r="N38" s="338"/>
      <c r="O38" s="339"/>
      <c r="P38" s="340"/>
      <c r="Q38" s="341"/>
      <c r="R38" s="342"/>
      <c r="S38" s="343"/>
      <c r="T38" s="344"/>
      <c r="U38" s="345"/>
      <c r="V38" s="5"/>
      <c r="W38" s="5"/>
    </row>
    <row r="39" spans="2:23" x14ac:dyDescent="0.2">
      <c r="B39" s="293"/>
      <c r="C39" s="310"/>
      <c r="D39" s="311"/>
      <c r="E39" s="307"/>
      <c r="F39" s="308"/>
      <c r="G39" s="309"/>
      <c r="H39" s="357">
        <f>E39*'Standard values'!$D$10+F39*'Standard values'!$D$11+G39*'Standard values'!$D$12</f>
        <v>0</v>
      </c>
      <c r="I39" s="312"/>
      <c r="J39" s="309"/>
      <c r="K39" s="309"/>
      <c r="L39" s="357">
        <f>I39*'Standard values'!$D$10+J39*'Standard values'!$D$11+K39*'Standard values'!$D$12</f>
        <v>0</v>
      </c>
      <c r="M39" s="312"/>
      <c r="N39" s="338"/>
      <c r="O39" s="339"/>
      <c r="P39" s="340"/>
      <c r="Q39" s="341"/>
      <c r="R39" s="342"/>
      <c r="S39" s="343"/>
      <c r="T39" s="344"/>
      <c r="U39" s="345"/>
      <c r="V39" s="5"/>
      <c r="W39" s="5"/>
    </row>
    <row r="40" spans="2:23" x14ac:dyDescent="0.2">
      <c r="B40" s="293"/>
      <c r="C40" s="310"/>
      <c r="D40" s="311"/>
      <c r="E40" s="307"/>
      <c r="F40" s="308"/>
      <c r="G40" s="309"/>
      <c r="H40" s="357">
        <f>E40*'Standard values'!$D$10+F40*'Standard values'!$D$11+G40*'Standard values'!$D$12</f>
        <v>0</v>
      </c>
      <c r="I40" s="312"/>
      <c r="J40" s="309"/>
      <c r="K40" s="309"/>
      <c r="L40" s="357">
        <f>I40*'Standard values'!$D$10+J40*'Standard values'!$D$11+K40*'Standard values'!$D$12</f>
        <v>0</v>
      </c>
      <c r="M40" s="312"/>
      <c r="N40" s="338"/>
      <c r="O40" s="339"/>
      <c r="P40" s="340"/>
      <c r="Q40" s="341"/>
      <c r="R40" s="342"/>
      <c r="S40" s="343"/>
      <c r="T40" s="344"/>
      <c r="U40" s="345"/>
      <c r="V40" s="5"/>
      <c r="W40" s="5"/>
    </row>
    <row r="41" spans="2:23" x14ac:dyDescent="0.2">
      <c r="B41" s="293"/>
      <c r="C41" s="310"/>
      <c r="D41" s="311"/>
      <c r="E41" s="307"/>
      <c r="F41" s="308"/>
      <c r="G41" s="309"/>
      <c r="H41" s="357">
        <f>E41*'Standard values'!$D$10+F41*'Standard values'!$D$11+G41*'Standard values'!$D$12</f>
        <v>0</v>
      </c>
      <c r="I41" s="312"/>
      <c r="J41" s="309"/>
      <c r="K41" s="309"/>
      <c r="L41" s="357">
        <f>I41*'Standard values'!$D$10+J41*'Standard values'!$D$11+K41*'Standard values'!$D$12</f>
        <v>0</v>
      </c>
      <c r="M41" s="312"/>
      <c r="N41" s="338"/>
      <c r="O41" s="339"/>
      <c r="P41" s="340"/>
      <c r="Q41" s="341"/>
      <c r="R41" s="342"/>
      <c r="S41" s="343"/>
      <c r="T41" s="344"/>
      <c r="U41" s="345"/>
      <c r="V41" s="5"/>
      <c r="W41" s="5"/>
    </row>
    <row r="42" spans="2:23" x14ac:dyDescent="0.2">
      <c r="B42" s="293"/>
      <c r="C42" s="310"/>
      <c r="D42" s="311"/>
      <c r="E42" s="307"/>
      <c r="F42" s="308"/>
      <c r="G42" s="309"/>
      <c r="H42" s="357">
        <f>E42*'Standard values'!$D$10+F42*'Standard values'!$D$11+G42*'Standard values'!$D$12</f>
        <v>0</v>
      </c>
      <c r="I42" s="312"/>
      <c r="J42" s="309"/>
      <c r="K42" s="309"/>
      <c r="L42" s="357">
        <f>I42*'Standard values'!$D$10+J42*'Standard values'!$D$11+K42*'Standard values'!$D$12</f>
        <v>0</v>
      </c>
      <c r="M42" s="312"/>
      <c r="N42" s="338"/>
      <c r="O42" s="339"/>
      <c r="P42" s="340"/>
      <c r="Q42" s="341"/>
      <c r="R42" s="342"/>
      <c r="S42" s="343"/>
      <c r="T42" s="344"/>
      <c r="U42" s="345"/>
      <c r="V42" s="5"/>
      <c r="W42" s="5"/>
    </row>
    <row r="43" spans="2:23" x14ac:dyDescent="0.2">
      <c r="B43" s="293"/>
      <c r="C43" s="310"/>
      <c r="D43" s="311"/>
      <c r="E43" s="307"/>
      <c r="F43" s="308"/>
      <c r="G43" s="309"/>
      <c r="H43" s="357">
        <f>E43*'Standard values'!$D$10+F43*'Standard values'!$D$11+G43*'Standard values'!$D$12</f>
        <v>0</v>
      </c>
      <c r="I43" s="312"/>
      <c r="J43" s="309"/>
      <c r="K43" s="309"/>
      <c r="L43" s="357">
        <f>I43*'Standard values'!$D$10+J43*'Standard values'!$D$11+K43*'Standard values'!$D$12</f>
        <v>0</v>
      </c>
      <c r="M43" s="312"/>
      <c r="N43" s="338"/>
      <c r="O43" s="339"/>
      <c r="P43" s="340"/>
      <c r="Q43" s="341"/>
      <c r="R43" s="342"/>
      <c r="S43" s="343"/>
      <c r="T43" s="344"/>
      <c r="U43" s="345"/>
      <c r="V43" s="5"/>
      <c r="W43" s="5"/>
    </row>
    <row r="44" spans="2:23" x14ac:dyDescent="0.2">
      <c r="B44" s="293"/>
      <c r="C44" s="310"/>
      <c r="D44" s="311"/>
      <c r="E44" s="307"/>
      <c r="F44" s="308"/>
      <c r="G44" s="309"/>
      <c r="H44" s="357">
        <f>E44*'Standard values'!$D$10+F44*'Standard values'!$D$11+G44*'Standard values'!$D$12</f>
        <v>0</v>
      </c>
      <c r="I44" s="312"/>
      <c r="J44" s="309"/>
      <c r="K44" s="309"/>
      <c r="L44" s="357">
        <f>I44*'Standard values'!$D$10+J44*'Standard values'!$D$11+K44*'Standard values'!$D$12</f>
        <v>0</v>
      </c>
      <c r="M44" s="312"/>
      <c r="N44" s="338"/>
      <c r="O44" s="339"/>
      <c r="P44" s="340"/>
      <c r="Q44" s="341"/>
      <c r="R44" s="342"/>
      <c r="S44" s="343"/>
      <c r="T44" s="344"/>
      <c r="U44" s="345"/>
      <c r="V44" s="5"/>
      <c r="W44" s="5"/>
    </row>
    <row r="45" spans="2:23" x14ac:dyDescent="0.2">
      <c r="B45" s="293"/>
      <c r="C45" s="310"/>
      <c r="D45" s="311"/>
      <c r="E45" s="307"/>
      <c r="F45" s="308"/>
      <c r="G45" s="309"/>
      <c r="H45" s="357">
        <f>E45*'Standard values'!$D$10+F45*'Standard values'!$D$11+G45*'Standard values'!$D$12</f>
        <v>0</v>
      </c>
      <c r="I45" s="312"/>
      <c r="J45" s="309"/>
      <c r="K45" s="309"/>
      <c r="L45" s="357">
        <f>I45*'Standard values'!$D$10+J45*'Standard values'!$D$11+K45*'Standard values'!$D$12</f>
        <v>0</v>
      </c>
      <c r="M45" s="312"/>
      <c r="N45" s="338"/>
      <c r="O45" s="339"/>
      <c r="P45" s="340"/>
      <c r="Q45" s="341"/>
      <c r="R45" s="342"/>
      <c r="S45" s="343"/>
      <c r="T45" s="344"/>
      <c r="U45" s="345"/>
      <c r="V45" s="5"/>
      <c r="W45" s="5"/>
    </row>
    <row r="46" spans="2:23" x14ac:dyDescent="0.2">
      <c r="B46" s="293"/>
      <c r="C46" s="310"/>
      <c r="D46" s="311"/>
      <c r="E46" s="307"/>
      <c r="F46" s="308"/>
      <c r="G46" s="309"/>
      <c r="H46" s="357">
        <f>E46*'Standard values'!$D$10+F46*'Standard values'!$D$11+G46*'Standard values'!$D$12</f>
        <v>0</v>
      </c>
      <c r="I46" s="312"/>
      <c r="J46" s="309"/>
      <c r="K46" s="309"/>
      <c r="L46" s="357">
        <f>I46*'Standard values'!$D$10+J46*'Standard values'!$D$11+K46*'Standard values'!$D$12</f>
        <v>0</v>
      </c>
      <c r="M46" s="312"/>
      <c r="N46" s="338"/>
      <c r="O46" s="339"/>
      <c r="P46" s="340"/>
      <c r="Q46" s="341"/>
      <c r="R46" s="342"/>
      <c r="S46" s="343"/>
      <c r="T46" s="344"/>
      <c r="U46" s="345"/>
      <c r="V46" s="5"/>
      <c r="W46" s="5"/>
    </row>
    <row r="47" spans="2:23" x14ac:dyDescent="0.2">
      <c r="B47" s="293"/>
      <c r="C47" s="310"/>
      <c r="D47" s="311"/>
      <c r="E47" s="307"/>
      <c r="F47" s="308"/>
      <c r="G47" s="309"/>
      <c r="H47" s="357">
        <f>E47*'Standard values'!$D$10+F47*'Standard values'!$D$11+G47*'Standard values'!$D$12</f>
        <v>0</v>
      </c>
      <c r="I47" s="312"/>
      <c r="J47" s="309"/>
      <c r="K47" s="309"/>
      <c r="L47" s="357">
        <f>I47*'Standard values'!$D$10+J47*'Standard values'!$D$11+K47*'Standard values'!$D$12</f>
        <v>0</v>
      </c>
      <c r="M47" s="312"/>
      <c r="N47" s="338"/>
      <c r="O47" s="339"/>
      <c r="P47" s="340"/>
      <c r="Q47" s="341"/>
      <c r="R47" s="342"/>
      <c r="S47" s="343"/>
      <c r="T47" s="344"/>
      <c r="U47" s="345"/>
      <c r="V47" s="5"/>
      <c r="W47" s="5"/>
    </row>
    <row r="48" spans="2:23" ht="13.5" thickBot="1" x14ac:dyDescent="0.25">
      <c r="B48" s="313"/>
      <c r="C48" s="314"/>
      <c r="D48" s="315"/>
      <c r="E48" s="316"/>
      <c r="F48" s="317"/>
      <c r="G48" s="317"/>
      <c r="H48" s="314"/>
      <c r="I48" s="318"/>
      <c r="J48" s="317"/>
      <c r="K48" s="317"/>
      <c r="L48" s="314"/>
      <c r="M48" s="318"/>
      <c r="N48" s="317"/>
      <c r="O48" s="317"/>
      <c r="P48" s="314"/>
      <c r="Q48" s="319"/>
      <c r="R48" s="320"/>
      <c r="S48" s="321"/>
      <c r="T48" s="322"/>
      <c r="U48" s="323"/>
      <c r="V48" s="5"/>
      <c r="W48" s="5"/>
    </row>
    <row r="49" spans="19:20" x14ac:dyDescent="0.2">
      <c r="S49" s="10"/>
      <c r="T49" s="26"/>
    </row>
  </sheetData>
  <sheetProtection insertColumns="0" insertRows="0" deleteColumns="0" deleteRows="0"/>
  <customSheetViews>
    <customSheetView guid="{AD88818B-9F97-4B1E-9426-0DECE603685E}" fitToPage="1" showRuler="0">
      <pane xSplit="3" ySplit="4" topLeftCell="D5" activePane="bottomRight" state="frozen"/>
      <selection pane="bottomRight" activeCell="I11" sqref="I11"/>
      <pageMargins left="0.75" right="0.75" top="1" bottom="1" header="0.5" footer="0.5"/>
      <pageSetup paperSize="9" scale="37" fitToHeight="0" orientation="landscape"/>
      <headerFooter alignWithMargins="0">
        <oddFooter>&amp;L&amp;8&amp;F&amp;C&amp;8&amp;A&amp;R&amp;8page&amp;P</oddFooter>
      </headerFooter>
    </customSheetView>
    <customSheetView guid="{7EB5D807-CE20-46E2-AEE6-2C193E010EA4}" fitToPage="1" showRuler="0">
      <pane xSplit="3" ySplit="4" topLeftCell="D5" activePane="bottomRight" state="frozen"/>
      <selection pane="bottomRight" activeCell="I11" sqref="I11"/>
      <pageMargins left="0.75" right="0.75" top="1" bottom="1" header="0.5" footer="0.5"/>
      <pageSetup paperSize="9" scale="37" fitToHeight="0" orientation="landscape"/>
      <headerFooter alignWithMargins="0">
        <oddFooter>&amp;L&amp;8&amp;F&amp;C&amp;8&amp;A&amp;R&amp;8page&amp;P</oddFooter>
      </headerFooter>
    </customSheetView>
  </customSheetViews>
  <mergeCells count="7">
    <mergeCell ref="B2:C2"/>
    <mergeCell ref="M5:N5"/>
    <mergeCell ref="B8:C8"/>
    <mergeCell ref="R4:S4"/>
    <mergeCell ref="R5:S5"/>
    <mergeCell ref="E5:L5"/>
    <mergeCell ref="B4:C4"/>
  </mergeCells>
  <phoneticPr fontId="27" type="noConversion"/>
  <conditionalFormatting sqref="E7:P7 T7 E48:S48 Q7:S47">
    <cfRule type="cellIs" dxfId="1" priority="1" stopIfTrue="1" operator="equal">
      <formula>"N.A."</formula>
    </cfRule>
  </conditionalFormatting>
  <dataValidations count="2">
    <dataValidation allowBlank="1" showInputMessage="1" showErrorMessage="1" promptTitle="Do not change !" prompt="Do not input any number in this cell or this column._x000a_If you have a GHG emission coefficient in g CO2,eq/kg then fill this number into the column with heading g CO2/kg and fill &quot;0&quot; into the columns with heading g CH4/kg and g N2O/kg" sqref="H9:H47" xr:uid="{00000000-0002-0000-2000-000000000000}"/>
    <dataValidation allowBlank="1" showInputMessage="1" showErrorMessage="1" promptTitle="Do not change !" prompt="Do not input any number in this cell or this column._x000a_If you have a GHG emission coefficient in g CO2,eq/MJ then fill this number into the column with heading g CO2/MJ and fill &quot;0&quot; into the columns with heading g CH4/MJ and g N2O/MJ" sqref="L9:L47" xr:uid="{00000000-0002-0000-2000-000001000000}"/>
  </dataValidations>
  <pageMargins left="0.75" right="0.75" top="1" bottom="1" header="0.5" footer="0.5"/>
  <pageSetup paperSize="9" scale="37" fitToHeight="0" orientation="landscape"/>
  <headerFooter alignWithMargins="0">
    <oddFooter>&amp;L&amp;8&amp;F&amp;C&amp;8&amp;A&amp;R&amp;8page&amp;P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3828" r:id="rId3" name="Label 756">
              <controlPr defaultSize="0" autoFill="0" autoLine="0" autoPict="0" macro="[0]!GoToAbout">
                <anchor moveWithCells="1" sizeWithCells="1">
                  <from>
                    <xdr:col>10</xdr:col>
                    <xdr:colOff>619125</xdr:colOff>
                    <xdr:row>0</xdr:row>
                    <xdr:rowOff>800100</xdr:rowOff>
                  </from>
                  <to>
                    <xdr:col>11</xdr:col>
                    <xdr:colOff>771525</xdr:colOff>
                    <xdr:row>1</xdr:row>
                    <xdr:rowOff>0</xdr:rowOff>
                  </to>
                </anchor>
              </controlPr>
            </control>
          </mc:Choice>
        </mc:AlternateContent>
        <mc:AlternateContent xmlns:mc="http://schemas.openxmlformats.org/markup-compatibility/2006">
          <mc:Choice Requires="x14">
            <control shapeId="3829" r:id="rId4" name="Label 757">
              <controlPr defaultSize="0" autoFill="0" autoLine="0" autoPict="0" macro="[0]!GoToDirectory">
                <anchor moveWithCells="1" sizeWithCells="1">
                  <from>
                    <xdr:col>11</xdr:col>
                    <xdr:colOff>847725</xdr:colOff>
                    <xdr:row>0</xdr:row>
                    <xdr:rowOff>800100</xdr:rowOff>
                  </from>
                  <to>
                    <xdr:col>13</xdr:col>
                    <xdr:colOff>133350</xdr:colOff>
                    <xdr:row>1</xdr:row>
                    <xdr:rowOff>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V">
    <pageSetUpPr fitToPage="1"/>
  </sheetPr>
  <dimension ref="A1:AK163"/>
  <sheetViews>
    <sheetView zoomScale="80" workbookViewId="0">
      <pane ySplit="7" topLeftCell="A50" activePane="bottomLeft" state="frozen"/>
      <selection pane="bottomLeft" activeCell="P56" sqref="P56"/>
    </sheetView>
  </sheetViews>
  <sheetFormatPr baseColWidth="10" defaultColWidth="9.140625" defaultRowHeight="12.75" x14ac:dyDescent="0.2"/>
  <cols>
    <col min="1" max="1" width="3.140625" style="3" customWidth="1"/>
    <col min="2" max="2" width="4.7109375" style="4" customWidth="1"/>
    <col min="3" max="3" width="52.28515625" style="3" customWidth="1"/>
    <col min="4" max="4" width="12" style="3" customWidth="1"/>
    <col min="5" max="7" width="10.7109375" style="3" customWidth="1"/>
    <col min="8" max="8" width="13.7109375" style="3" customWidth="1"/>
    <col min="9" max="11" width="10.7109375" style="3" customWidth="1"/>
    <col min="12" max="12" width="13.85546875" style="3" customWidth="1"/>
    <col min="13" max="15" width="12" style="3" customWidth="1"/>
    <col min="16" max="16" width="14.5703125" style="3" customWidth="1"/>
    <col min="17" max="19" width="12.7109375" style="3" customWidth="1"/>
    <col min="20" max="20" width="40.7109375" style="3" customWidth="1"/>
    <col min="21" max="21" width="139.28515625" style="3" customWidth="1"/>
    <col min="22" max="22" width="13.28515625" style="3" bestFit="1" customWidth="1"/>
    <col min="23" max="23" width="10.140625" style="3" bestFit="1" customWidth="1"/>
    <col min="24" max="24" width="13.28515625" style="3" bestFit="1" customWidth="1"/>
    <col min="25" max="25" width="9.140625" style="3"/>
    <col min="26" max="26" width="10.140625" style="3" bestFit="1" customWidth="1"/>
    <col min="27" max="27" width="9.140625" style="3"/>
    <col min="28" max="28" width="13.28515625" style="3" bestFit="1" customWidth="1"/>
    <col min="29" max="16384" width="9.140625" style="3"/>
  </cols>
  <sheetData>
    <row r="1" spans="1:37" ht="102" customHeight="1" thickBot="1" x14ac:dyDescent="0.25"/>
    <row r="2" spans="1:37" ht="14.25" customHeight="1" thickBot="1" x14ac:dyDescent="0.25">
      <c r="B2" s="174" t="s">
        <v>305</v>
      </c>
      <c r="C2" s="69"/>
      <c r="D2" s="173"/>
    </row>
    <row r="3" spans="1:37" ht="13.5" thickBot="1" x14ac:dyDescent="0.25">
      <c r="C3" s="3">
        <v>1</v>
      </c>
      <c r="D3" s="3">
        <v>2</v>
      </c>
      <c r="E3" s="3">
        <v>3</v>
      </c>
      <c r="F3" s="3">
        <v>4</v>
      </c>
      <c r="G3" s="3">
        <v>5</v>
      </c>
      <c r="H3" s="3">
        <v>6</v>
      </c>
      <c r="I3" s="3">
        <v>7</v>
      </c>
      <c r="J3" s="3">
        <v>8</v>
      </c>
      <c r="K3" s="3">
        <v>9</v>
      </c>
      <c r="L3" s="3">
        <v>10</v>
      </c>
      <c r="M3" s="3">
        <v>11</v>
      </c>
      <c r="N3" s="3">
        <v>12</v>
      </c>
      <c r="O3" s="3">
        <v>13</v>
      </c>
      <c r="P3" s="3">
        <v>14</v>
      </c>
      <c r="Q3" s="10">
        <v>15</v>
      </c>
      <c r="R3" s="10">
        <v>16</v>
      </c>
      <c r="S3" s="10">
        <v>17</v>
      </c>
    </row>
    <row r="4" spans="1:37" ht="19.5" x14ac:dyDescent="0.25">
      <c r="B4" s="1447" t="s">
        <v>1064</v>
      </c>
      <c r="C4" s="1448"/>
      <c r="D4" s="178"/>
      <c r="E4" s="34"/>
      <c r="F4" s="34"/>
      <c r="G4" s="34"/>
      <c r="H4" s="34"/>
      <c r="I4" s="34"/>
      <c r="J4" s="34"/>
      <c r="K4" s="34"/>
      <c r="L4" s="35"/>
      <c r="M4" s="34"/>
      <c r="N4" s="39"/>
      <c r="O4" s="37"/>
      <c r="P4" s="38" t="s">
        <v>514</v>
      </c>
      <c r="Q4" s="36" t="s">
        <v>958</v>
      </c>
      <c r="R4" s="1443" t="s">
        <v>197</v>
      </c>
      <c r="S4" s="1444"/>
      <c r="T4" s="40"/>
      <c r="U4" s="35"/>
    </row>
    <row r="5" spans="1:37" x14ac:dyDescent="0.2">
      <c r="B5" s="46"/>
      <c r="C5" s="43" t="s">
        <v>1065</v>
      </c>
      <c r="D5" s="29" t="s">
        <v>228</v>
      </c>
      <c r="E5" s="1440" t="s">
        <v>1066</v>
      </c>
      <c r="F5" s="1440"/>
      <c r="G5" s="1440"/>
      <c r="H5" s="1440"/>
      <c r="I5" s="1440"/>
      <c r="J5" s="1440"/>
      <c r="K5" s="1440"/>
      <c r="L5" s="1446"/>
      <c r="M5" s="1440" t="s">
        <v>1067</v>
      </c>
      <c r="N5" s="1440"/>
      <c r="O5" s="9" t="s">
        <v>517</v>
      </c>
      <c r="P5" s="27" t="s">
        <v>515</v>
      </c>
      <c r="Q5" s="8" t="s">
        <v>959</v>
      </c>
      <c r="R5" s="1445" t="s">
        <v>198</v>
      </c>
      <c r="S5" s="1446"/>
      <c r="T5" s="29" t="s">
        <v>1068</v>
      </c>
      <c r="U5" s="20" t="s">
        <v>1069</v>
      </c>
    </row>
    <row r="6" spans="1:37" s="14" customFormat="1" ht="15" x14ac:dyDescent="0.2">
      <c r="B6" s="47"/>
      <c r="C6" s="30" t="s">
        <v>1070</v>
      </c>
      <c r="D6" s="1449" t="s">
        <v>229</v>
      </c>
      <c r="E6" s="1455" t="s">
        <v>886</v>
      </c>
      <c r="F6" s="1453" t="s">
        <v>887</v>
      </c>
      <c r="G6" s="1453" t="s">
        <v>888</v>
      </c>
      <c r="H6" s="1451" t="s">
        <v>930</v>
      </c>
      <c r="I6" s="1455" t="s">
        <v>931</v>
      </c>
      <c r="J6" s="1453" t="s">
        <v>932</v>
      </c>
      <c r="K6" s="1453" t="s">
        <v>933</v>
      </c>
      <c r="L6" s="1451" t="s">
        <v>934</v>
      </c>
      <c r="M6" s="1455" t="s">
        <v>941</v>
      </c>
      <c r="N6" s="1453" t="s">
        <v>942</v>
      </c>
      <c r="O6" s="278" t="s">
        <v>196</v>
      </c>
      <c r="P6" s="27" t="s">
        <v>116</v>
      </c>
      <c r="Q6" s="279" t="s">
        <v>1071</v>
      </c>
      <c r="R6" s="1463" t="s">
        <v>943</v>
      </c>
      <c r="S6" s="1451" t="s">
        <v>944</v>
      </c>
      <c r="T6" s="74"/>
      <c r="U6" s="48"/>
    </row>
    <row r="7" spans="1:37" s="14" customFormat="1" x14ac:dyDescent="0.2">
      <c r="B7" s="47"/>
      <c r="C7" s="30"/>
      <c r="D7" s="1450"/>
      <c r="E7" s="1456"/>
      <c r="F7" s="1454"/>
      <c r="G7" s="1454"/>
      <c r="H7" s="1452"/>
      <c r="I7" s="1456"/>
      <c r="J7" s="1454"/>
      <c r="K7" s="1454"/>
      <c r="L7" s="1452"/>
      <c r="M7" s="1456"/>
      <c r="N7" s="1454"/>
      <c r="O7" s="285"/>
      <c r="P7" s="27" t="s">
        <v>117</v>
      </c>
      <c r="Q7" s="286"/>
      <c r="R7" s="1464"/>
      <c r="S7" s="1452"/>
      <c r="T7" s="74"/>
      <c r="U7" s="48"/>
    </row>
    <row r="8" spans="1:37" x14ac:dyDescent="0.2">
      <c r="A8" s="10"/>
      <c r="B8" s="70"/>
      <c r="C8" s="57"/>
      <c r="D8" s="60"/>
      <c r="E8" s="23"/>
      <c r="F8" s="16"/>
      <c r="G8" s="16"/>
      <c r="H8" s="57"/>
      <c r="I8" s="23"/>
      <c r="J8" s="16"/>
      <c r="K8" s="16"/>
      <c r="L8" s="57"/>
      <c r="M8" s="23"/>
      <c r="N8" s="16"/>
      <c r="O8" s="16"/>
      <c r="P8" s="57"/>
      <c r="Q8" s="23"/>
      <c r="R8" s="16"/>
      <c r="S8" s="57"/>
      <c r="T8" s="60"/>
      <c r="U8" s="66"/>
    </row>
    <row r="9" spans="1:37" x14ac:dyDescent="0.2">
      <c r="A9" s="10"/>
      <c r="B9" s="183" t="s">
        <v>962</v>
      </c>
      <c r="C9" s="115"/>
      <c r="D9" s="61"/>
      <c r="E9" s="15"/>
      <c r="F9" s="11"/>
      <c r="G9" s="11"/>
      <c r="H9" s="56"/>
      <c r="I9" s="15"/>
      <c r="J9" s="11"/>
      <c r="K9" s="11"/>
      <c r="L9" s="56"/>
      <c r="M9" s="15"/>
      <c r="N9" s="11"/>
      <c r="O9" s="11"/>
      <c r="P9" s="56"/>
      <c r="Q9" s="15"/>
      <c r="R9" s="11"/>
      <c r="S9" s="56"/>
      <c r="T9" s="61"/>
      <c r="U9" s="25"/>
    </row>
    <row r="10" spans="1:37" ht="14.25" x14ac:dyDescent="0.25">
      <c r="A10" s="10"/>
      <c r="B10" s="184"/>
      <c r="C10" s="115" t="s">
        <v>44</v>
      </c>
      <c r="D10" s="149">
        <v>1</v>
      </c>
      <c r="E10" s="147"/>
      <c r="F10" s="148"/>
      <c r="G10" s="148"/>
      <c r="H10" s="154"/>
      <c r="I10" s="147"/>
      <c r="J10" s="148"/>
      <c r="K10" s="148"/>
      <c r="L10" s="154"/>
      <c r="M10" s="147"/>
      <c r="N10" s="148"/>
      <c r="O10" s="148"/>
      <c r="P10" s="154"/>
      <c r="Q10" s="155"/>
      <c r="R10" s="156"/>
      <c r="S10" s="157"/>
      <c r="T10" s="61" t="s">
        <v>389</v>
      </c>
      <c r="U10" s="25" t="s">
        <v>390</v>
      </c>
    </row>
    <row r="11" spans="1:37" ht="14.25" x14ac:dyDescent="0.25">
      <c r="A11" s="10"/>
      <c r="B11" s="184"/>
      <c r="C11" s="115" t="s">
        <v>45</v>
      </c>
      <c r="D11" s="149">
        <f>23+2*Option_A_0_B_1</f>
        <v>25</v>
      </c>
      <c r="E11" s="147"/>
      <c r="F11" s="148"/>
      <c r="G11" s="148"/>
      <c r="H11" s="154"/>
      <c r="I11" s="147"/>
      <c r="J11" s="148"/>
      <c r="K11" s="148"/>
      <c r="L11" s="154"/>
      <c r="M11" s="147"/>
      <c r="N11" s="148"/>
      <c r="O11" s="148"/>
      <c r="P11" s="154"/>
      <c r="Q11" s="155"/>
      <c r="R11" s="156"/>
      <c r="S11" s="157"/>
      <c r="T11" s="61" t="s">
        <v>389</v>
      </c>
      <c r="U11" s="25" t="s">
        <v>390</v>
      </c>
    </row>
    <row r="12" spans="1:37" ht="14.25" x14ac:dyDescent="0.25">
      <c r="A12" s="10"/>
      <c r="B12" s="184"/>
      <c r="C12" s="115" t="s">
        <v>46</v>
      </c>
      <c r="D12" s="149">
        <f>296+2*Option_A_0_B_1</f>
        <v>298</v>
      </c>
      <c r="E12" s="147"/>
      <c r="F12" s="148"/>
      <c r="G12" s="148"/>
      <c r="H12" s="154"/>
      <c r="I12" s="147"/>
      <c r="J12" s="148"/>
      <c r="K12" s="148"/>
      <c r="L12" s="154"/>
      <c r="M12" s="147"/>
      <c r="N12" s="148"/>
      <c r="O12" s="148"/>
      <c r="P12" s="154"/>
      <c r="Q12" s="155"/>
      <c r="R12" s="156"/>
      <c r="S12" s="157"/>
      <c r="T12" s="61" t="s">
        <v>389</v>
      </c>
      <c r="U12" s="25" t="s">
        <v>390</v>
      </c>
    </row>
    <row r="13" spans="1:37" x14ac:dyDescent="0.2">
      <c r="A13" s="10"/>
      <c r="B13" s="184"/>
      <c r="C13" s="115"/>
      <c r="D13" s="180"/>
      <c r="E13" s="15"/>
      <c r="F13" s="11"/>
      <c r="G13" s="11"/>
      <c r="H13" s="56"/>
      <c r="I13" s="15"/>
      <c r="J13" s="11"/>
      <c r="K13" s="11"/>
      <c r="L13" s="56"/>
      <c r="M13" s="15"/>
      <c r="N13" s="11"/>
      <c r="O13" s="11"/>
      <c r="P13" s="56"/>
      <c r="Q13" s="15"/>
      <c r="R13" s="11"/>
      <c r="S13" s="56"/>
      <c r="T13" s="64"/>
      <c r="U13" s="25"/>
    </row>
    <row r="14" spans="1:37" x14ac:dyDescent="0.2">
      <c r="A14" s="10"/>
      <c r="B14" s="183" t="s">
        <v>1073</v>
      </c>
      <c r="C14" s="129"/>
      <c r="D14" s="181"/>
      <c r="E14" s="112"/>
      <c r="F14" s="113"/>
      <c r="G14" s="114"/>
      <c r="H14" s="115"/>
      <c r="I14" s="112"/>
      <c r="J14" s="113"/>
      <c r="K14" s="114"/>
      <c r="L14" s="115"/>
      <c r="M14" s="112"/>
      <c r="N14" s="113"/>
      <c r="O14" s="114"/>
      <c r="P14" s="115"/>
      <c r="Q14" s="116"/>
      <c r="R14" s="114"/>
      <c r="S14" s="115"/>
      <c r="T14" s="117"/>
      <c r="U14" s="118"/>
    </row>
    <row r="15" spans="1:37" x14ac:dyDescent="0.2">
      <c r="A15" s="45"/>
      <c r="B15" s="185"/>
      <c r="C15" s="129" t="s">
        <v>231</v>
      </c>
      <c r="D15" s="182"/>
      <c r="E15" s="150">
        <v>2827.0048999999999</v>
      </c>
      <c r="F15" s="151">
        <v>8.6788000000000007</v>
      </c>
      <c r="G15" s="152">
        <v>9.6417999999999999</v>
      </c>
      <c r="H15" s="119">
        <f t="shared" ref="H15:H21" si="0">E15*$D$10+F15*$D$11+G15*$D$12</f>
        <v>5917.2312999999995</v>
      </c>
      <c r="I15" s="147"/>
      <c r="J15" s="148"/>
      <c r="K15" s="148"/>
      <c r="L15" s="154"/>
      <c r="M15" s="153">
        <v>48.990600000000001</v>
      </c>
      <c r="N15" s="148"/>
      <c r="O15" s="148"/>
      <c r="P15" s="154"/>
      <c r="Q15" s="155"/>
      <c r="R15" s="156"/>
      <c r="S15" s="157"/>
      <c r="T15" s="118" t="s">
        <v>487</v>
      </c>
      <c r="U15" s="118"/>
      <c r="V15" s="5"/>
      <c r="W15" s="5"/>
      <c r="X15" s="5"/>
      <c r="Y15" s="5"/>
      <c r="Z15" s="5"/>
      <c r="AA15" s="5"/>
      <c r="AB15" s="5"/>
      <c r="AC15" s="5"/>
      <c r="AD15" s="5"/>
      <c r="AE15" s="5"/>
      <c r="AF15" s="5"/>
      <c r="AG15" s="5"/>
      <c r="AH15" s="5"/>
      <c r="AI15" s="5"/>
      <c r="AJ15" s="5"/>
      <c r="AK15" s="5"/>
    </row>
    <row r="16" spans="1:37" ht="14.25" x14ac:dyDescent="0.25">
      <c r="A16" s="10"/>
      <c r="B16" s="185"/>
      <c r="C16" s="129" t="s">
        <v>232</v>
      </c>
      <c r="D16" s="182"/>
      <c r="E16" s="150">
        <v>964.88649999999996</v>
      </c>
      <c r="F16" s="151">
        <v>1.331</v>
      </c>
      <c r="G16" s="152">
        <v>5.1499999999999997E-2</v>
      </c>
      <c r="H16" s="119">
        <f t="shared" si="0"/>
        <v>1013.5084999999999</v>
      </c>
      <c r="I16" s="147"/>
      <c r="J16" s="148"/>
      <c r="K16" s="148"/>
      <c r="L16" s="154"/>
      <c r="M16" s="153">
        <v>15.2334</v>
      </c>
      <c r="N16" s="148"/>
      <c r="O16" s="148"/>
      <c r="P16" s="154"/>
      <c r="Q16" s="155"/>
      <c r="R16" s="156"/>
      <c r="S16" s="157"/>
      <c r="T16" s="118" t="s">
        <v>487</v>
      </c>
      <c r="U16" s="118"/>
    </row>
    <row r="17" spans="1:21" ht="14.25" x14ac:dyDescent="0.25">
      <c r="A17" s="10"/>
      <c r="B17" s="185"/>
      <c r="C17" s="129" t="s">
        <v>233</v>
      </c>
      <c r="D17" s="182"/>
      <c r="E17" s="150">
        <v>536.31089999999995</v>
      </c>
      <c r="F17" s="151">
        <v>1.5709</v>
      </c>
      <c r="G17" s="152">
        <v>1.23E-2</v>
      </c>
      <c r="H17" s="119">
        <f t="shared" si="0"/>
        <v>579.24879999999996</v>
      </c>
      <c r="I17" s="147"/>
      <c r="J17" s="148"/>
      <c r="K17" s="148"/>
      <c r="L17" s="154"/>
      <c r="M17" s="153">
        <v>9.67896</v>
      </c>
      <c r="N17" s="148"/>
      <c r="O17" s="148"/>
      <c r="P17" s="154"/>
      <c r="Q17" s="155"/>
      <c r="R17" s="156"/>
      <c r="S17" s="157"/>
      <c r="T17" s="118" t="s">
        <v>487</v>
      </c>
      <c r="U17" s="118"/>
    </row>
    <row r="18" spans="1:21" x14ac:dyDescent="0.2">
      <c r="A18" s="10"/>
      <c r="B18" s="185"/>
      <c r="C18" s="129" t="s">
        <v>234</v>
      </c>
      <c r="D18" s="182"/>
      <c r="E18" s="150">
        <v>119.116</v>
      </c>
      <c r="F18" s="151">
        <v>0.21590000000000001</v>
      </c>
      <c r="G18" s="152">
        <v>1.83E-2</v>
      </c>
      <c r="H18" s="119">
        <f t="shared" si="0"/>
        <v>129.96689999999998</v>
      </c>
      <c r="I18" s="147"/>
      <c r="J18" s="148"/>
      <c r="K18" s="148"/>
      <c r="L18" s="154"/>
      <c r="M18" s="153">
        <v>1.9735200000000002</v>
      </c>
      <c r="N18" s="148"/>
      <c r="O18" s="148"/>
      <c r="P18" s="154"/>
      <c r="Q18" s="155"/>
      <c r="R18" s="156"/>
      <c r="S18" s="157"/>
      <c r="T18" s="118" t="s">
        <v>487</v>
      </c>
      <c r="U18" s="118"/>
    </row>
    <row r="19" spans="1:21" x14ac:dyDescent="0.2">
      <c r="A19" s="10"/>
      <c r="B19" s="185"/>
      <c r="C19" s="111" t="s">
        <v>502</v>
      </c>
      <c r="D19" s="182"/>
      <c r="E19" s="150">
        <v>9886.5020000000004</v>
      </c>
      <c r="F19" s="151">
        <v>25.527100000000001</v>
      </c>
      <c r="G19" s="152">
        <v>1.6814</v>
      </c>
      <c r="H19" s="119">
        <f t="shared" si="0"/>
        <v>11025.736699999999</v>
      </c>
      <c r="I19" s="147"/>
      <c r="J19" s="148"/>
      <c r="K19" s="148"/>
      <c r="L19" s="154"/>
      <c r="M19" s="153">
        <v>268.39980000000003</v>
      </c>
      <c r="N19" s="148"/>
      <c r="O19" s="148"/>
      <c r="P19" s="154"/>
      <c r="Q19" s="155"/>
      <c r="R19" s="156"/>
      <c r="S19" s="157"/>
      <c r="T19" s="118" t="s">
        <v>487</v>
      </c>
      <c r="U19" s="118"/>
    </row>
    <row r="20" spans="1:21" x14ac:dyDescent="0.2">
      <c r="A20" s="10"/>
      <c r="B20" s="185"/>
      <c r="C20" s="111" t="s">
        <v>1074</v>
      </c>
      <c r="D20" s="182"/>
      <c r="E20" s="150">
        <v>0</v>
      </c>
      <c r="F20" s="151">
        <v>0</v>
      </c>
      <c r="G20" s="152">
        <v>0</v>
      </c>
      <c r="H20" s="119">
        <f t="shared" si="0"/>
        <v>0</v>
      </c>
      <c r="I20" s="147"/>
      <c r="J20" s="148"/>
      <c r="K20" s="148"/>
      <c r="L20" s="154"/>
      <c r="M20" s="153">
        <v>0</v>
      </c>
      <c r="N20" s="148"/>
      <c r="O20" s="148"/>
      <c r="P20" s="154"/>
      <c r="Q20" s="155"/>
      <c r="R20" s="156"/>
      <c r="S20" s="157"/>
      <c r="T20" s="118" t="s">
        <v>487</v>
      </c>
      <c r="U20" s="118"/>
    </row>
    <row r="21" spans="1:21" x14ac:dyDescent="0.2">
      <c r="A21" s="10"/>
      <c r="B21" s="185"/>
      <c r="C21" s="111" t="s">
        <v>1075</v>
      </c>
      <c r="D21" s="182"/>
      <c r="E21" s="150">
        <v>412.08109999999999</v>
      </c>
      <c r="F21" s="151">
        <v>0.91269999999999996</v>
      </c>
      <c r="G21" s="152">
        <v>1.0027999999999999</v>
      </c>
      <c r="H21" s="119">
        <f t="shared" si="0"/>
        <v>733.73299999999995</v>
      </c>
      <c r="I21" s="147"/>
      <c r="J21" s="148"/>
      <c r="K21" s="148"/>
      <c r="L21" s="154"/>
      <c r="M21" s="153">
        <v>7.86564</v>
      </c>
      <c r="N21" s="148"/>
      <c r="O21" s="148"/>
      <c r="P21" s="154"/>
      <c r="Q21" s="155"/>
      <c r="R21" s="156"/>
      <c r="S21" s="157"/>
      <c r="T21" s="118" t="s">
        <v>487</v>
      </c>
      <c r="U21" s="118"/>
    </row>
    <row r="22" spans="1:21" x14ac:dyDescent="0.2">
      <c r="A22" s="10"/>
      <c r="B22" s="185"/>
      <c r="C22" s="111" t="s">
        <v>1076</v>
      </c>
      <c r="D22" s="182"/>
      <c r="E22" s="150">
        <v>0</v>
      </c>
      <c r="F22" s="151">
        <v>0</v>
      </c>
      <c r="G22" s="152">
        <v>0</v>
      </c>
      <c r="H22" s="238">
        <v>0</v>
      </c>
      <c r="I22" s="147"/>
      <c r="J22" s="148"/>
      <c r="K22" s="148"/>
      <c r="L22" s="154"/>
      <c r="M22" s="153">
        <v>0</v>
      </c>
      <c r="N22" s="148"/>
      <c r="O22" s="148"/>
      <c r="P22" s="154"/>
      <c r="Q22" s="155"/>
      <c r="R22" s="156"/>
      <c r="S22" s="157"/>
      <c r="T22" s="118" t="s">
        <v>487</v>
      </c>
      <c r="U22" s="118"/>
    </row>
    <row r="23" spans="1:21" x14ac:dyDescent="0.2">
      <c r="A23" s="10"/>
      <c r="B23" s="185"/>
      <c r="C23" s="111" t="s">
        <v>1077</v>
      </c>
      <c r="D23" s="182"/>
      <c r="E23" s="150">
        <v>2187.7141000000001</v>
      </c>
      <c r="F23" s="151">
        <v>4.6003999999999996</v>
      </c>
      <c r="G23" s="152">
        <v>4.2119999999999997</v>
      </c>
      <c r="H23" s="119">
        <f>E23*$D$10+F23*$D$11+G23*$D$12</f>
        <v>3557.9001000000003</v>
      </c>
      <c r="I23" s="147"/>
      <c r="J23" s="148"/>
      <c r="K23" s="148"/>
      <c r="L23" s="154"/>
      <c r="M23" s="153">
        <v>36.294119999999999</v>
      </c>
      <c r="N23" s="148"/>
      <c r="O23" s="148"/>
      <c r="P23" s="154"/>
      <c r="Q23" s="155"/>
      <c r="R23" s="156"/>
      <c r="S23" s="157"/>
      <c r="T23" s="118" t="s">
        <v>487</v>
      </c>
      <c r="U23" s="118"/>
    </row>
    <row r="24" spans="1:21" x14ac:dyDescent="0.2">
      <c r="A24" s="10"/>
      <c r="B24" s="185"/>
      <c r="C24" s="111" t="s">
        <v>1078</v>
      </c>
      <c r="D24" s="182"/>
      <c r="E24" s="150">
        <v>1.6397999999999999</v>
      </c>
      <c r="F24" s="151">
        <v>1E-4</v>
      </c>
      <c r="G24" s="152">
        <v>0</v>
      </c>
      <c r="H24" s="119">
        <f>E24*$D$10+F24*$D$11+G24*$D$12</f>
        <v>1.6422999999999999</v>
      </c>
      <c r="I24" s="147"/>
      <c r="J24" s="148"/>
      <c r="K24" s="148"/>
      <c r="L24" s="154"/>
      <c r="M24" s="153">
        <v>2.1600000000000001E-2</v>
      </c>
      <c r="N24" s="148"/>
      <c r="O24" s="148"/>
      <c r="P24" s="154"/>
      <c r="Q24" s="155"/>
      <c r="R24" s="156"/>
      <c r="S24" s="157"/>
      <c r="T24" s="118" t="s">
        <v>487</v>
      </c>
      <c r="U24" s="118"/>
    </row>
    <row r="25" spans="1:21" x14ac:dyDescent="0.2">
      <c r="A25" s="10"/>
      <c r="B25" s="185"/>
      <c r="C25" s="111" t="s">
        <v>1079</v>
      </c>
      <c r="D25" s="182"/>
      <c r="E25" s="150">
        <v>412.08109999999999</v>
      </c>
      <c r="F25" s="151">
        <v>0.91269999999999996</v>
      </c>
      <c r="G25" s="152">
        <v>1.0027999999999999</v>
      </c>
      <c r="H25" s="119">
        <f>E25*$D$10+F25*$D$11+G25*$D$12</f>
        <v>733.73299999999995</v>
      </c>
      <c r="I25" s="147"/>
      <c r="J25" s="148"/>
      <c r="K25" s="148"/>
      <c r="L25" s="154"/>
      <c r="M25" s="153">
        <v>7.86564</v>
      </c>
      <c r="N25" s="148"/>
      <c r="O25" s="148"/>
      <c r="P25" s="154"/>
      <c r="Q25" s="155"/>
      <c r="R25" s="156"/>
      <c r="S25" s="157"/>
      <c r="T25" s="118" t="s">
        <v>487</v>
      </c>
      <c r="U25" s="118"/>
    </row>
    <row r="26" spans="1:21" x14ac:dyDescent="0.2">
      <c r="A26" s="10"/>
      <c r="B26" s="185"/>
      <c r="C26" s="111" t="s">
        <v>1080</v>
      </c>
      <c r="D26" s="182"/>
      <c r="E26" s="150">
        <v>151.0557</v>
      </c>
      <c r="F26" s="151">
        <v>0.27710000000000001</v>
      </c>
      <c r="G26" s="152">
        <v>0.40029999999999999</v>
      </c>
      <c r="H26" s="119">
        <f>E26*$D$10+F26*$D$11+G26*$D$12</f>
        <v>277.27260000000001</v>
      </c>
      <c r="I26" s="147"/>
      <c r="J26" s="148"/>
      <c r="K26" s="148"/>
      <c r="L26" s="154"/>
      <c r="M26" s="153">
        <v>2.6074799999999998</v>
      </c>
      <c r="N26" s="148"/>
      <c r="O26" s="148"/>
      <c r="P26" s="154"/>
      <c r="Q26" s="155"/>
      <c r="R26" s="156"/>
      <c r="S26" s="157"/>
      <c r="T26" s="118" t="s">
        <v>487</v>
      </c>
      <c r="U26" s="118"/>
    </row>
    <row r="27" spans="1:21" x14ac:dyDescent="0.2">
      <c r="A27" s="10"/>
      <c r="B27" s="184"/>
      <c r="C27" s="115"/>
      <c r="D27" s="181"/>
      <c r="E27" s="203"/>
      <c r="F27" s="214"/>
      <c r="G27" s="227"/>
      <c r="H27" s="239"/>
      <c r="I27" s="116"/>
      <c r="J27" s="114"/>
      <c r="K27" s="114"/>
      <c r="L27" s="115"/>
      <c r="M27" s="262"/>
      <c r="N27" s="114"/>
      <c r="O27" s="114"/>
      <c r="P27" s="115"/>
      <c r="Q27" s="116"/>
      <c r="R27" s="114"/>
      <c r="S27" s="115"/>
      <c r="T27" s="117"/>
      <c r="U27" s="118"/>
    </row>
    <row r="28" spans="1:21" x14ac:dyDescent="0.2">
      <c r="A28" s="10"/>
      <c r="B28" s="183" t="s">
        <v>230</v>
      </c>
      <c r="C28" s="129"/>
      <c r="D28" s="181"/>
      <c r="E28" s="204"/>
      <c r="F28" s="215"/>
      <c r="G28" s="227"/>
      <c r="H28" s="239"/>
      <c r="I28" s="112"/>
      <c r="J28" s="113"/>
      <c r="K28" s="114"/>
      <c r="L28" s="115"/>
      <c r="M28" s="131"/>
      <c r="N28" s="113"/>
      <c r="O28" s="114"/>
      <c r="P28" s="115"/>
      <c r="Q28" s="116"/>
      <c r="R28" s="114"/>
      <c r="S28" s="115"/>
      <c r="T28" s="117"/>
      <c r="U28" s="118"/>
    </row>
    <row r="29" spans="1:21" x14ac:dyDescent="0.2">
      <c r="A29" s="10"/>
      <c r="B29" s="185"/>
      <c r="C29" s="111" t="s">
        <v>1081</v>
      </c>
      <c r="D29" s="182"/>
      <c r="E29" s="150">
        <v>0</v>
      </c>
      <c r="F29" s="151">
        <v>0</v>
      </c>
      <c r="G29" s="152">
        <v>0</v>
      </c>
      <c r="H29" s="119">
        <f>E29*$D$10+F29*$D$11+G29*$D$12</f>
        <v>0</v>
      </c>
      <c r="I29" s="147"/>
      <c r="J29" s="148"/>
      <c r="K29" s="148"/>
      <c r="L29" s="154"/>
      <c r="M29" s="153">
        <v>0</v>
      </c>
      <c r="N29" s="148"/>
      <c r="O29" s="148"/>
      <c r="P29" s="154"/>
      <c r="Q29" s="155"/>
      <c r="R29" s="156"/>
      <c r="S29" s="157"/>
      <c r="T29" s="118"/>
      <c r="U29" s="118"/>
    </row>
    <row r="30" spans="1:21" x14ac:dyDescent="0.2">
      <c r="A30" s="10"/>
      <c r="B30" s="185"/>
      <c r="C30" s="111" t="s">
        <v>107</v>
      </c>
      <c r="D30" s="182"/>
      <c r="E30" s="150">
        <v>0</v>
      </c>
      <c r="F30" s="151">
        <v>0</v>
      </c>
      <c r="G30" s="152">
        <v>0</v>
      </c>
      <c r="H30" s="119">
        <f>E30*$D$10+F30*$D$11+G30*$D$12</f>
        <v>0</v>
      </c>
      <c r="I30" s="147"/>
      <c r="J30" s="148"/>
      <c r="K30" s="148"/>
      <c r="L30" s="154"/>
      <c r="M30" s="153">
        <v>0</v>
      </c>
      <c r="N30" s="148"/>
      <c r="O30" s="148"/>
      <c r="P30" s="154"/>
      <c r="Q30" s="147"/>
      <c r="R30" s="148"/>
      <c r="S30" s="154"/>
      <c r="T30" s="118"/>
      <c r="U30" s="118"/>
    </row>
    <row r="31" spans="1:21" x14ac:dyDescent="0.2">
      <c r="A31" s="10"/>
      <c r="B31" s="185"/>
      <c r="C31" s="111" t="s">
        <v>504</v>
      </c>
      <c r="D31" s="182"/>
      <c r="E31" s="150">
        <v>0</v>
      </c>
      <c r="F31" s="151">
        <v>0</v>
      </c>
      <c r="G31" s="152">
        <v>0</v>
      </c>
      <c r="H31" s="119">
        <f>E31*$D$10+F31*$D$11+G31*$D$12</f>
        <v>0</v>
      </c>
      <c r="I31" s="147"/>
      <c r="J31" s="148"/>
      <c r="K31" s="148"/>
      <c r="L31" s="154"/>
      <c r="M31" s="153">
        <v>0</v>
      </c>
      <c r="N31" s="148"/>
      <c r="O31" s="148"/>
      <c r="P31" s="168">
        <v>10</v>
      </c>
      <c r="Q31" s="147"/>
      <c r="R31" s="148"/>
      <c r="S31" s="154"/>
      <c r="T31" s="118" t="s">
        <v>487</v>
      </c>
      <c r="U31" s="118" t="s">
        <v>718</v>
      </c>
    </row>
    <row r="32" spans="1:21" x14ac:dyDescent="0.2">
      <c r="A32" s="10"/>
      <c r="B32" s="185"/>
      <c r="C32" s="111" t="s">
        <v>105</v>
      </c>
      <c r="D32" s="182"/>
      <c r="E32" s="150">
        <v>0</v>
      </c>
      <c r="F32" s="151">
        <v>0</v>
      </c>
      <c r="G32" s="152">
        <v>0</v>
      </c>
      <c r="H32" s="119">
        <f>E32*$D$10+F32*$D$11+G32*$D$12</f>
        <v>0</v>
      </c>
      <c r="I32" s="147"/>
      <c r="J32" s="148"/>
      <c r="K32" s="148"/>
      <c r="L32" s="154"/>
      <c r="M32" s="153">
        <v>0</v>
      </c>
      <c r="N32" s="148"/>
      <c r="O32" s="148"/>
      <c r="P32" s="154"/>
      <c r="Q32" s="147"/>
      <c r="R32" s="148"/>
      <c r="S32" s="154"/>
      <c r="T32" s="118"/>
      <c r="U32" s="118"/>
    </row>
    <row r="33" spans="1:24" x14ac:dyDescent="0.2">
      <c r="A33" s="10"/>
      <c r="B33" s="185"/>
      <c r="C33" s="129"/>
      <c r="D33" s="181"/>
      <c r="E33" s="204"/>
      <c r="F33" s="215"/>
      <c r="G33" s="228"/>
      <c r="H33" s="119"/>
      <c r="I33" s="112"/>
      <c r="J33" s="113"/>
      <c r="K33" s="120"/>
      <c r="L33" s="121"/>
      <c r="M33" s="131"/>
      <c r="N33" s="113"/>
      <c r="O33" s="120"/>
      <c r="P33" s="121"/>
      <c r="Q33" s="116"/>
      <c r="R33" s="114"/>
      <c r="S33" s="115"/>
      <c r="T33" s="118"/>
      <c r="U33" s="118"/>
    </row>
    <row r="34" spans="1:24" x14ac:dyDescent="0.2">
      <c r="A34" s="10"/>
      <c r="B34" s="183" t="s">
        <v>1082</v>
      </c>
      <c r="C34" s="129"/>
      <c r="D34" s="181"/>
      <c r="E34" s="204"/>
      <c r="F34" s="215"/>
      <c r="G34" s="229"/>
      <c r="H34" s="119"/>
      <c r="I34" s="112"/>
      <c r="J34" s="113"/>
      <c r="K34" s="120"/>
      <c r="L34" s="121"/>
      <c r="M34" s="131"/>
      <c r="N34" s="113"/>
      <c r="O34" s="120"/>
      <c r="P34" s="121"/>
      <c r="Q34" s="116"/>
      <c r="R34" s="114"/>
      <c r="S34" s="115"/>
      <c r="T34" s="118"/>
      <c r="U34" s="118"/>
    </row>
    <row r="35" spans="1:24" x14ac:dyDescent="0.2">
      <c r="A35" s="45"/>
      <c r="B35" s="183"/>
      <c r="C35" s="111" t="s">
        <v>157</v>
      </c>
      <c r="D35" s="182"/>
      <c r="E35" s="205"/>
      <c r="F35" s="216"/>
      <c r="G35" s="230"/>
      <c r="H35" s="240"/>
      <c r="I35" s="153">
        <v>61.575111111111113</v>
      </c>
      <c r="J35" s="152">
        <v>0.19813888888888889</v>
      </c>
      <c r="K35" s="152">
        <v>2.2222222222222223E-4</v>
      </c>
      <c r="L35" s="122">
        <f>I35*$D$10+J35*$D$11+K35*$D$12</f>
        <v>66.594805555555553</v>
      </c>
      <c r="M35" s="250"/>
      <c r="N35" s="152">
        <v>1.1281000000000001</v>
      </c>
      <c r="O35" s="148"/>
      <c r="P35" s="154"/>
      <c r="Q35" s="155"/>
      <c r="R35" s="156"/>
      <c r="S35" s="157"/>
      <c r="T35" s="118" t="s">
        <v>487</v>
      </c>
      <c r="U35" s="118"/>
    </row>
    <row r="36" spans="1:24" x14ac:dyDescent="0.2">
      <c r="A36" s="45"/>
      <c r="B36" s="183"/>
      <c r="C36" s="111" t="s">
        <v>158</v>
      </c>
      <c r="D36" s="182"/>
      <c r="E36" s="205"/>
      <c r="F36" s="216"/>
      <c r="G36" s="230"/>
      <c r="H36" s="240"/>
      <c r="I36" s="153">
        <v>62.963999999999999</v>
      </c>
      <c r="J36" s="152">
        <v>0.19813888888888889</v>
      </c>
      <c r="K36" s="152">
        <v>2.2222222222222223E-4</v>
      </c>
      <c r="L36" s="122">
        <f>I36*$D$10+J36*$D$11+K36*$D$12</f>
        <v>67.983694444444438</v>
      </c>
      <c r="M36" s="250"/>
      <c r="N36" s="152">
        <v>1.1281000000000001</v>
      </c>
      <c r="O36" s="148"/>
      <c r="P36" s="154"/>
      <c r="Q36" s="155"/>
      <c r="R36" s="156"/>
      <c r="S36" s="157"/>
      <c r="T36" s="118" t="s">
        <v>487</v>
      </c>
      <c r="U36" s="118"/>
      <c r="X36" s="10"/>
    </row>
    <row r="37" spans="1:24" x14ac:dyDescent="0.2">
      <c r="A37" s="45"/>
      <c r="B37" s="183"/>
      <c r="C37" s="111" t="s">
        <v>901</v>
      </c>
      <c r="D37" s="182"/>
      <c r="E37" s="205"/>
      <c r="F37" s="216"/>
      <c r="G37" s="230"/>
      <c r="H37" s="240"/>
      <c r="I37" s="147"/>
      <c r="J37" s="148"/>
      <c r="K37" s="148"/>
      <c r="L37" s="154"/>
      <c r="M37" s="250"/>
      <c r="N37" s="148"/>
      <c r="O37" s="148"/>
      <c r="P37" s="168">
        <v>50</v>
      </c>
      <c r="Q37" s="147"/>
      <c r="R37" s="148"/>
      <c r="S37" s="154"/>
      <c r="T37" s="118" t="s">
        <v>487</v>
      </c>
      <c r="U37" s="118"/>
      <c r="X37" s="10"/>
    </row>
    <row r="38" spans="1:24" x14ac:dyDescent="0.2">
      <c r="A38" s="45"/>
      <c r="B38" s="183"/>
      <c r="C38" s="129"/>
      <c r="D38" s="181"/>
      <c r="E38" s="206"/>
      <c r="F38" s="217"/>
      <c r="G38" s="228"/>
      <c r="H38" s="241"/>
      <c r="I38" s="249"/>
      <c r="J38" s="124"/>
      <c r="K38" s="125"/>
      <c r="L38" s="122"/>
      <c r="M38" s="249"/>
      <c r="N38" s="125"/>
      <c r="O38" s="120"/>
      <c r="P38" s="126"/>
      <c r="Q38" s="116"/>
      <c r="R38" s="114"/>
      <c r="S38" s="115"/>
      <c r="T38" s="118"/>
      <c r="U38" s="118"/>
    </row>
    <row r="39" spans="1:24" x14ac:dyDescent="0.2">
      <c r="A39" s="10"/>
      <c r="B39" s="183" t="s">
        <v>235</v>
      </c>
      <c r="C39" s="129"/>
      <c r="D39" s="181"/>
      <c r="E39" s="204"/>
      <c r="F39" s="215"/>
      <c r="G39" s="228"/>
      <c r="H39" s="238"/>
      <c r="I39" s="131"/>
      <c r="J39" s="231"/>
      <c r="K39" s="228"/>
      <c r="L39" s="122"/>
      <c r="M39" s="131"/>
      <c r="N39" s="231"/>
      <c r="O39" s="120"/>
      <c r="P39" s="127"/>
      <c r="Q39" s="116"/>
      <c r="R39" s="114"/>
      <c r="S39" s="115"/>
      <c r="T39" s="118"/>
      <c r="U39" s="118"/>
    </row>
    <row r="40" spans="1:24" x14ac:dyDescent="0.2">
      <c r="A40" s="10"/>
      <c r="B40" s="185"/>
      <c r="C40" s="129" t="s">
        <v>509</v>
      </c>
      <c r="D40" s="182"/>
      <c r="E40" s="205"/>
      <c r="F40" s="216"/>
      <c r="G40" s="230"/>
      <c r="H40" s="240"/>
      <c r="I40" s="153">
        <v>87.638888888888886</v>
      </c>
      <c r="J40" s="152">
        <v>0</v>
      </c>
      <c r="K40" s="152">
        <v>0</v>
      </c>
      <c r="L40" s="158">
        <f>I40*$D$10+J40*$D$11+K40*$D$12</f>
        <v>87.638888888888886</v>
      </c>
      <c r="M40" s="250"/>
      <c r="N40" s="152">
        <v>1.1599999999999999</v>
      </c>
      <c r="O40" s="162">
        <v>832</v>
      </c>
      <c r="P40" s="169">
        <v>43.1</v>
      </c>
      <c r="Q40" s="155"/>
      <c r="R40" s="156"/>
      <c r="S40" s="157"/>
      <c r="T40" s="118" t="s">
        <v>487</v>
      </c>
      <c r="U40" s="118"/>
    </row>
    <row r="41" spans="1:24" x14ac:dyDescent="0.2">
      <c r="A41" s="10"/>
      <c r="B41" s="185"/>
      <c r="C41" s="129" t="s">
        <v>508</v>
      </c>
      <c r="D41" s="182"/>
      <c r="E41" s="205"/>
      <c r="F41" s="216"/>
      <c r="G41" s="230"/>
      <c r="H41" s="240"/>
      <c r="I41" s="250"/>
      <c r="J41" s="230"/>
      <c r="K41" s="230"/>
      <c r="L41" s="259"/>
      <c r="M41" s="250"/>
      <c r="N41" s="230"/>
      <c r="O41" s="162">
        <v>745</v>
      </c>
      <c r="P41" s="169">
        <v>43.2</v>
      </c>
      <c r="Q41" s="155"/>
      <c r="R41" s="156"/>
      <c r="S41" s="157"/>
      <c r="T41" s="118" t="s">
        <v>487</v>
      </c>
      <c r="U41" s="118"/>
    </row>
    <row r="42" spans="1:24" x14ac:dyDescent="0.2">
      <c r="A42" s="10"/>
      <c r="B42" s="185"/>
      <c r="C42" s="129" t="s">
        <v>516</v>
      </c>
      <c r="D42" s="182"/>
      <c r="E42" s="205"/>
      <c r="F42" s="216"/>
      <c r="G42" s="230"/>
      <c r="H42" s="240"/>
      <c r="I42" s="153">
        <v>84.977777777777774</v>
      </c>
      <c r="J42" s="152">
        <v>0</v>
      </c>
      <c r="K42" s="152">
        <v>0</v>
      </c>
      <c r="L42" s="158">
        <f>I42*$D$10+J42*$D$11+K42*$D$12</f>
        <v>84.977777777777774</v>
      </c>
      <c r="M42" s="250"/>
      <c r="N42" s="152">
        <v>1.0880000000000001</v>
      </c>
      <c r="O42" s="162">
        <v>970</v>
      </c>
      <c r="P42" s="169">
        <v>40.5</v>
      </c>
      <c r="Q42" s="155"/>
      <c r="R42" s="156"/>
      <c r="S42" s="157"/>
      <c r="T42" s="118" t="s">
        <v>487</v>
      </c>
      <c r="U42" s="118"/>
    </row>
    <row r="43" spans="1:24" x14ac:dyDescent="0.2">
      <c r="A43" s="10"/>
      <c r="B43" s="185"/>
      <c r="C43" s="111" t="s">
        <v>627</v>
      </c>
      <c r="D43" s="182"/>
      <c r="E43" s="205"/>
      <c r="F43" s="216"/>
      <c r="G43" s="230"/>
      <c r="H43" s="240"/>
      <c r="I43" s="284">
        <v>87.2</v>
      </c>
      <c r="J43" s="280">
        <v>0</v>
      </c>
      <c r="K43" s="280">
        <v>0</v>
      </c>
      <c r="L43" s="281">
        <v>87.2</v>
      </c>
      <c r="M43" s="250"/>
      <c r="N43" s="280">
        <v>1.0880000000000001</v>
      </c>
      <c r="O43" s="162">
        <v>970</v>
      </c>
      <c r="P43" s="169">
        <v>40.5</v>
      </c>
      <c r="Q43" s="155"/>
      <c r="R43" s="156"/>
      <c r="S43" s="157"/>
      <c r="T43" s="118" t="s">
        <v>487</v>
      </c>
      <c r="U43" s="118"/>
    </row>
    <row r="44" spans="1:24" x14ac:dyDescent="0.2">
      <c r="A44" s="10"/>
      <c r="B44" s="185"/>
      <c r="C44" s="129" t="s">
        <v>499</v>
      </c>
      <c r="D44" s="182"/>
      <c r="E44" s="205"/>
      <c r="F44" s="216"/>
      <c r="G44" s="230"/>
      <c r="H44" s="240"/>
      <c r="I44" s="250"/>
      <c r="J44" s="230"/>
      <c r="K44" s="230"/>
      <c r="L44" s="259"/>
      <c r="M44" s="250"/>
      <c r="N44" s="230"/>
      <c r="O44" s="162">
        <v>794</v>
      </c>
      <c r="P44" s="169">
        <v>26.81</v>
      </c>
      <c r="Q44" s="155"/>
      <c r="R44" s="156"/>
      <c r="S44" s="157"/>
      <c r="T44" s="118" t="s">
        <v>487</v>
      </c>
      <c r="U44" s="118"/>
    </row>
    <row r="45" spans="1:24" x14ac:dyDescent="0.2">
      <c r="A45" s="10"/>
      <c r="B45" s="185"/>
      <c r="C45" s="129" t="s">
        <v>500</v>
      </c>
      <c r="D45" s="182"/>
      <c r="E45" s="205"/>
      <c r="F45" s="216"/>
      <c r="G45" s="230"/>
      <c r="H45" s="240"/>
      <c r="I45" s="153">
        <v>92.797444444444452</v>
      </c>
      <c r="J45" s="152">
        <v>0.29002777777777777</v>
      </c>
      <c r="K45" s="152">
        <v>3.3333333333333332E-4</v>
      </c>
      <c r="L45" s="158">
        <f>I45*$D$10+J45*$D$11+K45*$D$12</f>
        <v>100.14747222222223</v>
      </c>
      <c r="M45" s="250"/>
      <c r="N45" s="152">
        <v>1.6594</v>
      </c>
      <c r="O45" s="162">
        <v>793</v>
      </c>
      <c r="P45" s="169">
        <v>19.899999999999999</v>
      </c>
      <c r="Q45" s="155"/>
      <c r="R45" s="156"/>
      <c r="S45" s="157"/>
      <c r="T45" s="118" t="s">
        <v>487</v>
      </c>
      <c r="U45" s="118"/>
    </row>
    <row r="46" spans="1:24" x14ac:dyDescent="0.2">
      <c r="A46" s="10"/>
      <c r="B46" s="185"/>
      <c r="C46" s="129" t="s">
        <v>1094</v>
      </c>
      <c r="D46" s="182"/>
      <c r="E46" s="205"/>
      <c r="F46" s="216"/>
      <c r="G46" s="230"/>
      <c r="H46" s="240"/>
      <c r="I46" s="250"/>
      <c r="J46" s="230"/>
      <c r="K46" s="230"/>
      <c r="L46" s="259"/>
      <c r="M46" s="250"/>
      <c r="N46" s="230"/>
      <c r="O46" s="162">
        <v>890</v>
      </c>
      <c r="P46" s="168">
        <v>37.200000000000003</v>
      </c>
      <c r="Q46" s="155"/>
      <c r="R46" s="156"/>
      <c r="S46" s="157"/>
      <c r="T46" s="118" t="s">
        <v>487</v>
      </c>
      <c r="U46" s="118" t="s">
        <v>1096</v>
      </c>
    </row>
    <row r="47" spans="1:24" x14ac:dyDescent="0.2">
      <c r="A47" s="10"/>
      <c r="B47" s="185"/>
      <c r="C47" s="129" t="s">
        <v>963</v>
      </c>
      <c r="D47" s="182"/>
      <c r="E47" s="205"/>
      <c r="F47" s="216"/>
      <c r="G47" s="230"/>
      <c r="H47" s="240"/>
      <c r="I47" s="250"/>
      <c r="J47" s="230"/>
      <c r="K47" s="230"/>
      <c r="L47" s="259"/>
      <c r="M47" s="250"/>
      <c r="N47" s="230"/>
      <c r="O47" s="162">
        <v>780</v>
      </c>
      <c r="P47" s="168">
        <v>44</v>
      </c>
      <c r="Q47" s="155"/>
      <c r="R47" s="156"/>
      <c r="S47" s="157"/>
      <c r="T47" s="118" t="s">
        <v>487</v>
      </c>
      <c r="U47" s="118"/>
    </row>
    <row r="48" spans="1:24" x14ac:dyDescent="0.2">
      <c r="A48" s="10"/>
      <c r="B48" s="185"/>
      <c r="C48" s="129" t="s">
        <v>668</v>
      </c>
      <c r="D48" s="182"/>
      <c r="E48" s="205"/>
      <c r="F48" s="216"/>
      <c r="G48" s="230"/>
      <c r="H48" s="240"/>
      <c r="I48" s="250"/>
      <c r="J48" s="230"/>
      <c r="K48" s="230"/>
      <c r="L48" s="259"/>
      <c r="M48" s="250"/>
      <c r="N48" s="230"/>
      <c r="O48" s="162">
        <v>780</v>
      </c>
      <c r="P48" s="168">
        <v>44</v>
      </c>
      <c r="Q48" s="155"/>
      <c r="R48" s="156"/>
      <c r="S48" s="157"/>
      <c r="T48" s="118" t="s">
        <v>487</v>
      </c>
      <c r="U48" s="118"/>
    </row>
    <row r="49" spans="1:21" x14ac:dyDescent="0.2">
      <c r="A49" s="10"/>
      <c r="B49" s="185"/>
      <c r="C49" s="129" t="s">
        <v>682</v>
      </c>
      <c r="D49" s="182"/>
      <c r="E49" s="289"/>
      <c r="F49" s="290"/>
      <c r="G49" s="230"/>
      <c r="H49" s="240"/>
      <c r="I49" s="291"/>
      <c r="J49" s="292"/>
      <c r="K49" s="230"/>
      <c r="L49" s="259"/>
      <c r="M49" s="291"/>
      <c r="N49" s="292"/>
      <c r="O49" s="148"/>
      <c r="P49" s="168">
        <v>37</v>
      </c>
      <c r="Q49" s="147"/>
      <c r="R49" s="148"/>
      <c r="S49" s="154"/>
      <c r="T49" s="118"/>
      <c r="U49" s="118"/>
    </row>
    <row r="50" spans="1:21" x14ac:dyDescent="0.2">
      <c r="A50" s="10"/>
      <c r="B50" s="185"/>
      <c r="C50" s="129"/>
      <c r="D50" s="181"/>
      <c r="E50" s="207"/>
      <c r="F50" s="218"/>
      <c r="G50" s="231"/>
      <c r="H50" s="241"/>
      <c r="I50" s="128"/>
      <c r="J50" s="257"/>
      <c r="K50" s="231"/>
      <c r="L50" s="130"/>
      <c r="M50" s="128"/>
      <c r="N50" s="257"/>
      <c r="O50" s="113"/>
      <c r="P50" s="129"/>
      <c r="Q50" s="116"/>
      <c r="R50" s="114"/>
      <c r="S50" s="115"/>
      <c r="T50" s="118"/>
      <c r="U50" s="118"/>
    </row>
    <row r="51" spans="1:21" x14ac:dyDescent="0.2">
      <c r="A51" s="45"/>
      <c r="B51" s="183" t="s">
        <v>938</v>
      </c>
      <c r="C51" s="129"/>
      <c r="D51" s="181"/>
      <c r="E51" s="204"/>
      <c r="F51" s="215"/>
      <c r="G51" s="231"/>
      <c r="H51" s="242"/>
      <c r="I51" s="131"/>
      <c r="J51" s="231"/>
      <c r="K51" s="231"/>
      <c r="L51" s="130"/>
      <c r="M51" s="131"/>
      <c r="N51" s="231"/>
      <c r="O51" s="113"/>
      <c r="P51" s="129"/>
      <c r="Q51" s="116"/>
      <c r="R51" s="114"/>
      <c r="S51" s="115"/>
      <c r="T51" s="118"/>
      <c r="U51" s="118"/>
    </row>
    <row r="52" spans="1:21" x14ac:dyDescent="0.2">
      <c r="A52" s="10"/>
      <c r="B52" s="183"/>
      <c r="C52" s="129" t="s">
        <v>1097</v>
      </c>
      <c r="D52" s="182"/>
      <c r="E52" s="205"/>
      <c r="F52" s="216"/>
      <c r="G52" s="230"/>
      <c r="H52" s="240"/>
      <c r="I52" s="153">
        <v>102.38424999999999</v>
      </c>
      <c r="J52" s="152">
        <v>0.3835277777777778</v>
      </c>
      <c r="K52" s="152">
        <v>2.5000000000000001E-4</v>
      </c>
      <c r="L52" s="122">
        <f>I52*$D$10+J52*$D$11+K52*$D$12</f>
        <v>112.04694444444443</v>
      </c>
      <c r="M52" s="250"/>
      <c r="N52" s="152">
        <v>1.0885999999999998</v>
      </c>
      <c r="O52" s="148"/>
      <c r="P52" s="168">
        <v>26.532</v>
      </c>
      <c r="Q52" s="155"/>
      <c r="R52" s="156"/>
      <c r="S52" s="157"/>
      <c r="T52" s="118" t="s">
        <v>487</v>
      </c>
      <c r="U52" s="132"/>
    </row>
    <row r="53" spans="1:21" x14ac:dyDescent="0.2">
      <c r="A53" s="10"/>
      <c r="B53" s="183"/>
      <c r="C53" s="129" t="s">
        <v>1038</v>
      </c>
      <c r="D53" s="182"/>
      <c r="E53" s="205"/>
      <c r="F53" s="216"/>
      <c r="G53" s="230"/>
      <c r="H53" s="240"/>
      <c r="I53" s="153">
        <v>116.75711111111112</v>
      </c>
      <c r="J53" s="152">
        <v>9.0555555555555545E-3</v>
      </c>
      <c r="K53" s="152">
        <v>5.5555555555555558E-5</v>
      </c>
      <c r="L53" s="122">
        <f>I53*$D$10+J53*$D$11+K53*$D$12</f>
        <v>117.00005555555556</v>
      </c>
      <c r="M53" s="250"/>
      <c r="N53" s="152">
        <v>1.0155999999999998</v>
      </c>
      <c r="O53" s="148"/>
      <c r="P53" s="168">
        <v>9.234</v>
      </c>
      <c r="Q53" s="155"/>
      <c r="R53" s="156"/>
      <c r="S53" s="157"/>
      <c r="T53" s="118" t="s">
        <v>487</v>
      </c>
      <c r="U53" s="118"/>
    </row>
    <row r="54" spans="1:21" x14ac:dyDescent="0.2">
      <c r="A54" s="10"/>
      <c r="B54" s="183"/>
      <c r="C54" s="129" t="s">
        <v>535</v>
      </c>
      <c r="D54" s="182"/>
      <c r="E54" s="205"/>
      <c r="F54" s="216"/>
      <c r="G54" s="230"/>
      <c r="H54" s="240"/>
      <c r="I54" s="250"/>
      <c r="J54" s="230"/>
      <c r="K54" s="230"/>
      <c r="L54" s="259"/>
      <c r="M54" s="250"/>
      <c r="N54" s="230"/>
      <c r="O54" s="148"/>
      <c r="P54" s="169">
        <v>18.5</v>
      </c>
      <c r="Q54" s="155"/>
      <c r="R54" s="156"/>
      <c r="S54" s="157"/>
      <c r="T54" s="118" t="s">
        <v>487</v>
      </c>
      <c r="U54" s="118"/>
    </row>
    <row r="55" spans="1:21" x14ac:dyDescent="0.2">
      <c r="A55" s="10"/>
      <c r="B55" s="185"/>
      <c r="C55" s="129" t="s">
        <v>1042</v>
      </c>
      <c r="D55" s="182"/>
      <c r="E55" s="205"/>
      <c r="F55" s="216"/>
      <c r="G55" s="230"/>
      <c r="H55" s="240"/>
      <c r="I55" s="250"/>
      <c r="J55" s="230"/>
      <c r="K55" s="230"/>
      <c r="L55" s="259"/>
      <c r="M55" s="250"/>
      <c r="N55" s="230"/>
      <c r="O55" s="148"/>
      <c r="P55" s="168">
        <v>24</v>
      </c>
      <c r="Q55" s="155"/>
      <c r="R55" s="156"/>
      <c r="S55" s="157"/>
      <c r="T55" s="118" t="s">
        <v>487</v>
      </c>
      <c r="U55" s="118"/>
    </row>
    <row r="56" spans="1:21" x14ac:dyDescent="0.2">
      <c r="A56" s="10"/>
      <c r="B56" s="185"/>
      <c r="C56" s="129" t="s">
        <v>512</v>
      </c>
      <c r="D56" s="182"/>
      <c r="E56" s="205"/>
      <c r="F56" s="216"/>
      <c r="G56" s="230"/>
      <c r="H56" s="240"/>
      <c r="I56" s="250"/>
      <c r="J56" s="230"/>
      <c r="K56" s="230"/>
      <c r="L56" s="259"/>
      <c r="M56" s="250"/>
      <c r="N56" s="230"/>
      <c r="O56" s="148"/>
      <c r="P56" s="169">
        <v>26.4</v>
      </c>
      <c r="Q56" s="155"/>
      <c r="R56" s="156"/>
      <c r="S56" s="157"/>
      <c r="T56" s="118" t="s">
        <v>487</v>
      </c>
      <c r="U56" s="118"/>
    </row>
    <row r="57" spans="1:21" x14ac:dyDescent="0.2">
      <c r="A57" s="10"/>
      <c r="B57" s="185"/>
      <c r="C57" s="129" t="s">
        <v>1041</v>
      </c>
      <c r="D57" s="182"/>
      <c r="E57" s="205"/>
      <c r="F57" s="216"/>
      <c r="G57" s="230"/>
      <c r="H57" s="240"/>
      <c r="I57" s="250"/>
      <c r="J57" s="230"/>
      <c r="K57" s="230"/>
      <c r="L57" s="259"/>
      <c r="M57" s="250"/>
      <c r="N57" s="230"/>
      <c r="O57" s="148"/>
      <c r="P57" s="168">
        <v>23.529411764705884</v>
      </c>
      <c r="Q57" s="155"/>
      <c r="R57" s="156"/>
      <c r="S57" s="157"/>
      <c r="T57" s="118" t="s">
        <v>487</v>
      </c>
      <c r="U57" s="118"/>
    </row>
    <row r="58" spans="1:21" x14ac:dyDescent="0.2">
      <c r="A58" s="10"/>
      <c r="B58" s="185"/>
      <c r="C58" s="129" t="s">
        <v>1098</v>
      </c>
      <c r="D58" s="182"/>
      <c r="E58" s="205"/>
      <c r="F58" s="216"/>
      <c r="G58" s="230"/>
      <c r="H58" s="240"/>
      <c r="I58" s="250"/>
      <c r="J58" s="230"/>
      <c r="K58" s="230"/>
      <c r="L58" s="259"/>
      <c r="M58" s="250"/>
      <c r="N58" s="230"/>
      <c r="O58" s="148"/>
      <c r="P58" s="168">
        <v>16.3</v>
      </c>
      <c r="Q58" s="155"/>
      <c r="R58" s="156"/>
      <c r="S58" s="157"/>
      <c r="T58" s="118" t="s">
        <v>487</v>
      </c>
      <c r="U58" s="118"/>
    </row>
    <row r="59" spans="1:21" x14ac:dyDescent="0.2">
      <c r="A59" s="10"/>
      <c r="B59" s="185"/>
      <c r="C59" s="129" t="s">
        <v>520</v>
      </c>
      <c r="D59" s="182"/>
      <c r="E59" s="205"/>
      <c r="F59" s="216"/>
      <c r="G59" s="230"/>
      <c r="H59" s="240"/>
      <c r="I59" s="250"/>
      <c r="J59" s="230"/>
      <c r="K59" s="230"/>
      <c r="L59" s="259"/>
      <c r="M59" s="250"/>
      <c r="N59" s="230"/>
      <c r="O59" s="148"/>
      <c r="P59" s="169">
        <v>19.600000000000001</v>
      </c>
      <c r="Q59" s="155"/>
      <c r="R59" s="156"/>
      <c r="S59" s="157"/>
      <c r="T59" s="118" t="s">
        <v>487</v>
      </c>
      <c r="U59" s="118"/>
    </row>
    <row r="60" spans="1:21" x14ac:dyDescent="0.2">
      <c r="A60" s="10"/>
      <c r="B60" s="185"/>
      <c r="C60" s="129" t="s">
        <v>1099</v>
      </c>
      <c r="D60" s="182"/>
      <c r="E60" s="205"/>
      <c r="F60" s="216"/>
      <c r="G60" s="230"/>
      <c r="H60" s="240"/>
      <c r="I60" s="250"/>
      <c r="J60" s="230"/>
      <c r="K60" s="230"/>
      <c r="L60" s="259"/>
      <c r="M60" s="250"/>
      <c r="N60" s="230"/>
      <c r="O60" s="148"/>
      <c r="P60" s="169">
        <v>26.4</v>
      </c>
      <c r="Q60" s="155"/>
      <c r="R60" s="156"/>
      <c r="S60" s="157"/>
      <c r="T60" s="118" t="s">
        <v>487</v>
      </c>
      <c r="U60" s="118"/>
    </row>
    <row r="61" spans="1:21" x14ac:dyDescent="0.2">
      <c r="A61" s="10"/>
      <c r="B61" s="185"/>
      <c r="C61" s="129" t="s">
        <v>1034</v>
      </c>
      <c r="D61" s="182"/>
      <c r="E61" s="205"/>
      <c r="F61" s="216"/>
      <c r="G61" s="230"/>
      <c r="H61" s="240"/>
      <c r="I61" s="250"/>
      <c r="J61" s="230"/>
      <c r="K61" s="230"/>
      <c r="L61" s="259"/>
      <c r="M61" s="250"/>
      <c r="N61" s="230"/>
      <c r="O61" s="148"/>
      <c r="P61" s="168">
        <v>17</v>
      </c>
      <c r="Q61" s="155"/>
      <c r="R61" s="156"/>
      <c r="S61" s="157"/>
      <c r="T61" s="118" t="s">
        <v>487</v>
      </c>
      <c r="U61" s="118"/>
    </row>
    <row r="62" spans="1:21" x14ac:dyDescent="0.2">
      <c r="A62" s="10"/>
      <c r="B62" s="185"/>
      <c r="C62" s="129" t="s">
        <v>304</v>
      </c>
      <c r="D62" s="182"/>
      <c r="E62" s="205"/>
      <c r="F62" s="216"/>
      <c r="G62" s="230"/>
      <c r="H62" s="240"/>
      <c r="I62" s="250"/>
      <c r="J62" s="230"/>
      <c r="K62" s="230"/>
      <c r="L62" s="259"/>
      <c r="M62" s="250"/>
      <c r="N62" s="230"/>
      <c r="O62" s="148"/>
      <c r="P62" s="169">
        <v>37.1</v>
      </c>
      <c r="Q62" s="155"/>
      <c r="R62" s="156"/>
      <c r="S62" s="157"/>
      <c r="T62" s="118" t="s">
        <v>487</v>
      </c>
      <c r="U62" s="118"/>
    </row>
    <row r="63" spans="1:21" x14ac:dyDescent="0.2">
      <c r="A63" s="10"/>
      <c r="B63" s="185"/>
      <c r="C63" s="129" t="s">
        <v>939</v>
      </c>
      <c r="D63" s="182"/>
      <c r="E63" s="205"/>
      <c r="F63" s="216"/>
      <c r="G63" s="230"/>
      <c r="H63" s="240"/>
      <c r="I63" s="250"/>
      <c r="J63" s="230"/>
      <c r="K63" s="230"/>
      <c r="L63" s="259"/>
      <c r="M63" s="250"/>
      <c r="N63" s="230"/>
      <c r="O63" s="148"/>
      <c r="P63" s="169">
        <v>21.8</v>
      </c>
      <c r="Q63" s="155"/>
      <c r="R63" s="156"/>
      <c r="S63" s="157"/>
      <c r="T63" s="118" t="s">
        <v>487</v>
      </c>
      <c r="U63" s="118"/>
    </row>
    <row r="64" spans="1:21" x14ac:dyDescent="0.2">
      <c r="A64" s="10"/>
      <c r="B64" s="185"/>
      <c r="C64" s="129" t="s">
        <v>1039</v>
      </c>
      <c r="D64" s="182"/>
      <c r="E64" s="205"/>
      <c r="F64" s="216"/>
      <c r="G64" s="230"/>
      <c r="H64" s="240"/>
      <c r="I64" s="250"/>
      <c r="J64" s="230"/>
      <c r="K64" s="230"/>
      <c r="L64" s="259"/>
      <c r="M64" s="250"/>
      <c r="N64" s="230"/>
      <c r="O64" s="148"/>
      <c r="P64" s="168">
        <v>37</v>
      </c>
      <c r="Q64" s="155"/>
      <c r="R64" s="156"/>
      <c r="S64" s="157"/>
      <c r="T64" s="118" t="s">
        <v>487</v>
      </c>
      <c r="U64" s="118"/>
    </row>
    <row r="65" spans="1:21" x14ac:dyDescent="0.2">
      <c r="A65" s="10"/>
      <c r="B65" s="185"/>
      <c r="C65" s="111" t="s">
        <v>121</v>
      </c>
      <c r="D65" s="182"/>
      <c r="E65" s="205"/>
      <c r="F65" s="216"/>
      <c r="G65" s="230"/>
      <c r="H65" s="240"/>
      <c r="I65" s="250"/>
      <c r="J65" s="230"/>
      <c r="K65" s="230"/>
      <c r="L65" s="259"/>
      <c r="M65" s="250"/>
      <c r="N65" s="230"/>
      <c r="O65" s="148"/>
      <c r="P65" s="168">
        <v>16</v>
      </c>
      <c r="Q65" s="155"/>
      <c r="R65" s="156"/>
      <c r="S65" s="157"/>
      <c r="T65" s="118" t="s">
        <v>487</v>
      </c>
      <c r="U65" s="118"/>
    </row>
    <row r="66" spans="1:21" x14ac:dyDescent="0.2">
      <c r="A66" s="10"/>
      <c r="B66" s="185"/>
      <c r="C66" s="129" t="s">
        <v>1037</v>
      </c>
      <c r="D66" s="182"/>
      <c r="E66" s="205"/>
      <c r="F66" s="216"/>
      <c r="G66" s="230"/>
      <c r="H66" s="240"/>
      <c r="I66" s="250"/>
      <c r="J66" s="230"/>
      <c r="K66" s="230"/>
      <c r="L66" s="259"/>
      <c r="M66" s="250"/>
      <c r="N66" s="230"/>
      <c r="O66" s="148"/>
      <c r="P66" s="168">
        <v>16</v>
      </c>
      <c r="Q66" s="155"/>
      <c r="R66" s="156"/>
      <c r="S66" s="157"/>
      <c r="T66" s="118" t="s">
        <v>487</v>
      </c>
      <c r="U66" s="118"/>
    </row>
    <row r="67" spans="1:21" x14ac:dyDescent="0.2">
      <c r="A67" s="10"/>
      <c r="B67" s="185"/>
      <c r="C67" s="129" t="s">
        <v>1044</v>
      </c>
      <c r="D67" s="182"/>
      <c r="E67" s="205"/>
      <c r="F67" s="216"/>
      <c r="G67" s="230"/>
      <c r="H67" s="240"/>
      <c r="I67" s="250"/>
      <c r="J67" s="230"/>
      <c r="K67" s="230"/>
      <c r="L67" s="259"/>
      <c r="M67" s="250"/>
      <c r="N67" s="230"/>
      <c r="O67" s="148"/>
      <c r="P67" s="168">
        <v>17</v>
      </c>
      <c r="Q67" s="155"/>
      <c r="R67" s="156"/>
      <c r="S67" s="157"/>
      <c r="T67" s="118" t="s">
        <v>487</v>
      </c>
      <c r="U67" s="118"/>
    </row>
    <row r="68" spans="1:21" x14ac:dyDescent="0.2">
      <c r="A68" s="10"/>
      <c r="B68" s="185"/>
      <c r="C68" s="129" t="s">
        <v>1043</v>
      </c>
      <c r="D68" s="182"/>
      <c r="E68" s="205"/>
      <c r="F68" s="216"/>
      <c r="G68" s="230"/>
      <c r="H68" s="240"/>
      <c r="I68" s="250"/>
      <c r="J68" s="230"/>
      <c r="K68" s="230"/>
      <c r="L68" s="259"/>
      <c r="M68" s="250"/>
      <c r="N68" s="230"/>
      <c r="O68" s="148"/>
      <c r="P68" s="168">
        <v>37</v>
      </c>
      <c r="Q68" s="155"/>
      <c r="R68" s="156"/>
      <c r="S68" s="157"/>
      <c r="T68" s="118" t="s">
        <v>487</v>
      </c>
      <c r="U68" s="118"/>
    </row>
    <row r="69" spans="1:21" x14ac:dyDescent="0.2">
      <c r="A69" s="10"/>
      <c r="B69" s="185"/>
      <c r="C69" s="175" t="s">
        <v>1100</v>
      </c>
      <c r="D69" s="182"/>
      <c r="E69" s="205"/>
      <c r="F69" s="216"/>
      <c r="G69" s="230"/>
      <c r="H69" s="240"/>
      <c r="I69" s="250"/>
      <c r="J69" s="230"/>
      <c r="K69" s="230"/>
      <c r="L69" s="259"/>
      <c r="M69" s="250"/>
      <c r="N69" s="230"/>
      <c r="O69" s="148"/>
      <c r="P69" s="168">
        <v>18.649999999999999</v>
      </c>
      <c r="Q69" s="155"/>
      <c r="R69" s="156"/>
      <c r="S69" s="157"/>
      <c r="T69" s="118" t="s">
        <v>487</v>
      </c>
      <c r="U69" s="118"/>
    </row>
    <row r="70" spans="1:21" x14ac:dyDescent="0.2">
      <c r="A70" s="10"/>
      <c r="B70" s="185"/>
      <c r="C70" s="129" t="s">
        <v>1210</v>
      </c>
      <c r="D70" s="182"/>
      <c r="E70" s="205"/>
      <c r="F70" s="216"/>
      <c r="G70" s="230"/>
      <c r="H70" s="240"/>
      <c r="I70" s="250"/>
      <c r="J70" s="230"/>
      <c r="K70" s="230"/>
      <c r="L70" s="259"/>
      <c r="M70" s="250"/>
      <c r="N70" s="230"/>
      <c r="O70" s="148"/>
      <c r="P70" s="168">
        <v>37</v>
      </c>
      <c r="Q70" s="155"/>
      <c r="R70" s="156"/>
      <c r="S70" s="157"/>
      <c r="T70" s="118" t="s">
        <v>487</v>
      </c>
      <c r="U70" s="118"/>
    </row>
    <row r="71" spans="1:21" x14ac:dyDescent="0.2">
      <c r="A71" s="10"/>
      <c r="B71" s="185"/>
      <c r="C71" s="129" t="s">
        <v>1040</v>
      </c>
      <c r="D71" s="182"/>
      <c r="E71" s="205"/>
      <c r="F71" s="216"/>
      <c r="G71" s="230"/>
      <c r="H71" s="240"/>
      <c r="I71" s="250"/>
      <c r="J71" s="230"/>
      <c r="K71" s="230"/>
      <c r="L71" s="259"/>
      <c r="M71" s="250"/>
      <c r="N71" s="230"/>
      <c r="O71" s="148"/>
      <c r="P71" s="168">
        <v>37</v>
      </c>
      <c r="Q71" s="155"/>
      <c r="R71" s="156"/>
      <c r="S71" s="157"/>
      <c r="T71" s="118" t="s">
        <v>487</v>
      </c>
      <c r="U71" s="118"/>
    </row>
    <row r="72" spans="1:21" x14ac:dyDescent="0.2">
      <c r="A72" s="10"/>
      <c r="B72" s="185"/>
      <c r="C72" s="175" t="s">
        <v>1101</v>
      </c>
      <c r="D72" s="182"/>
      <c r="E72" s="205"/>
      <c r="F72" s="216"/>
      <c r="G72" s="230"/>
      <c r="H72" s="240"/>
      <c r="I72" s="250"/>
      <c r="J72" s="230"/>
      <c r="K72" s="230"/>
      <c r="L72" s="259"/>
      <c r="M72" s="250"/>
      <c r="N72" s="230"/>
      <c r="O72" s="148"/>
      <c r="P72" s="170" t="s">
        <v>964</v>
      </c>
      <c r="Q72" s="155"/>
      <c r="R72" s="156"/>
      <c r="S72" s="157"/>
      <c r="T72" s="118" t="s">
        <v>487</v>
      </c>
      <c r="U72" s="132" t="s">
        <v>386</v>
      </c>
    </row>
    <row r="73" spans="1:21" x14ac:dyDescent="0.2">
      <c r="A73" s="10"/>
      <c r="B73" s="185"/>
      <c r="C73" s="129" t="s">
        <v>1102</v>
      </c>
      <c r="D73" s="182"/>
      <c r="E73" s="205"/>
      <c r="F73" s="216"/>
      <c r="G73" s="230"/>
      <c r="H73" s="240"/>
      <c r="I73" s="250"/>
      <c r="J73" s="230"/>
      <c r="K73" s="230"/>
      <c r="L73" s="259"/>
      <c r="M73" s="250"/>
      <c r="N73" s="230"/>
      <c r="O73" s="148"/>
      <c r="P73" s="169">
        <v>15.6</v>
      </c>
      <c r="Q73" s="155"/>
      <c r="R73" s="156"/>
      <c r="S73" s="157"/>
      <c r="T73" s="118" t="s">
        <v>487</v>
      </c>
      <c r="U73" s="118"/>
    </row>
    <row r="74" spans="1:21" x14ac:dyDescent="0.2">
      <c r="A74" s="10"/>
      <c r="B74" s="185"/>
      <c r="C74" s="129" t="s">
        <v>1103</v>
      </c>
      <c r="D74" s="182"/>
      <c r="E74" s="205"/>
      <c r="F74" s="216"/>
      <c r="G74" s="230"/>
      <c r="H74" s="240"/>
      <c r="I74" s="250"/>
      <c r="J74" s="230"/>
      <c r="K74" s="230"/>
      <c r="L74" s="259"/>
      <c r="M74" s="250"/>
      <c r="N74" s="230"/>
      <c r="O74" s="148"/>
      <c r="P74" s="169">
        <v>15.6</v>
      </c>
      <c r="Q74" s="155"/>
      <c r="R74" s="156"/>
      <c r="S74" s="157"/>
      <c r="T74" s="118" t="s">
        <v>487</v>
      </c>
      <c r="U74" s="118"/>
    </row>
    <row r="75" spans="1:21" x14ac:dyDescent="0.2">
      <c r="A75" s="10"/>
      <c r="B75" s="185"/>
      <c r="C75" s="129" t="s">
        <v>518</v>
      </c>
      <c r="D75" s="182"/>
      <c r="E75" s="205"/>
      <c r="F75" s="216"/>
      <c r="G75" s="230"/>
      <c r="H75" s="240"/>
      <c r="I75" s="153">
        <v>1.7515833333333333</v>
      </c>
      <c r="J75" s="152">
        <v>1.3333333333333333E-3</v>
      </c>
      <c r="K75" s="152">
        <v>5.5555555555555558E-5</v>
      </c>
      <c r="L75" s="122">
        <f>I75*$D$10+J75*$D$11+K75*$D$12</f>
        <v>1.8014722222222224</v>
      </c>
      <c r="M75" s="250"/>
      <c r="N75" s="152">
        <v>2.5400000000000002E-2</v>
      </c>
      <c r="O75" s="148"/>
      <c r="P75" s="169">
        <v>17.2</v>
      </c>
      <c r="Q75" s="155"/>
      <c r="R75" s="156"/>
      <c r="S75" s="157"/>
      <c r="T75" s="118" t="s">
        <v>487</v>
      </c>
      <c r="U75" s="132" t="s">
        <v>488</v>
      </c>
    </row>
    <row r="76" spans="1:21" x14ac:dyDescent="0.2">
      <c r="A76" s="10"/>
      <c r="B76" s="185"/>
      <c r="C76" s="129"/>
      <c r="D76" s="181"/>
      <c r="E76" s="204"/>
      <c r="F76" s="215"/>
      <c r="G76" s="228"/>
      <c r="H76" s="242"/>
      <c r="I76" s="131"/>
      <c r="J76" s="231"/>
      <c r="K76" s="228"/>
      <c r="L76" s="130"/>
      <c r="M76" s="131"/>
      <c r="N76" s="231"/>
      <c r="O76" s="120"/>
      <c r="P76" s="129"/>
      <c r="Q76" s="116"/>
      <c r="R76" s="114"/>
      <c r="S76" s="115"/>
      <c r="T76" s="118"/>
      <c r="U76" s="118"/>
    </row>
    <row r="77" spans="1:21" x14ac:dyDescent="0.2">
      <c r="A77" s="45"/>
      <c r="B77" s="183" t="s">
        <v>1104</v>
      </c>
      <c r="C77" s="129"/>
      <c r="D77" s="181"/>
      <c r="E77" s="204"/>
      <c r="F77" s="215"/>
      <c r="G77" s="231"/>
      <c r="H77" s="242"/>
      <c r="I77" s="131"/>
      <c r="J77" s="231"/>
      <c r="K77" s="231"/>
      <c r="L77" s="130"/>
      <c r="M77" s="131"/>
      <c r="N77" s="231"/>
      <c r="O77" s="113"/>
      <c r="P77" s="129"/>
      <c r="Q77" s="116"/>
      <c r="R77" s="114"/>
      <c r="S77" s="115"/>
      <c r="T77" s="118"/>
      <c r="U77" s="118"/>
    </row>
    <row r="78" spans="1:21" x14ac:dyDescent="0.2">
      <c r="A78" s="10"/>
      <c r="B78" s="183"/>
      <c r="C78" s="129" t="s">
        <v>50</v>
      </c>
      <c r="D78" s="182"/>
      <c r="E78" s="208"/>
      <c r="F78" s="219"/>
      <c r="G78" s="232"/>
      <c r="H78" s="243"/>
      <c r="I78" s="153">
        <v>119.36216666666667</v>
      </c>
      <c r="J78" s="152">
        <v>0.29108333333333336</v>
      </c>
      <c r="K78" s="152">
        <v>5.3888888888888892E-3</v>
      </c>
      <c r="L78" s="122">
        <f>I78*$D$10+J78*$D$11+K78*$D$12</f>
        <v>128.2451388888889</v>
      </c>
      <c r="M78" s="251"/>
      <c r="N78" s="152">
        <v>2.6951000000000001</v>
      </c>
      <c r="O78" s="160"/>
      <c r="P78" s="161"/>
      <c r="Q78" s="155"/>
      <c r="R78" s="156"/>
      <c r="S78" s="157"/>
      <c r="T78" s="118" t="s">
        <v>487</v>
      </c>
      <c r="U78" s="118"/>
    </row>
    <row r="79" spans="1:21" x14ac:dyDescent="0.2">
      <c r="A79" s="10"/>
      <c r="B79" s="183"/>
      <c r="C79" s="129" t="s">
        <v>49</v>
      </c>
      <c r="D79" s="182"/>
      <c r="E79" s="208"/>
      <c r="F79" s="219"/>
      <c r="G79" s="232"/>
      <c r="H79" s="243"/>
      <c r="I79" s="153">
        <v>120.7945</v>
      </c>
      <c r="J79" s="152">
        <v>0.29458333333333331</v>
      </c>
      <c r="K79" s="152">
        <v>5.4722222222222221E-3</v>
      </c>
      <c r="L79" s="122">
        <f>I79*$D$10+J79*$D$11+K79*$D$12</f>
        <v>129.78980555555557</v>
      </c>
      <c r="M79" s="251"/>
      <c r="N79" s="152">
        <v>2.7275</v>
      </c>
      <c r="O79" s="160"/>
      <c r="P79" s="161"/>
      <c r="Q79" s="155"/>
      <c r="R79" s="156"/>
      <c r="S79" s="157"/>
      <c r="T79" s="118" t="s">
        <v>487</v>
      </c>
      <c r="U79" s="118"/>
    </row>
    <row r="80" spans="1:21" x14ac:dyDescent="0.2">
      <c r="A80" s="10"/>
      <c r="B80" s="185"/>
      <c r="C80" s="129"/>
      <c r="D80" s="181"/>
      <c r="E80" s="204"/>
      <c r="F80" s="215"/>
      <c r="G80" s="231"/>
      <c r="H80" s="242"/>
      <c r="I80" s="131"/>
      <c r="J80" s="231"/>
      <c r="K80" s="231"/>
      <c r="L80" s="122"/>
      <c r="M80" s="131"/>
      <c r="N80" s="231"/>
      <c r="O80" s="113"/>
      <c r="P80" s="129"/>
      <c r="Q80" s="116"/>
      <c r="R80" s="114"/>
      <c r="S80" s="115"/>
      <c r="T80" s="118"/>
      <c r="U80" s="118"/>
    </row>
    <row r="81" spans="1:21" x14ac:dyDescent="0.2">
      <c r="A81" s="45"/>
      <c r="B81" s="183" t="s">
        <v>1105</v>
      </c>
      <c r="C81" s="129"/>
      <c r="D81" s="181"/>
      <c r="E81" s="204"/>
      <c r="F81" s="215"/>
      <c r="G81" s="231"/>
      <c r="H81" s="119"/>
      <c r="I81" s="131"/>
      <c r="J81" s="231"/>
      <c r="K81" s="231"/>
      <c r="L81" s="122"/>
      <c r="M81" s="131"/>
      <c r="N81" s="231"/>
      <c r="O81" s="113"/>
      <c r="P81" s="121"/>
      <c r="Q81" s="116"/>
      <c r="R81" s="114"/>
      <c r="S81" s="115"/>
      <c r="T81" s="118"/>
      <c r="U81" s="118"/>
    </row>
    <row r="82" spans="1:21" ht="12.75" customHeight="1" x14ac:dyDescent="0.2">
      <c r="A82" s="10"/>
      <c r="B82" s="183"/>
      <c r="C82" s="111" t="s">
        <v>1106</v>
      </c>
      <c r="D82" s="182"/>
      <c r="E82" s="205"/>
      <c r="F82" s="216"/>
      <c r="G82" s="230"/>
      <c r="H82" s="240"/>
      <c r="I82" s="153">
        <v>80.083333333333329</v>
      </c>
      <c r="J82" s="152">
        <v>1.4555555555555556E-2</v>
      </c>
      <c r="K82" s="152">
        <v>2.7777777777777778E-4</v>
      </c>
      <c r="L82" s="122">
        <f>I82*$D$10+J82*$D$11+K82*$D$12</f>
        <v>80.53</v>
      </c>
      <c r="M82" s="251"/>
      <c r="N82" s="152">
        <v>0.32036111111111115</v>
      </c>
      <c r="O82" s="160"/>
      <c r="P82" s="168">
        <v>45.107999999999997</v>
      </c>
      <c r="Q82" s="155"/>
      <c r="R82" s="156"/>
      <c r="S82" s="157"/>
      <c r="T82" s="118" t="s">
        <v>487</v>
      </c>
      <c r="U82" s="133"/>
    </row>
    <row r="83" spans="1:21" ht="14.25" x14ac:dyDescent="0.25">
      <c r="A83" s="10"/>
      <c r="B83" s="183"/>
      <c r="C83" s="111" t="s">
        <v>236</v>
      </c>
      <c r="D83" s="182"/>
      <c r="E83" s="150">
        <v>2776</v>
      </c>
      <c r="F83" s="151">
        <v>8.9268000000000001</v>
      </c>
      <c r="G83" s="152">
        <v>0.1028</v>
      </c>
      <c r="H83" s="134">
        <f t="shared" ref="H83:H88" si="1">E83*$D$10+F83*$D$11+G83*$D$12</f>
        <v>3029.8044</v>
      </c>
      <c r="I83" s="250"/>
      <c r="J83" s="230"/>
      <c r="K83" s="230"/>
      <c r="L83" s="259"/>
      <c r="M83" s="153">
        <v>28.570320000000002</v>
      </c>
      <c r="N83" s="232"/>
      <c r="O83" s="160"/>
      <c r="P83" s="161"/>
      <c r="Q83" s="155"/>
      <c r="R83" s="156"/>
      <c r="S83" s="157"/>
      <c r="T83" s="118" t="s">
        <v>487</v>
      </c>
      <c r="U83" s="133"/>
    </row>
    <row r="84" spans="1:21" x14ac:dyDescent="0.2">
      <c r="A84" s="10"/>
      <c r="B84" s="183"/>
      <c r="C84" s="111" t="s">
        <v>142</v>
      </c>
      <c r="D84" s="182"/>
      <c r="E84" s="150">
        <v>197</v>
      </c>
      <c r="F84" s="151">
        <v>3.73E-2</v>
      </c>
      <c r="G84" s="152">
        <v>6.3E-3</v>
      </c>
      <c r="H84" s="134">
        <f t="shared" si="1"/>
        <v>199.8099</v>
      </c>
      <c r="I84" s="250"/>
      <c r="J84" s="230"/>
      <c r="K84" s="230"/>
      <c r="L84" s="259"/>
      <c r="M84" s="153">
        <v>2.5405200000000003</v>
      </c>
      <c r="N84" s="232"/>
      <c r="O84" s="160"/>
      <c r="P84" s="161"/>
      <c r="Q84" s="155"/>
      <c r="R84" s="156"/>
      <c r="S84" s="157"/>
      <c r="T84" s="118" t="s">
        <v>487</v>
      </c>
      <c r="U84" s="133"/>
    </row>
    <row r="85" spans="1:21" x14ac:dyDescent="0.2">
      <c r="A85" s="10"/>
      <c r="B85" s="183"/>
      <c r="C85" s="111" t="s">
        <v>237</v>
      </c>
      <c r="D85" s="182"/>
      <c r="E85" s="150">
        <v>717.37800000000004</v>
      </c>
      <c r="F85" s="151">
        <v>1.129</v>
      </c>
      <c r="G85" s="152">
        <v>2.5399999999999999E-2</v>
      </c>
      <c r="H85" s="134">
        <f t="shared" si="1"/>
        <v>753.17220000000009</v>
      </c>
      <c r="I85" s="250"/>
      <c r="J85" s="230"/>
      <c r="K85" s="230"/>
      <c r="L85" s="259"/>
      <c r="M85" s="153">
        <v>15.433495199999999</v>
      </c>
      <c r="N85" s="232"/>
      <c r="O85" s="160"/>
      <c r="P85" s="161"/>
      <c r="Q85" s="155"/>
      <c r="R85" s="156"/>
      <c r="S85" s="157"/>
      <c r="T85" s="118" t="s">
        <v>487</v>
      </c>
      <c r="U85" s="133"/>
    </row>
    <row r="86" spans="1:21" ht="14.25" x14ac:dyDescent="0.25">
      <c r="A86" s="10"/>
      <c r="B86" s="183"/>
      <c r="C86" s="111" t="s">
        <v>47</v>
      </c>
      <c r="D86" s="182"/>
      <c r="E86" s="150">
        <v>1046</v>
      </c>
      <c r="F86" s="151">
        <v>6.2</v>
      </c>
      <c r="G86" s="152">
        <v>5.4999999999999997E-3</v>
      </c>
      <c r="H86" s="134">
        <f t="shared" si="1"/>
        <v>1202.6389999999999</v>
      </c>
      <c r="I86" s="250"/>
      <c r="J86" s="230"/>
      <c r="K86" s="230"/>
      <c r="L86" s="259"/>
      <c r="M86" s="153">
        <v>13.785480000000002</v>
      </c>
      <c r="N86" s="232"/>
      <c r="O86" s="160"/>
      <c r="P86" s="161"/>
      <c r="Q86" s="155"/>
      <c r="R86" s="156"/>
      <c r="S86" s="157"/>
      <c r="T86" s="118" t="s">
        <v>487</v>
      </c>
      <c r="U86" s="133"/>
    </row>
    <row r="87" spans="1:21" x14ac:dyDescent="0.2">
      <c r="A87" s="10"/>
      <c r="B87" s="183"/>
      <c r="C87" s="111" t="s">
        <v>238</v>
      </c>
      <c r="D87" s="182"/>
      <c r="E87" s="150">
        <v>438.4932</v>
      </c>
      <c r="F87" s="151">
        <v>1.0301</v>
      </c>
      <c r="G87" s="152">
        <v>2.4E-2</v>
      </c>
      <c r="H87" s="134">
        <f t="shared" si="1"/>
        <v>471.39769999999999</v>
      </c>
      <c r="I87" s="250"/>
      <c r="J87" s="230"/>
      <c r="K87" s="230"/>
      <c r="L87" s="259"/>
      <c r="M87" s="153">
        <v>10.2204</v>
      </c>
      <c r="N87" s="232"/>
      <c r="O87" s="160"/>
      <c r="P87" s="161"/>
      <c r="Q87" s="155"/>
      <c r="R87" s="156"/>
      <c r="S87" s="157"/>
      <c r="T87" s="118" t="s">
        <v>487</v>
      </c>
      <c r="U87" s="133"/>
    </row>
    <row r="88" spans="1:21" x14ac:dyDescent="0.2">
      <c r="A88" s="10"/>
      <c r="B88" s="183"/>
      <c r="C88" s="111" t="s">
        <v>1108</v>
      </c>
      <c r="D88" s="182"/>
      <c r="E88" s="150">
        <v>0</v>
      </c>
      <c r="F88" s="151">
        <v>0</v>
      </c>
      <c r="G88" s="152">
        <v>0</v>
      </c>
      <c r="H88" s="119">
        <f t="shared" si="1"/>
        <v>0</v>
      </c>
      <c r="I88" s="250"/>
      <c r="J88" s="230"/>
      <c r="K88" s="230"/>
      <c r="L88" s="259"/>
      <c r="M88" s="153">
        <v>0</v>
      </c>
      <c r="N88" s="232"/>
      <c r="O88" s="160"/>
      <c r="P88" s="161"/>
      <c r="Q88" s="155"/>
      <c r="R88" s="156"/>
      <c r="S88" s="157"/>
      <c r="T88" s="118"/>
      <c r="U88" s="133" t="s">
        <v>387</v>
      </c>
    </row>
    <row r="89" spans="1:21" x14ac:dyDescent="0.2">
      <c r="A89" s="10"/>
      <c r="B89" s="183"/>
      <c r="C89" s="111" t="s">
        <v>1109</v>
      </c>
      <c r="D89" s="182"/>
      <c r="E89" s="208"/>
      <c r="F89" s="219"/>
      <c r="G89" s="232"/>
      <c r="H89" s="243"/>
      <c r="I89" s="153">
        <v>80.868472222222223</v>
      </c>
      <c r="J89" s="152">
        <v>0.27647222222222223</v>
      </c>
      <c r="K89" s="152">
        <v>3.0555555555555555E-4</v>
      </c>
      <c r="L89" s="122">
        <f>I89*$D$10+J89*$D$11+K89*$D$12</f>
        <v>87.87133333333334</v>
      </c>
      <c r="M89" s="251"/>
      <c r="N89" s="152">
        <v>1.4835</v>
      </c>
      <c r="O89" s="160"/>
      <c r="P89" s="161"/>
      <c r="Q89" s="155"/>
      <c r="R89" s="156"/>
      <c r="S89" s="157"/>
      <c r="T89" s="118" t="s">
        <v>487</v>
      </c>
      <c r="U89" s="133"/>
    </row>
    <row r="90" spans="1:21" x14ac:dyDescent="0.2">
      <c r="A90" s="10"/>
      <c r="B90" s="183"/>
      <c r="C90" s="111" t="s">
        <v>522</v>
      </c>
      <c r="D90" s="182"/>
      <c r="E90" s="150">
        <v>1013</v>
      </c>
      <c r="F90" s="151">
        <v>0.64900000000000002</v>
      </c>
      <c r="G90" s="152">
        <v>7.6E-3</v>
      </c>
      <c r="H90" s="119">
        <f>E90*$D$10+F90*$D$11+G90*$D$12</f>
        <v>1031.4897999999998</v>
      </c>
      <c r="I90" s="250"/>
      <c r="J90" s="230"/>
      <c r="K90" s="230"/>
      <c r="L90" s="259"/>
      <c r="M90" s="153">
        <v>4.5979199999999993</v>
      </c>
      <c r="N90" s="232"/>
      <c r="O90" s="160"/>
      <c r="P90" s="161"/>
      <c r="Q90" s="155"/>
      <c r="R90" s="156"/>
      <c r="S90" s="157"/>
      <c r="T90" s="118" t="s">
        <v>487</v>
      </c>
      <c r="U90" s="133"/>
    </row>
    <row r="91" spans="1:21" ht="14.25" x14ac:dyDescent="0.25">
      <c r="A91" s="10"/>
      <c r="B91" s="183"/>
      <c r="C91" s="111" t="s">
        <v>48</v>
      </c>
      <c r="D91" s="182"/>
      <c r="E91" s="150">
        <v>193.8502</v>
      </c>
      <c r="F91" s="151">
        <v>0.54569999999999996</v>
      </c>
      <c r="G91" s="152">
        <v>4.4999999999999997E-3</v>
      </c>
      <c r="H91" s="119">
        <f>E91*$D$10+F91*$D$11+G91*$D$12</f>
        <v>208.83370000000002</v>
      </c>
      <c r="I91" s="250"/>
      <c r="J91" s="230"/>
      <c r="K91" s="230"/>
      <c r="L91" s="259"/>
      <c r="M91" s="153">
        <v>3.8959200000000003</v>
      </c>
      <c r="N91" s="232"/>
      <c r="O91" s="160"/>
      <c r="P91" s="161"/>
      <c r="Q91" s="155"/>
      <c r="R91" s="156"/>
      <c r="S91" s="157"/>
      <c r="T91" s="118" t="s">
        <v>487</v>
      </c>
      <c r="U91" s="133"/>
    </row>
    <row r="92" spans="1:21" x14ac:dyDescent="0.2">
      <c r="A92" s="10"/>
      <c r="B92" s="183"/>
      <c r="C92" s="111" t="s">
        <v>523</v>
      </c>
      <c r="D92" s="182"/>
      <c r="E92" s="150">
        <v>2478.0410000000002</v>
      </c>
      <c r="F92" s="151">
        <v>7.8360000000000003</v>
      </c>
      <c r="G92" s="152">
        <v>8.6999999999999994E-3</v>
      </c>
      <c r="H92" s="119">
        <f>E92*$D$10+F92*$D$11+G92*$D$12</f>
        <v>2676.5336000000002</v>
      </c>
      <c r="I92" s="250"/>
      <c r="J92" s="230"/>
      <c r="K92" s="230"/>
      <c r="L92" s="259"/>
      <c r="M92" s="153">
        <v>44.388359999999999</v>
      </c>
      <c r="N92" s="232"/>
      <c r="O92" s="160"/>
      <c r="P92" s="161"/>
      <c r="Q92" s="155"/>
      <c r="R92" s="156"/>
      <c r="S92" s="157"/>
      <c r="T92" s="118" t="s">
        <v>487</v>
      </c>
      <c r="U92" s="133"/>
    </row>
    <row r="93" spans="1:21" x14ac:dyDescent="0.2">
      <c r="A93" s="10"/>
      <c r="B93" s="183"/>
      <c r="C93" s="111" t="s">
        <v>143</v>
      </c>
      <c r="D93" s="182"/>
      <c r="E93" s="150">
        <v>723</v>
      </c>
      <c r="F93" s="151">
        <v>0</v>
      </c>
      <c r="G93" s="152">
        <v>0</v>
      </c>
      <c r="H93" s="119">
        <f>E93*$D$10+F93*$D$11+G93*$D$12</f>
        <v>723</v>
      </c>
      <c r="I93" s="250"/>
      <c r="J93" s="230"/>
      <c r="K93" s="230"/>
      <c r="L93" s="259"/>
      <c r="M93" s="153">
        <v>53.1</v>
      </c>
      <c r="N93" s="232"/>
      <c r="O93" s="160"/>
      <c r="P93" s="161"/>
      <c r="Q93" s="155"/>
      <c r="R93" s="156"/>
      <c r="S93" s="157"/>
      <c r="T93" s="118" t="s">
        <v>487</v>
      </c>
      <c r="U93" s="133"/>
    </row>
    <row r="94" spans="1:21" x14ac:dyDescent="0.2">
      <c r="A94" s="10"/>
      <c r="B94" s="183"/>
      <c r="C94" s="111" t="s">
        <v>144</v>
      </c>
      <c r="D94" s="182"/>
      <c r="E94" s="150">
        <v>947</v>
      </c>
      <c r="F94" s="151">
        <v>0</v>
      </c>
      <c r="G94" s="152">
        <v>0</v>
      </c>
      <c r="H94" s="119">
        <f>E94*$D$10+F94*$D$11+G94*$D$12</f>
        <v>947</v>
      </c>
      <c r="I94" s="250"/>
      <c r="J94" s="230"/>
      <c r="K94" s="230"/>
      <c r="L94" s="259"/>
      <c r="M94" s="153">
        <v>53.28</v>
      </c>
      <c r="N94" s="232"/>
      <c r="O94" s="160"/>
      <c r="P94" s="161"/>
      <c r="Q94" s="155"/>
      <c r="R94" s="156"/>
      <c r="S94" s="157"/>
      <c r="T94" s="118" t="s">
        <v>487</v>
      </c>
      <c r="U94" s="133"/>
    </row>
    <row r="95" spans="1:21" x14ac:dyDescent="0.2">
      <c r="A95" s="10"/>
      <c r="B95" s="185"/>
      <c r="C95" s="111"/>
      <c r="D95" s="181"/>
      <c r="E95" s="204"/>
      <c r="F95" s="220"/>
      <c r="G95" s="231"/>
      <c r="H95" s="242"/>
      <c r="I95" s="131"/>
      <c r="J95" s="228"/>
      <c r="K95" s="231"/>
      <c r="L95" s="130"/>
      <c r="M95" s="131"/>
      <c r="N95" s="228"/>
      <c r="O95" s="113"/>
      <c r="P95" s="129"/>
      <c r="Q95" s="116"/>
      <c r="R95" s="114"/>
      <c r="S95" s="115"/>
      <c r="T95" s="118"/>
      <c r="U95" s="133"/>
    </row>
    <row r="96" spans="1:21" x14ac:dyDescent="0.2">
      <c r="A96" s="10"/>
      <c r="B96" s="183" t="s">
        <v>1110</v>
      </c>
      <c r="C96" s="129"/>
      <c r="D96" s="181"/>
      <c r="E96" s="204"/>
      <c r="F96" s="215"/>
      <c r="G96" s="231"/>
      <c r="H96" s="242"/>
      <c r="I96" s="131"/>
      <c r="J96" s="231"/>
      <c r="K96" s="231"/>
      <c r="L96" s="130"/>
      <c r="M96" s="131"/>
      <c r="N96" s="231"/>
      <c r="O96" s="113"/>
      <c r="P96" s="129"/>
      <c r="Q96" s="123"/>
      <c r="R96" s="135"/>
      <c r="S96" s="136"/>
      <c r="T96" s="118"/>
      <c r="U96" s="118"/>
    </row>
    <row r="97" spans="1:34" x14ac:dyDescent="0.2">
      <c r="A97" s="10"/>
      <c r="B97" s="185"/>
      <c r="C97" s="111" t="s">
        <v>1111</v>
      </c>
      <c r="D97" s="182"/>
      <c r="E97" s="208"/>
      <c r="F97" s="219"/>
      <c r="G97" s="232"/>
      <c r="H97" s="243"/>
      <c r="I97" s="251"/>
      <c r="J97" s="232"/>
      <c r="K97" s="232"/>
      <c r="L97" s="260"/>
      <c r="M97" s="251"/>
      <c r="N97" s="265"/>
      <c r="O97" s="159"/>
      <c r="P97" s="161"/>
      <c r="Q97" s="153">
        <v>0.93600000000000005</v>
      </c>
      <c r="R97" s="163">
        <v>5.0000000000000001E-3</v>
      </c>
      <c r="S97" s="152">
        <v>0</v>
      </c>
      <c r="T97" s="118" t="s">
        <v>487</v>
      </c>
      <c r="U97" s="118"/>
    </row>
    <row r="98" spans="1:34" x14ac:dyDescent="0.2">
      <c r="A98" s="10"/>
      <c r="B98" s="185"/>
      <c r="C98" s="111" t="s">
        <v>159</v>
      </c>
      <c r="D98" s="182"/>
      <c r="E98" s="208"/>
      <c r="F98" s="219"/>
      <c r="G98" s="232"/>
      <c r="H98" s="243"/>
      <c r="I98" s="251"/>
      <c r="J98" s="232"/>
      <c r="K98" s="232"/>
      <c r="L98" s="260"/>
      <c r="M98" s="251"/>
      <c r="N98" s="265"/>
      <c r="O98" s="159"/>
      <c r="P98" s="161"/>
      <c r="Q98" s="153">
        <v>1.008</v>
      </c>
      <c r="R98" s="163">
        <v>5.0000000000000001E-3</v>
      </c>
      <c r="S98" s="152">
        <v>0</v>
      </c>
      <c r="T98" s="118"/>
      <c r="U98" s="118" t="s">
        <v>160</v>
      </c>
    </row>
    <row r="99" spans="1:34" x14ac:dyDescent="0.2">
      <c r="A99" s="10"/>
      <c r="B99" s="185"/>
      <c r="C99" s="111" t="s">
        <v>1112</v>
      </c>
      <c r="D99" s="182"/>
      <c r="E99" s="208"/>
      <c r="F99" s="219"/>
      <c r="G99" s="232"/>
      <c r="H99" s="243"/>
      <c r="I99" s="251"/>
      <c r="J99" s="232"/>
      <c r="K99" s="232"/>
      <c r="L99" s="260"/>
      <c r="M99" s="251"/>
      <c r="N99" s="265"/>
      <c r="O99" s="159"/>
      <c r="P99" s="161"/>
      <c r="Q99" s="153">
        <v>2.0122857142857145</v>
      </c>
      <c r="R99" s="163">
        <v>5.0000000000000001E-3</v>
      </c>
      <c r="S99" s="152">
        <v>0</v>
      </c>
      <c r="T99" s="118" t="s">
        <v>487</v>
      </c>
      <c r="U99" s="133"/>
      <c r="V99"/>
      <c r="W99"/>
      <c r="X99"/>
      <c r="Y99"/>
      <c r="Z99"/>
      <c r="AA99"/>
      <c r="AB99"/>
      <c r="AC99"/>
      <c r="AD99"/>
      <c r="AE99"/>
      <c r="AF99"/>
      <c r="AG99"/>
      <c r="AH99"/>
    </row>
    <row r="100" spans="1:34" x14ac:dyDescent="0.2">
      <c r="A100" s="10"/>
      <c r="B100" s="186"/>
      <c r="C100" s="176" t="s">
        <v>110</v>
      </c>
      <c r="D100" s="182"/>
      <c r="E100" s="208"/>
      <c r="F100" s="219"/>
      <c r="G100" s="232"/>
      <c r="H100" s="243"/>
      <c r="I100" s="251"/>
      <c r="J100" s="232"/>
      <c r="K100" s="232"/>
      <c r="L100" s="260"/>
      <c r="M100" s="251"/>
      <c r="N100" s="265"/>
      <c r="O100" s="159"/>
      <c r="P100" s="161"/>
      <c r="Q100" s="153">
        <v>2.16</v>
      </c>
      <c r="R100" s="163">
        <v>0</v>
      </c>
      <c r="S100" s="152">
        <v>0</v>
      </c>
      <c r="T100" s="118" t="s">
        <v>487</v>
      </c>
      <c r="U100" s="133"/>
      <c r="V100"/>
      <c r="W100"/>
      <c r="X100"/>
      <c r="Y100"/>
      <c r="Z100"/>
      <c r="AA100"/>
      <c r="AB100"/>
      <c r="AC100"/>
      <c r="AD100"/>
      <c r="AE100"/>
      <c r="AF100"/>
      <c r="AG100"/>
      <c r="AH100"/>
    </row>
    <row r="101" spans="1:34" x14ac:dyDescent="0.2">
      <c r="A101" s="10"/>
      <c r="B101" s="186"/>
      <c r="C101" s="176" t="s">
        <v>111</v>
      </c>
      <c r="D101" s="182"/>
      <c r="E101" s="208"/>
      <c r="F101" s="219"/>
      <c r="G101" s="232"/>
      <c r="H101" s="243"/>
      <c r="I101" s="251"/>
      <c r="J101" s="232"/>
      <c r="K101" s="232"/>
      <c r="L101" s="260"/>
      <c r="M101" s="251"/>
      <c r="N101" s="265"/>
      <c r="O101" s="159"/>
      <c r="P101" s="161"/>
      <c r="Q101" s="153">
        <v>0.94</v>
      </c>
      <c r="R101" s="163">
        <v>0</v>
      </c>
      <c r="S101" s="152">
        <v>0</v>
      </c>
      <c r="T101" s="118" t="s">
        <v>487</v>
      </c>
      <c r="U101" s="133"/>
      <c r="V101"/>
      <c r="W101"/>
      <c r="X101"/>
      <c r="Y101"/>
      <c r="Z101"/>
      <c r="AA101"/>
      <c r="AB101"/>
      <c r="AC101"/>
      <c r="AD101"/>
      <c r="AE101"/>
      <c r="AF101"/>
      <c r="AG101"/>
      <c r="AH101"/>
    </row>
    <row r="102" spans="1:34" x14ac:dyDescent="0.2">
      <c r="A102" s="10"/>
      <c r="B102" s="186"/>
      <c r="C102" s="176" t="s">
        <v>112</v>
      </c>
      <c r="D102" s="182"/>
      <c r="E102" s="208"/>
      <c r="F102" s="219"/>
      <c r="G102" s="232"/>
      <c r="H102" s="243"/>
      <c r="I102" s="251"/>
      <c r="J102" s="232"/>
      <c r="K102" s="232"/>
      <c r="L102" s="260"/>
      <c r="M102" s="251"/>
      <c r="N102" s="265"/>
      <c r="O102" s="159"/>
      <c r="P102" s="161"/>
      <c r="Q102" s="153">
        <v>3.6</v>
      </c>
      <c r="R102" s="163">
        <v>0</v>
      </c>
      <c r="S102" s="152">
        <v>0</v>
      </c>
      <c r="T102" s="118" t="s">
        <v>487</v>
      </c>
      <c r="U102" s="133"/>
      <c r="V102"/>
      <c r="W102"/>
      <c r="X102"/>
      <c r="Y102"/>
      <c r="Z102"/>
      <c r="AA102"/>
      <c r="AB102"/>
      <c r="AC102"/>
      <c r="AD102"/>
      <c r="AE102"/>
      <c r="AF102"/>
      <c r="AG102"/>
      <c r="AH102"/>
    </row>
    <row r="103" spans="1:34" x14ac:dyDescent="0.2">
      <c r="A103" s="10"/>
      <c r="B103" s="186"/>
      <c r="C103" s="176" t="s">
        <v>41</v>
      </c>
      <c r="D103" s="182"/>
      <c r="E103" s="208"/>
      <c r="F103" s="219"/>
      <c r="G103" s="232"/>
      <c r="H103" s="243"/>
      <c r="I103" s="251"/>
      <c r="J103" s="232"/>
      <c r="K103" s="232"/>
      <c r="L103" s="260"/>
      <c r="M103" s="251"/>
      <c r="N103" s="265"/>
      <c r="O103" s="159"/>
      <c r="P103" s="161"/>
      <c r="Q103" s="153">
        <v>0.20358000000000001</v>
      </c>
      <c r="R103" s="163">
        <v>2.9999999999999997E-4</v>
      </c>
      <c r="S103" s="152">
        <v>7.2000000000000005E-4</v>
      </c>
      <c r="T103" s="118" t="s">
        <v>487</v>
      </c>
      <c r="U103" s="133"/>
      <c r="V103"/>
      <c r="W103"/>
      <c r="X103"/>
      <c r="Y103"/>
      <c r="Z103"/>
      <c r="AA103"/>
      <c r="AB103"/>
      <c r="AC103"/>
      <c r="AD103"/>
      <c r="AE103"/>
      <c r="AF103"/>
      <c r="AG103"/>
      <c r="AH103"/>
    </row>
    <row r="104" spans="1:34" x14ac:dyDescent="0.2">
      <c r="A104" s="10"/>
      <c r="B104" s="186"/>
      <c r="C104" s="176" t="s">
        <v>181</v>
      </c>
      <c r="D104" s="182"/>
      <c r="E104" s="208"/>
      <c r="F104" s="219"/>
      <c r="G104" s="232"/>
      <c r="H104" s="243"/>
      <c r="I104" s="251"/>
      <c r="J104" s="232"/>
      <c r="K104" s="232"/>
      <c r="L104" s="260"/>
      <c r="M104" s="251"/>
      <c r="N104" s="265"/>
      <c r="O104" s="159"/>
      <c r="P104" s="161"/>
      <c r="Q104" s="153">
        <v>0.12384000000000001</v>
      </c>
      <c r="R104" s="163">
        <v>0</v>
      </c>
      <c r="S104" s="152">
        <v>0</v>
      </c>
      <c r="T104" s="118" t="s">
        <v>487</v>
      </c>
      <c r="U104" s="118"/>
      <c r="V104"/>
      <c r="W104"/>
      <c r="X104"/>
      <c r="Y104"/>
      <c r="Z104"/>
      <c r="AA104"/>
      <c r="AB104"/>
      <c r="AC104"/>
      <c r="AD104"/>
      <c r="AE104"/>
      <c r="AF104"/>
      <c r="AG104"/>
      <c r="AH104"/>
    </row>
    <row r="105" spans="1:34" x14ac:dyDescent="0.2">
      <c r="A105" s="10"/>
      <c r="B105" s="186"/>
      <c r="C105" s="176" t="s">
        <v>42</v>
      </c>
      <c r="D105" s="182"/>
      <c r="E105" s="208"/>
      <c r="F105" s="219"/>
      <c r="G105" s="232"/>
      <c r="H105" s="243"/>
      <c r="I105" s="251"/>
      <c r="J105" s="232"/>
      <c r="K105" s="232"/>
      <c r="L105" s="260"/>
      <c r="M105" s="251"/>
      <c r="N105" s="265"/>
      <c r="O105" s="159"/>
      <c r="P105" s="161"/>
      <c r="Q105" s="153">
        <v>0</v>
      </c>
      <c r="R105" s="163">
        <v>0</v>
      </c>
      <c r="S105" s="152">
        <v>0</v>
      </c>
      <c r="T105" s="118" t="s">
        <v>487</v>
      </c>
      <c r="U105" s="118"/>
      <c r="V105"/>
      <c r="W105"/>
      <c r="X105"/>
      <c r="Y105"/>
      <c r="Z105"/>
      <c r="AA105"/>
      <c r="AB105"/>
      <c r="AC105"/>
      <c r="AD105"/>
      <c r="AE105"/>
      <c r="AF105"/>
      <c r="AG105"/>
      <c r="AH105"/>
    </row>
    <row r="106" spans="1:34" x14ac:dyDescent="0.2">
      <c r="A106" s="10"/>
      <c r="B106" s="186"/>
      <c r="C106" s="177" t="s">
        <v>43</v>
      </c>
      <c r="D106" s="182"/>
      <c r="E106" s="209"/>
      <c r="F106" s="221"/>
      <c r="G106" s="233"/>
      <c r="H106" s="244"/>
      <c r="I106" s="252"/>
      <c r="J106" s="232"/>
      <c r="K106" s="232"/>
      <c r="L106" s="260"/>
      <c r="M106" s="251"/>
      <c r="N106" s="265"/>
      <c r="O106" s="159"/>
      <c r="P106" s="161"/>
      <c r="Q106" s="153">
        <v>0.21</v>
      </c>
      <c r="R106" s="163">
        <v>0</v>
      </c>
      <c r="S106" s="152">
        <v>0</v>
      </c>
      <c r="T106" s="118" t="s">
        <v>487</v>
      </c>
      <c r="U106" s="118"/>
      <c r="V106"/>
      <c r="W106"/>
      <c r="X106"/>
      <c r="Y106"/>
      <c r="Z106"/>
      <c r="AA106"/>
      <c r="AB106"/>
      <c r="AC106"/>
      <c r="AD106"/>
      <c r="AE106"/>
      <c r="AF106"/>
      <c r="AG106"/>
      <c r="AH106"/>
    </row>
    <row r="107" spans="1:34" x14ac:dyDescent="0.2">
      <c r="A107" s="10"/>
      <c r="B107" s="186"/>
      <c r="C107" s="177"/>
      <c r="D107" s="181"/>
      <c r="E107" s="210"/>
      <c r="F107" s="222"/>
      <c r="G107" s="234"/>
      <c r="H107" s="245"/>
      <c r="I107" s="253"/>
      <c r="J107" s="236"/>
      <c r="K107" s="236"/>
      <c r="L107" s="261"/>
      <c r="M107" s="255"/>
      <c r="N107" s="266"/>
      <c r="O107" s="138"/>
      <c r="P107" s="139"/>
      <c r="Q107" s="270"/>
      <c r="R107" s="140"/>
      <c r="S107" s="141"/>
      <c r="T107" s="142"/>
      <c r="U107" s="118"/>
    </row>
    <row r="108" spans="1:34" x14ac:dyDescent="0.2">
      <c r="A108" s="10"/>
      <c r="B108" s="1459" t="s">
        <v>582</v>
      </c>
      <c r="C108" s="1460"/>
      <c r="D108" s="181"/>
      <c r="E108" s="210"/>
      <c r="F108" s="222"/>
      <c r="G108" s="234"/>
      <c r="H108" s="245"/>
      <c r="I108" s="253"/>
      <c r="J108" s="236"/>
      <c r="K108" s="236"/>
      <c r="L108" s="261"/>
      <c r="M108" s="253"/>
      <c r="N108" s="267"/>
      <c r="O108" s="137"/>
      <c r="P108" s="143"/>
      <c r="Q108" s="271"/>
      <c r="R108" s="274"/>
      <c r="S108" s="144"/>
      <c r="T108" s="142"/>
      <c r="U108" s="118"/>
    </row>
    <row r="109" spans="1:34" ht="14.25" x14ac:dyDescent="0.25">
      <c r="A109" s="10"/>
      <c r="B109" s="49"/>
      <c r="C109" s="56" t="s">
        <v>240</v>
      </c>
      <c r="D109" s="182"/>
      <c r="E109" s="211"/>
      <c r="F109" s="223"/>
      <c r="G109" s="235"/>
      <c r="H109" s="246"/>
      <c r="I109" s="254"/>
      <c r="J109" s="152">
        <v>2.7777777777777779E-3</v>
      </c>
      <c r="K109" s="152">
        <v>1.1111111111111111E-3</v>
      </c>
      <c r="L109" s="122">
        <f>I109*$D$10+J109*$D$11+K109*$D$12</f>
        <v>0.40055555555555555</v>
      </c>
      <c r="M109" s="263"/>
      <c r="N109" s="268"/>
      <c r="O109" s="164"/>
      <c r="P109" s="165"/>
      <c r="Q109" s="263"/>
      <c r="R109" s="264"/>
      <c r="S109" s="165"/>
      <c r="T109" s="118" t="s">
        <v>487</v>
      </c>
      <c r="U109" s="118"/>
    </row>
    <row r="110" spans="1:34" ht="14.25" x14ac:dyDescent="0.25">
      <c r="A110" s="10"/>
      <c r="B110" s="49"/>
      <c r="C110" s="56" t="s">
        <v>843</v>
      </c>
      <c r="D110" s="182"/>
      <c r="E110" s="211"/>
      <c r="F110" s="223"/>
      <c r="G110" s="235"/>
      <c r="H110" s="246"/>
      <c r="I110" s="254"/>
      <c r="J110" s="152">
        <v>0</v>
      </c>
      <c r="K110" s="152">
        <v>0</v>
      </c>
      <c r="L110" s="122">
        <f>I110*$D$10+J110*$D$11+K110*$D$12</f>
        <v>0</v>
      </c>
      <c r="M110" s="263"/>
      <c r="N110" s="268"/>
      <c r="O110" s="164"/>
      <c r="P110" s="165"/>
      <c r="Q110" s="263"/>
      <c r="R110" s="264"/>
      <c r="S110" s="165"/>
      <c r="T110" s="118" t="s">
        <v>487</v>
      </c>
      <c r="U110" s="118"/>
    </row>
    <row r="111" spans="1:34" ht="14.25" x14ac:dyDescent="0.25">
      <c r="A111" s="10"/>
      <c r="B111" s="49"/>
      <c r="C111" s="56" t="s">
        <v>914</v>
      </c>
      <c r="D111" s="182"/>
      <c r="E111" s="211"/>
      <c r="F111" s="223"/>
      <c r="G111" s="235"/>
      <c r="H111" s="246"/>
      <c r="I111" s="254"/>
      <c r="J111" s="152">
        <v>2.3055555555555555E-3</v>
      </c>
      <c r="K111" s="152">
        <v>1.2611111111111111E-2</v>
      </c>
      <c r="L111" s="122">
        <f>I111*$D$10+J111*$D$11+K111*$D$12</f>
        <v>3.81575</v>
      </c>
      <c r="M111" s="263"/>
      <c r="N111" s="268"/>
      <c r="O111" s="164"/>
      <c r="P111" s="165"/>
      <c r="Q111" s="263"/>
      <c r="R111" s="264"/>
      <c r="S111" s="165"/>
      <c r="T111" s="118" t="s">
        <v>487</v>
      </c>
      <c r="U111" s="118"/>
    </row>
    <row r="112" spans="1:34" ht="14.25" x14ac:dyDescent="0.25">
      <c r="A112" s="10"/>
      <c r="B112" s="49"/>
      <c r="C112" s="56" t="s">
        <v>915</v>
      </c>
      <c r="D112" s="182"/>
      <c r="E112" s="211"/>
      <c r="F112" s="223"/>
      <c r="G112" s="235"/>
      <c r="H112" s="246"/>
      <c r="I112" s="254"/>
      <c r="J112" s="152">
        <v>0</v>
      </c>
      <c r="K112" s="152">
        <v>0</v>
      </c>
      <c r="L112" s="122">
        <f>I112*$D$10+J112*$D$11+K112*$D$12</f>
        <v>0</v>
      </c>
      <c r="M112" s="263"/>
      <c r="N112" s="268"/>
      <c r="O112" s="164"/>
      <c r="P112" s="165"/>
      <c r="Q112" s="263"/>
      <c r="R112" s="264"/>
      <c r="S112" s="165"/>
      <c r="T112" s="118" t="s">
        <v>487</v>
      </c>
      <c r="U112" s="118"/>
    </row>
    <row r="113" spans="1:21" ht="14.25" x14ac:dyDescent="0.25">
      <c r="A113" s="10"/>
      <c r="B113" s="49"/>
      <c r="C113" s="56" t="s">
        <v>580</v>
      </c>
      <c r="D113" s="182"/>
      <c r="E113" s="211"/>
      <c r="F113" s="223"/>
      <c r="G113" s="235"/>
      <c r="H113" s="246"/>
      <c r="I113" s="254"/>
      <c r="J113" s="152">
        <f>0.192/3.6</f>
        <v>5.333333333333333E-2</v>
      </c>
      <c r="K113" s="152">
        <v>0</v>
      </c>
      <c r="L113" s="122">
        <f>I113*$D$10+J113*$D$11+K113*$D$12</f>
        <v>1.3333333333333333</v>
      </c>
      <c r="M113" s="263"/>
      <c r="N113" s="268"/>
      <c r="O113" s="164"/>
      <c r="P113" s="165"/>
      <c r="Q113" s="263"/>
      <c r="R113" s="264"/>
      <c r="S113" s="165"/>
      <c r="T113" s="118" t="s">
        <v>487</v>
      </c>
      <c r="U113" s="118"/>
    </row>
    <row r="114" spans="1:21" x14ac:dyDescent="0.2">
      <c r="A114" s="10"/>
      <c r="B114" s="186"/>
      <c r="C114" s="177"/>
      <c r="D114" s="181"/>
      <c r="E114" s="212"/>
      <c r="F114" s="224"/>
      <c r="G114" s="236"/>
      <c r="H114" s="119"/>
      <c r="I114" s="249"/>
      <c r="J114" s="236"/>
      <c r="K114" s="236"/>
      <c r="L114" s="261"/>
      <c r="M114" s="253"/>
      <c r="N114" s="267"/>
      <c r="O114" s="137"/>
      <c r="P114" s="143"/>
      <c r="Q114" s="272"/>
      <c r="R114" s="145"/>
      <c r="S114" s="146"/>
      <c r="T114" s="142"/>
      <c r="U114" s="118"/>
    </row>
    <row r="115" spans="1:21" x14ac:dyDescent="0.2">
      <c r="A115" s="10"/>
      <c r="B115" s="1461" t="s">
        <v>388</v>
      </c>
      <c r="C115" s="1462"/>
      <c r="D115" s="181"/>
      <c r="E115" s="212"/>
      <c r="F115" s="224"/>
      <c r="G115" s="236"/>
      <c r="H115" s="247"/>
      <c r="I115" s="255"/>
      <c r="J115" s="236"/>
      <c r="K115" s="236"/>
      <c r="L115" s="261"/>
      <c r="M115" s="253"/>
      <c r="N115" s="267"/>
      <c r="O115" s="137"/>
      <c r="P115" s="143"/>
      <c r="Q115" s="271"/>
      <c r="R115" s="274"/>
      <c r="S115" s="144"/>
      <c r="T115" s="142"/>
      <c r="U115" s="118"/>
    </row>
    <row r="116" spans="1:21" x14ac:dyDescent="0.2">
      <c r="A116" s="10"/>
      <c r="B116" s="188"/>
      <c r="C116" s="176" t="s">
        <v>239</v>
      </c>
      <c r="D116" s="182"/>
      <c r="E116" s="208"/>
      <c r="F116" s="219"/>
      <c r="G116" s="232"/>
      <c r="H116" s="243"/>
      <c r="I116" s="153">
        <v>114.48</v>
      </c>
      <c r="J116" s="152">
        <v>0.36788585858585898</v>
      </c>
      <c r="K116" s="152">
        <v>4.9845959595959596E-3</v>
      </c>
      <c r="L116" s="122">
        <f>I116*$D$10+J116*$D$11+K116*$D$12</f>
        <v>125.16255606060608</v>
      </c>
      <c r="M116" s="263"/>
      <c r="N116" s="152">
        <v>2.0510909090909091</v>
      </c>
      <c r="O116" s="164"/>
      <c r="P116" s="165"/>
      <c r="Q116" s="263"/>
      <c r="R116" s="264"/>
      <c r="S116" s="165"/>
      <c r="T116" s="118" t="s">
        <v>487</v>
      </c>
      <c r="U116" s="118"/>
    </row>
    <row r="117" spans="1:21" x14ac:dyDescent="0.2">
      <c r="A117" s="10"/>
      <c r="B117" s="188"/>
      <c r="C117" s="176" t="s">
        <v>383</v>
      </c>
      <c r="D117" s="182"/>
      <c r="E117" s="208"/>
      <c r="F117" s="219"/>
      <c r="G117" s="232"/>
      <c r="H117" s="243"/>
      <c r="I117" s="153">
        <v>-114.48</v>
      </c>
      <c r="J117" s="152">
        <v>-0.36788585858585898</v>
      </c>
      <c r="K117" s="152">
        <v>-4.9845959595959596E-3</v>
      </c>
      <c r="L117" s="122">
        <f>I117*$D$10+J117*$D$11+K117*$D$12</f>
        <v>-125.16255606060608</v>
      </c>
      <c r="M117" s="263"/>
      <c r="N117" s="152">
        <v>2.0510909090909091</v>
      </c>
      <c r="O117" s="164"/>
      <c r="P117" s="165"/>
      <c r="Q117" s="263"/>
      <c r="R117" s="264"/>
      <c r="S117" s="165"/>
      <c r="T117" s="118" t="s">
        <v>487</v>
      </c>
      <c r="U117" s="118"/>
    </row>
    <row r="118" spans="1:21" x14ac:dyDescent="0.2">
      <c r="A118" s="10"/>
      <c r="B118" s="187"/>
      <c r="C118" s="176" t="s">
        <v>384</v>
      </c>
      <c r="D118" s="182"/>
      <c r="E118" s="208"/>
      <c r="F118" s="219"/>
      <c r="G118" s="232"/>
      <c r="H118" s="243"/>
      <c r="I118" s="153">
        <v>-284.77059400000002</v>
      </c>
      <c r="J118" s="152">
        <v>-2.5857055555555598E-2</v>
      </c>
      <c r="K118" s="152">
        <v>-7.7782777777777798E-3</v>
      </c>
      <c r="L118" s="122">
        <f>I118*$D$10+J118*$D$11+K118*$D$12</f>
        <v>-287.73494716666664</v>
      </c>
      <c r="M118" s="263"/>
      <c r="N118" s="152">
        <v>2.4770483999999997</v>
      </c>
      <c r="O118" s="164"/>
      <c r="P118" s="165"/>
      <c r="Q118" s="263"/>
      <c r="R118" s="264"/>
      <c r="S118" s="165"/>
      <c r="T118" s="118" t="s">
        <v>487</v>
      </c>
      <c r="U118" s="118"/>
    </row>
    <row r="119" spans="1:21" x14ac:dyDescent="0.2">
      <c r="A119" s="10"/>
      <c r="B119" s="187"/>
      <c r="C119" s="176" t="s">
        <v>385</v>
      </c>
      <c r="D119" s="182"/>
      <c r="E119" s="208"/>
      <c r="F119" s="219"/>
      <c r="G119" s="232"/>
      <c r="H119" s="243"/>
      <c r="I119" s="153">
        <v>-5.5605764500000001</v>
      </c>
      <c r="J119" s="152">
        <v>-4.2328000000000001E-3</v>
      </c>
      <c r="K119" s="152">
        <v>-1.7636666666666701E-4</v>
      </c>
      <c r="L119" s="122">
        <f>I119*$D$10+J119*$D$11+K119*$D$12</f>
        <v>-5.7189537166666664</v>
      </c>
      <c r="M119" s="254"/>
      <c r="N119" s="152">
        <v>8.0634839999999999E-2</v>
      </c>
      <c r="O119" s="166"/>
      <c r="P119" s="167"/>
      <c r="Q119" s="254"/>
      <c r="R119" s="275"/>
      <c r="S119" s="167"/>
      <c r="T119" s="118" t="s">
        <v>487</v>
      </c>
      <c r="U119" s="118"/>
    </row>
    <row r="120" spans="1:21" x14ac:dyDescent="0.2">
      <c r="A120" s="10"/>
      <c r="B120" s="187"/>
      <c r="C120" s="176" t="s">
        <v>851</v>
      </c>
      <c r="D120" s="182"/>
      <c r="E120" s="208"/>
      <c r="F120" s="219"/>
      <c r="G120" s="232"/>
      <c r="H120" s="243"/>
      <c r="I120" s="153">
        <v>0</v>
      </c>
      <c r="J120" s="152">
        <v>0</v>
      </c>
      <c r="K120" s="152">
        <v>0</v>
      </c>
      <c r="L120" s="122">
        <f>I120*$D$10+J120*$D$11+K120*$D$12</f>
        <v>0</v>
      </c>
      <c r="M120" s="254"/>
      <c r="N120" s="152"/>
      <c r="O120" s="166"/>
      <c r="P120" s="167"/>
      <c r="Q120" s="254"/>
      <c r="R120" s="275"/>
      <c r="S120" s="167"/>
      <c r="T120" s="118"/>
      <c r="U120" s="118"/>
    </row>
    <row r="121" spans="1:21" x14ac:dyDescent="0.2">
      <c r="A121" s="10"/>
      <c r="B121" s="49"/>
      <c r="C121" s="56"/>
      <c r="D121" s="61"/>
      <c r="E121" s="213"/>
      <c r="F121" s="225"/>
      <c r="G121" s="237"/>
      <c r="H121" s="248"/>
      <c r="I121" s="256"/>
      <c r="J121" s="258"/>
      <c r="K121" s="258"/>
      <c r="L121" s="58"/>
      <c r="M121" s="256"/>
      <c r="N121" s="237"/>
      <c r="O121" s="12"/>
      <c r="P121" s="59"/>
      <c r="Q121" s="256"/>
      <c r="R121" s="226"/>
      <c r="S121" s="59"/>
      <c r="T121" s="61"/>
      <c r="U121" s="61"/>
    </row>
    <row r="122" spans="1:21" x14ac:dyDescent="0.2">
      <c r="A122" s="10"/>
      <c r="B122" s="1457" t="s">
        <v>52</v>
      </c>
      <c r="C122" s="1458"/>
      <c r="D122" s="179"/>
      <c r="E122" s="200"/>
      <c r="F122" s="13"/>
      <c r="G122" s="202"/>
      <c r="H122" s="199"/>
      <c r="I122" s="24"/>
      <c r="J122" s="202"/>
      <c r="K122" s="202"/>
      <c r="L122" s="101"/>
      <c r="M122" s="24"/>
      <c r="N122" s="202"/>
      <c r="O122" s="97"/>
      <c r="P122" s="62"/>
      <c r="Q122" s="273"/>
      <c r="R122" s="276"/>
      <c r="S122" s="98"/>
      <c r="T122" s="99"/>
      <c r="U122" s="102"/>
    </row>
    <row r="123" spans="1:21" x14ac:dyDescent="0.2">
      <c r="A123" s="10"/>
      <c r="B123" s="100"/>
      <c r="C123" s="198" t="str">
        <f>IF('User defined standard values'!C9&lt;&gt;"",'User defined standard values'!C9, "")</f>
        <v>Example 1 (diesel from standard values)</v>
      </c>
      <c r="D123" s="102"/>
      <c r="E123" s="200" t="str">
        <f>IF('User defined standard values'!E9&lt;&gt;"",'User defined standard values'!E9, "")</f>
        <v/>
      </c>
      <c r="F123" s="13" t="str">
        <f>IF('User defined standard values'!F9&lt;&gt;"",'User defined standard values'!F9, "")</f>
        <v/>
      </c>
      <c r="G123" s="202" t="str">
        <f>IF('User defined standard values'!G9&lt;&gt;"",'User defined standard values'!G9, "")</f>
        <v/>
      </c>
      <c r="H123" s="199">
        <f>IF('User defined standard values'!H9&lt;&gt;"",'User defined standard values'!H9, "")</f>
        <v>0</v>
      </c>
      <c r="I123" s="24">
        <f>IF('User defined standard values'!I9&lt;&gt;"",'User defined standard values'!I9, "")</f>
        <v>87.638888888888886</v>
      </c>
      <c r="J123" s="202">
        <f>IF('User defined standard values'!J9&lt;&gt;"",'User defined standard values'!J9, "")</f>
        <v>0</v>
      </c>
      <c r="K123" s="202">
        <f>IF('User defined standard values'!K9&lt;&gt;"",'User defined standard values'!K9, "")</f>
        <v>0</v>
      </c>
      <c r="L123" s="101">
        <f>IF('User defined standard values'!L9&lt;&gt;"",'User defined standard values'!L9, "")</f>
        <v>87.638888888888886</v>
      </c>
      <c r="M123" s="13" t="str">
        <f>IF('User defined standard values'!M9&lt;&gt;"",'User defined standard values'!M9, "")</f>
        <v/>
      </c>
      <c r="N123" s="202">
        <f>IF('User defined standard values'!N9&lt;&gt;"",'User defined standard values'!N9, "")</f>
        <v>1.1575</v>
      </c>
      <c r="O123" s="269">
        <f>IF('User defined standard values'!O9&lt;&gt;"",'User defined standard values'!O9, "")</f>
        <v>832</v>
      </c>
      <c r="P123" s="199">
        <f>IF('User defined standard values'!P9&lt;&gt;"",'User defined standard values'!P9, "")</f>
        <v>43.1</v>
      </c>
      <c r="Q123" s="13" t="str">
        <f>IF('User defined standard values'!Q9&lt;&gt;"",'User defined standard values'!Q9, "")</f>
        <v/>
      </c>
      <c r="R123" s="201" t="str">
        <f>IF('User defined standard values'!R9&lt;&gt;"",'User defined standard values'!R9, "")</f>
        <v/>
      </c>
      <c r="S123" s="277" t="str">
        <f>IF('User defined standard values'!S9&lt;&gt;"",'User defined standard values'!S9, "")</f>
        <v/>
      </c>
      <c r="T123" s="99" t="str">
        <f>IF('User defined standard values'!T9&lt;&gt;"",'User defined standard values'!T9, "")</f>
        <v>WTT Appendix 1 (v3) paragraph 2.1 &amp; 3 (Z1)</v>
      </c>
      <c r="U123" s="102" t="str">
        <f>IF('User defined standard values'!U9&lt;&gt;"",'User defined standard values'!U9, "")</f>
        <v/>
      </c>
    </row>
    <row r="124" spans="1:21" x14ac:dyDescent="0.2">
      <c r="A124" s="10"/>
      <c r="B124" s="100"/>
      <c r="C124" s="198" t="str">
        <f>IF('User defined standard values'!C10&lt;&gt;"",'User defined standard values'!C10, "")</f>
        <v>Example 2 (methanol from standard values)</v>
      </c>
      <c r="D124" s="102"/>
      <c r="E124" s="200" t="str">
        <f>IF('User defined standard values'!E10&lt;&gt;"",'User defined standard values'!E10, "")</f>
        <v/>
      </c>
      <c r="F124" s="13" t="str">
        <f>IF('User defined standard values'!F10&lt;&gt;"",'User defined standard values'!F10, "")</f>
        <v/>
      </c>
      <c r="G124" s="202" t="str">
        <f>IF('User defined standard values'!G10&lt;&gt;"",'User defined standard values'!G10, "")</f>
        <v/>
      </c>
      <c r="H124" s="199">
        <f>IF('User defined standard values'!H10&lt;&gt;"",'User defined standard values'!H10, "")</f>
        <v>0</v>
      </c>
      <c r="I124" s="24">
        <f>IF('User defined standard values'!I10&lt;&gt;"",'User defined standard values'!I10, "")</f>
        <v>92.797444444444452</v>
      </c>
      <c r="J124" s="202">
        <f>IF('User defined standard values'!J10&lt;&gt;"",'User defined standard values'!J10, "")</f>
        <v>0.29002777777777777</v>
      </c>
      <c r="K124" s="202">
        <f>IF('User defined standard values'!K10&lt;&gt;"",'User defined standard values'!K10, "")</f>
        <v>3.3333333333333332E-4</v>
      </c>
      <c r="L124" s="101">
        <f>IF('User defined standard values'!L10&lt;&gt;"",'User defined standard values'!L10, "")</f>
        <v>100.14747222222223</v>
      </c>
      <c r="M124" s="13" t="str">
        <f>IF('User defined standard values'!M10&lt;&gt;"",'User defined standard values'!M10, "")</f>
        <v/>
      </c>
      <c r="N124" s="202">
        <f>IF('User defined standard values'!N10&lt;&gt;"",'User defined standard values'!N10, "")</f>
        <v>1.6594</v>
      </c>
      <c r="O124" s="269">
        <f>IF('User defined standard values'!O10&lt;&gt;"",'User defined standard values'!O10, "")</f>
        <v>793</v>
      </c>
      <c r="P124" s="199">
        <f>IF('User defined standard values'!P10&lt;&gt;"",'User defined standard values'!P10, "")</f>
        <v>19.899999999999999</v>
      </c>
      <c r="Q124" s="13" t="str">
        <f>IF('User defined standard values'!Q10&lt;&gt;"",'User defined standard values'!Q10, "")</f>
        <v/>
      </c>
      <c r="R124" s="201" t="str">
        <f>IF('User defined standard values'!R10&lt;&gt;"",'User defined standard values'!R10, "")</f>
        <v/>
      </c>
      <c r="S124" s="277" t="str">
        <f>IF('User defined standard values'!S10&lt;&gt;"",'User defined standard values'!S10, "")</f>
        <v/>
      </c>
      <c r="T124" s="99" t="str">
        <f>IF('User defined standard values'!T10&lt;&gt;"",'User defined standard values'!T10, "")</f>
        <v>WTT Appendix 1 (v3) paragraph 2.1 &amp; 6.1 (GA1)</v>
      </c>
      <c r="U124" s="102" t="str">
        <f>IF('User defined standard values'!U10&lt;&gt;"",'User defined standard values'!U10, "")</f>
        <v/>
      </c>
    </row>
    <row r="125" spans="1:21" x14ac:dyDescent="0.2">
      <c r="A125" s="10"/>
      <c r="B125" s="100"/>
      <c r="C125" s="198" t="str">
        <f>IF('User defined standard values'!C11&lt;&gt;"",'User defined standard values'!C11, "")</f>
        <v>Example 3 (N-fertiliser from standard values)</v>
      </c>
      <c r="D125" s="102"/>
      <c r="E125" s="200">
        <f>IF('User defined standard values'!E11&lt;&gt;"",'User defined standard values'!E11, "")</f>
        <v>2827.0048999999999</v>
      </c>
      <c r="F125" s="13">
        <f>IF('User defined standard values'!F11&lt;&gt;"",'User defined standard values'!F11, "")</f>
        <v>8.6788000000000007</v>
      </c>
      <c r="G125" s="202">
        <f>IF('User defined standard values'!G11&lt;&gt;"",'User defined standard values'!G11, "")</f>
        <v>9.6417999999999999</v>
      </c>
      <c r="H125" s="199">
        <f>IF('User defined standard values'!H11&lt;&gt;"",'User defined standard values'!H11, "")</f>
        <v>5917.2312999999995</v>
      </c>
      <c r="I125" s="24" t="str">
        <f>IF('User defined standard values'!I11&lt;&gt;"",'User defined standard values'!I11, "")</f>
        <v/>
      </c>
      <c r="J125" s="202" t="str">
        <f>IF('User defined standard values'!J11&lt;&gt;"",'User defined standard values'!J11, "")</f>
        <v/>
      </c>
      <c r="K125" s="202" t="str">
        <f>IF('User defined standard values'!K11&lt;&gt;"",'User defined standard values'!K11, "")</f>
        <v/>
      </c>
      <c r="L125" s="101">
        <f>IF('User defined standard values'!L11&lt;&gt;"",'User defined standard values'!L11, "")</f>
        <v>0</v>
      </c>
      <c r="M125" s="13">
        <f>IF('User defined standard values'!M11&lt;&gt;"",'User defined standard values'!M11, "")</f>
        <v>48.990600000000001</v>
      </c>
      <c r="N125" s="202" t="str">
        <f>IF('User defined standard values'!N11&lt;&gt;"",'User defined standard values'!N11, "")</f>
        <v/>
      </c>
      <c r="O125" s="269" t="str">
        <f>IF('User defined standard values'!O11&lt;&gt;"",'User defined standard values'!O11, "")</f>
        <v/>
      </c>
      <c r="P125" s="199" t="str">
        <f>IF('User defined standard values'!P11&lt;&gt;"",'User defined standard values'!P11, "")</f>
        <v/>
      </c>
      <c r="Q125" s="13" t="str">
        <f>IF('User defined standard values'!Q11&lt;&gt;"",'User defined standard values'!Q11, "")</f>
        <v/>
      </c>
      <c r="R125" s="201" t="str">
        <f>IF('User defined standard values'!R11&lt;&gt;"",'User defined standard values'!R11, "")</f>
        <v/>
      </c>
      <c r="S125" s="277" t="str">
        <f>IF('User defined standard values'!S11&lt;&gt;"",'User defined standard values'!S11, "")</f>
        <v/>
      </c>
      <c r="T125" s="99" t="str">
        <f>IF('User defined standard values'!T11&lt;&gt;"",'User defined standard values'!T11, "")</f>
        <v/>
      </c>
      <c r="U125" s="102" t="str">
        <f>IF('User defined standard values'!U11&lt;&gt;"",'User defined standard values'!U11, "")</f>
        <v/>
      </c>
    </row>
    <row r="126" spans="1:21" x14ac:dyDescent="0.2">
      <c r="A126" s="10"/>
      <c r="B126" s="100"/>
      <c r="C126" s="198" t="str">
        <f>IF('User defined standard values'!C12&lt;&gt;"",'User defined standard values'!C12, "")</f>
        <v>Example 4 (Average electricity mix in Malta)</v>
      </c>
      <c r="D126" s="102"/>
      <c r="E126" s="200" t="str">
        <f>IF('User defined standard values'!E12&lt;&gt;"",'User defined standard values'!E12, "")</f>
        <v/>
      </c>
      <c r="F126" s="13" t="str">
        <f>IF('User defined standard values'!F12&lt;&gt;"",'User defined standard values'!F12, "")</f>
        <v/>
      </c>
      <c r="G126" s="202" t="str">
        <f>IF('User defined standard values'!G12&lt;&gt;"",'User defined standard values'!G12, "")</f>
        <v/>
      </c>
      <c r="H126" s="199">
        <f>IF('User defined standard values'!H12&lt;&gt;"",'User defined standard values'!H12, "")</f>
        <v>0</v>
      </c>
      <c r="I126" s="24">
        <f>IF('User defined standard values'!I12&lt;&gt;"",'User defined standard values'!I12, "")</f>
        <v>292.51906369859699</v>
      </c>
      <c r="J126" s="202">
        <f>IF('User defined standard values'!J12&lt;&gt;"",'User defined standard values'!J12, "")</f>
        <v>0.23866379237031363</v>
      </c>
      <c r="K126" s="202">
        <f>IF('User defined standard values'!K12&lt;&gt;"",'User defined standard values'!K12, "")</f>
        <v>5.1089144424481814E-3</v>
      </c>
      <c r="L126" s="101">
        <f>IF('User defined standard values'!L12&lt;&gt;"",'User defined standard values'!L12, "")</f>
        <v>300.00811501170443</v>
      </c>
      <c r="M126" s="13" t="str">
        <f>IF('User defined standard values'!M12&lt;&gt;"",'User defined standard values'!M12, "")</f>
        <v/>
      </c>
      <c r="N126" s="202" t="str">
        <f>IF('User defined standard values'!N12&lt;&gt;"",'User defined standard values'!N12, "")</f>
        <v/>
      </c>
      <c r="O126" s="269" t="str">
        <f>IF('User defined standard values'!O12&lt;&gt;"",'User defined standard values'!O12, "")</f>
        <v/>
      </c>
      <c r="P126" s="199" t="str">
        <f>IF('User defined standard values'!P12&lt;&gt;"",'User defined standard values'!P12, "")</f>
        <v/>
      </c>
      <c r="Q126" s="13" t="str">
        <f>IF('User defined standard values'!Q12&lt;&gt;"",'User defined standard values'!Q12, "")</f>
        <v/>
      </c>
      <c r="R126" s="201" t="str">
        <f>IF('User defined standard values'!R12&lt;&gt;"",'User defined standard values'!R12, "")</f>
        <v/>
      </c>
      <c r="S126" s="277" t="str">
        <f>IF('User defined standard values'!S12&lt;&gt;"",'User defined standard values'!S12, "")</f>
        <v/>
      </c>
      <c r="T126" s="99" t="str">
        <f>IF('User defined standard values'!T12&lt;&gt;"",'User defined standard values'!T12, "")</f>
        <v xml:space="preserve">Internal LCA studies on chemical production, 2009. </v>
      </c>
      <c r="U126" s="102" t="str">
        <f>IF('User defined standard values'!U12&lt;&gt;"",'User defined standard values'!U12, "")</f>
        <v>Carried by …, review by …, representatif of ….</v>
      </c>
    </row>
    <row r="127" spans="1:21" x14ac:dyDescent="0.2">
      <c r="A127" s="10"/>
      <c r="B127" s="100"/>
      <c r="C127" s="198" t="str">
        <f>IF('User defined standard values'!C13&lt;&gt;"",'User defined standard values'!C13, "")</f>
        <v/>
      </c>
      <c r="D127" s="102"/>
      <c r="E127" s="200" t="str">
        <f>IF('User defined standard values'!E13&lt;&gt;"",'User defined standard values'!E13, "")</f>
        <v/>
      </c>
      <c r="F127" s="13" t="str">
        <f>IF('User defined standard values'!F13&lt;&gt;"",'User defined standard values'!F13, "")</f>
        <v/>
      </c>
      <c r="G127" s="202" t="str">
        <f>IF('User defined standard values'!G13&lt;&gt;"",'User defined standard values'!G13, "")</f>
        <v/>
      </c>
      <c r="H127" s="199">
        <f>IF('User defined standard values'!H13&lt;&gt;"",'User defined standard values'!H13, "")</f>
        <v>0</v>
      </c>
      <c r="I127" s="24" t="str">
        <f>IF('User defined standard values'!I13&lt;&gt;"",'User defined standard values'!I13, "")</f>
        <v/>
      </c>
      <c r="J127" s="202" t="str">
        <f>IF('User defined standard values'!J13&lt;&gt;"",'User defined standard values'!J13, "")</f>
        <v/>
      </c>
      <c r="K127" s="202" t="str">
        <f>IF('User defined standard values'!K13&lt;&gt;"",'User defined standard values'!K13, "")</f>
        <v/>
      </c>
      <c r="L127" s="101">
        <f>IF('User defined standard values'!L13&lt;&gt;"",'User defined standard values'!L13, "")</f>
        <v>0</v>
      </c>
      <c r="M127" s="13" t="str">
        <f>IF('User defined standard values'!M13&lt;&gt;"",'User defined standard values'!M13, "")</f>
        <v/>
      </c>
      <c r="N127" s="202" t="str">
        <f>IF('User defined standard values'!N13&lt;&gt;"",'User defined standard values'!N13, "")</f>
        <v/>
      </c>
      <c r="O127" s="269" t="str">
        <f>IF('User defined standard values'!O13&lt;&gt;"",'User defined standard values'!O13, "")</f>
        <v/>
      </c>
      <c r="P127" s="199" t="str">
        <f>IF('User defined standard values'!P13&lt;&gt;"",'User defined standard values'!P13, "")</f>
        <v/>
      </c>
      <c r="Q127" s="13" t="str">
        <f>IF('User defined standard values'!Q13&lt;&gt;"",'User defined standard values'!Q13, "")</f>
        <v/>
      </c>
      <c r="R127" s="201" t="str">
        <f>IF('User defined standard values'!R13&lt;&gt;"",'User defined standard values'!R13, "")</f>
        <v/>
      </c>
      <c r="S127" s="277" t="str">
        <f>IF('User defined standard values'!S13&lt;&gt;"",'User defined standard values'!S13, "")</f>
        <v/>
      </c>
      <c r="T127" s="99" t="str">
        <f>IF('User defined standard values'!T13&lt;&gt;"",'User defined standard values'!T13, "")</f>
        <v/>
      </c>
      <c r="U127" s="102" t="str">
        <f>IF('User defined standard values'!U13&lt;&gt;"",'User defined standard values'!U13, "")</f>
        <v/>
      </c>
    </row>
    <row r="128" spans="1:21" x14ac:dyDescent="0.2">
      <c r="A128" s="10"/>
      <c r="B128" s="100"/>
      <c r="C128" s="198" t="str">
        <f>IF('User defined standard values'!C14&lt;&gt;"",'User defined standard values'!C14, "")</f>
        <v/>
      </c>
      <c r="D128" s="102"/>
      <c r="E128" s="200" t="str">
        <f>IF('User defined standard values'!E14&lt;&gt;"",'User defined standard values'!E14, "")</f>
        <v/>
      </c>
      <c r="F128" s="13" t="str">
        <f>IF('User defined standard values'!F14&lt;&gt;"",'User defined standard values'!F14, "")</f>
        <v/>
      </c>
      <c r="G128" s="202" t="str">
        <f>IF('User defined standard values'!G14&lt;&gt;"",'User defined standard values'!G14, "")</f>
        <v/>
      </c>
      <c r="H128" s="199">
        <f>IF('User defined standard values'!H14&lt;&gt;"",'User defined standard values'!H14, "")</f>
        <v>0</v>
      </c>
      <c r="I128" s="24" t="str">
        <f>IF('User defined standard values'!I14&lt;&gt;"",'User defined standard values'!I14, "")</f>
        <v/>
      </c>
      <c r="J128" s="202" t="str">
        <f>IF('User defined standard values'!J14&lt;&gt;"",'User defined standard values'!J14, "")</f>
        <v/>
      </c>
      <c r="K128" s="202" t="str">
        <f>IF('User defined standard values'!K14&lt;&gt;"",'User defined standard values'!K14, "")</f>
        <v/>
      </c>
      <c r="L128" s="101">
        <f>IF('User defined standard values'!L14&lt;&gt;"",'User defined standard values'!L14, "")</f>
        <v>0</v>
      </c>
      <c r="M128" s="13" t="str">
        <f>IF('User defined standard values'!M14&lt;&gt;"",'User defined standard values'!M14, "")</f>
        <v/>
      </c>
      <c r="N128" s="202" t="str">
        <f>IF('User defined standard values'!N14&lt;&gt;"",'User defined standard values'!N14, "")</f>
        <v/>
      </c>
      <c r="O128" s="269" t="str">
        <f>IF('User defined standard values'!O14&lt;&gt;"",'User defined standard values'!O14, "")</f>
        <v/>
      </c>
      <c r="P128" s="199" t="str">
        <f>IF('User defined standard values'!P14&lt;&gt;"",'User defined standard values'!P14, "")</f>
        <v/>
      </c>
      <c r="Q128" s="13" t="str">
        <f>IF('User defined standard values'!Q14&lt;&gt;"",'User defined standard values'!Q14, "")</f>
        <v/>
      </c>
      <c r="R128" s="201" t="str">
        <f>IF('User defined standard values'!R14&lt;&gt;"",'User defined standard values'!R14, "")</f>
        <v/>
      </c>
      <c r="S128" s="277" t="str">
        <f>IF('User defined standard values'!S14&lt;&gt;"",'User defined standard values'!S14, "")</f>
        <v/>
      </c>
      <c r="T128" s="99" t="str">
        <f>IF('User defined standard values'!T14&lt;&gt;"",'User defined standard values'!T14, "")</f>
        <v/>
      </c>
      <c r="U128" s="102" t="str">
        <f>IF('User defined standard values'!U14&lt;&gt;"",'User defined standard values'!U14, "")</f>
        <v/>
      </c>
    </row>
    <row r="129" spans="1:21" x14ac:dyDescent="0.2">
      <c r="A129" s="10"/>
      <c r="B129" s="100"/>
      <c r="C129" s="198" t="str">
        <f>IF('User defined standard values'!C15&lt;&gt;"",'User defined standard values'!C15, "")</f>
        <v/>
      </c>
      <c r="D129" s="102"/>
      <c r="E129" s="200" t="str">
        <f>IF('User defined standard values'!E15&lt;&gt;"",'User defined standard values'!E15, "")</f>
        <v/>
      </c>
      <c r="F129" s="13" t="str">
        <f>IF('User defined standard values'!F15&lt;&gt;"",'User defined standard values'!F15, "")</f>
        <v/>
      </c>
      <c r="G129" s="202" t="str">
        <f>IF('User defined standard values'!G15&lt;&gt;"",'User defined standard values'!G15, "")</f>
        <v/>
      </c>
      <c r="H129" s="199">
        <f>IF('User defined standard values'!H15&lt;&gt;"",'User defined standard values'!H15, "")</f>
        <v>0</v>
      </c>
      <c r="I129" s="24" t="str">
        <f>IF('User defined standard values'!I15&lt;&gt;"",'User defined standard values'!I15, "")</f>
        <v/>
      </c>
      <c r="J129" s="202" t="str">
        <f>IF('User defined standard values'!J15&lt;&gt;"",'User defined standard values'!J15, "")</f>
        <v/>
      </c>
      <c r="K129" s="202" t="str">
        <f>IF('User defined standard values'!K15&lt;&gt;"",'User defined standard values'!K15, "")</f>
        <v/>
      </c>
      <c r="L129" s="101">
        <f>IF('User defined standard values'!L15&lt;&gt;"",'User defined standard values'!L15, "")</f>
        <v>0</v>
      </c>
      <c r="M129" s="13" t="str">
        <f>IF('User defined standard values'!M15&lt;&gt;"",'User defined standard values'!M15, "")</f>
        <v/>
      </c>
      <c r="N129" s="202" t="str">
        <f>IF('User defined standard values'!N15&lt;&gt;"",'User defined standard values'!N15, "")</f>
        <v/>
      </c>
      <c r="O129" s="269" t="str">
        <f>IF('User defined standard values'!O15&lt;&gt;"",'User defined standard values'!O15, "")</f>
        <v/>
      </c>
      <c r="P129" s="199" t="str">
        <f>IF('User defined standard values'!P15&lt;&gt;"",'User defined standard values'!P15, "")</f>
        <v/>
      </c>
      <c r="Q129" s="13" t="str">
        <f>IF('User defined standard values'!Q15&lt;&gt;"",'User defined standard values'!Q15, "")</f>
        <v/>
      </c>
      <c r="R129" s="201" t="str">
        <f>IF('User defined standard values'!R15&lt;&gt;"",'User defined standard values'!R15, "")</f>
        <v/>
      </c>
      <c r="S129" s="277" t="str">
        <f>IF('User defined standard values'!S15&lt;&gt;"",'User defined standard values'!S15, "")</f>
        <v/>
      </c>
      <c r="T129" s="99" t="str">
        <f>IF('User defined standard values'!T15&lt;&gt;"",'User defined standard values'!T15, "")</f>
        <v/>
      </c>
      <c r="U129" s="102" t="str">
        <f>IF('User defined standard values'!U15&lt;&gt;"",'User defined standard values'!U15, "")</f>
        <v/>
      </c>
    </row>
    <row r="130" spans="1:21" x14ac:dyDescent="0.2">
      <c r="A130" s="10"/>
      <c r="B130" s="100"/>
      <c r="C130" s="198" t="str">
        <f>IF('User defined standard values'!C16&lt;&gt;"",'User defined standard values'!C16, "")</f>
        <v/>
      </c>
      <c r="D130" s="102"/>
      <c r="E130" s="200" t="str">
        <f>IF('User defined standard values'!E16&lt;&gt;"",'User defined standard values'!E16, "")</f>
        <v/>
      </c>
      <c r="F130" s="13" t="str">
        <f>IF('User defined standard values'!F16&lt;&gt;"",'User defined standard values'!F16, "")</f>
        <v/>
      </c>
      <c r="G130" s="202" t="str">
        <f>IF('User defined standard values'!G16&lt;&gt;"",'User defined standard values'!G16, "")</f>
        <v/>
      </c>
      <c r="H130" s="199">
        <f>IF('User defined standard values'!H16&lt;&gt;"",'User defined standard values'!H16, "")</f>
        <v>0</v>
      </c>
      <c r="I130" s="24" t="str">
        <f>IF('User defined standard values'!I16&lt;&gt;"",'User defined standard values'!I16, "")</f>
        <v/>
      </c>
      <c r="J130" s="202" t="str">
        <f>IF('User defined standard values'!J16&lt;&gt;"",'User defined standard values'!J16, "")</f>
        <v/>
      </c>
      <c r="K130" s="202" t="str">
        <f>IF('User defined standard values'!K16&lt;&gt;"",'User defined standard values'!K16, "")</f>
        <v/>
      </c>
      <c r="L130" s="101">
        <f>IF('User defined standard values'!L16&lt;&gt;"",'User defined standard values'!L16, "")</f>
        <v>0</v>
      </c>
      <c r="M130" s="13" t="str">
        <f>IF('User defined standard values'!M16&lt;&gt;"",'User defined standard values'!M16, "")</f>
        <v/>
      </c>
      <c r="N130" s="202" t="str">
        <f>IF('User defined standard values'!N16&lt;&gt;"",'User defined standard values'!N16, "")</f>
        <v/>
      </c>
      <c r="O130" s="269" t="str">
        <f>IF('User defined standard values'!O16&lt;&gt;"",'User defined standard values'!O16, "")</f>
        <v/>
      </c>
      <c r="P130" s="199" t="str">
        <f>IF('User defined standard values'!P16&lt;&gt;"",'User defined standard values'!P16, "")</f>
        <v/>
      </c>
      <c r="Q130" s="13" t="str">
        <f>IF('User defined standard values'!Q16&lt;&gt;"",'User defined standard values'!Q16, "")</f>
        <v/>
      </c>
      <c r="R130" s="201" t="str">
        <f>IF('User defined standard values'!R16&lt;&gt;"",'User defined standard values'!R16, "")</f>
        <v/>
      </c>
      <c r="S130" s="277" t="str">
        <f>IF('User defined standard values'!S16&lt;&gt;"",'User defined standard values'!S16, "")</f>
        <v/>
      </c>
      <c r="T130" s="99" t="str">
        <f>IF('User defined standard values'!T16&lt;&gt;"",'User defined standard values'!T16, "")</f>
        <v/>
      </c>
      <c r="U130" s="102" t="str">
        <f>IF('User defined standard values'!U16&lt;&gt;"",'User defined standard values'!U16, "")</f>
        <v/>
      </c>
    </row>
    <row r="131" spans="1:21" x14ac:dyDescent="0.2">
      <c r="A131" s="10"/>
      <c r="B131" s="100"/>
      <c r="C131" s="198" t="str">
        <f>IF('User defined standard values'!C17&lt;&gt;"",'User defined standard values'!C17, "")</f>
        <v/>
      </c>
      <c r="D131" s="102"/>
      <c r="E131" s="200" t="str">
        <f>IF('User defined standard values'!E17&lt;&gt;"",'User defined standard values'!E17, "")</f>
        <v/>
      </c>
      <c r="F131" s="13" t="str">
        <f>IF('User defined standard values'!F17&lt;&gt;"",'User defined standard values'!F17, "")</f>
        <v/>
      </c>
      <c r="G131" s="202" t="str">
        <f>IF('User defined standard values'!G17&lt;&gt;"",'User defined standard values'!G17, "")</f>
        <v/>
      </c>
      <c r="H131" s="199">
        <f>IF('User defined standard values'!H17&lt;&gt;"",'User defined standard values'!H17, "")</f>
        <v>0</v>
      </c>
      <c r="I131" s="24" t="str">
        <f>IF('User defined standard values'!I17&lt;&gt;"",'User defined standard values'!I17, "")</f>
        <v/>
      </c>
      <c r="J131" s="202" t="str">
        <f>IF('User defined standard values'!J17&lt;&gt;"",'User defined standard values'!J17, "")</f>
        <v/>
      </c>
      <c r="K131" s="202" t="str">
        <f>IF('User defined standard values'!K17&lt;&gt;"",'User defined standard values'!K17, "")</f>
        <v/>
      </c>
      <c r="L131" s="101">
        <f>IF('User defined standard values'!L17&lt;&gt;"",'User defined standard values'!L17, "")</f>
        <v>0</v>
      </c>
      <c r="M131" s="13" t="str">
        <f>IF('User defined standard values'!M17&lt;&gt;"",'User defined standard values'!M17, "")</f>
        <v/>
      </c>
      <c r="N131" s="202" t="str">
        <f>IF('User defined standard values'!N17&lt;&gt;"",'User defined standard values'!N17, "")</f>
        <v/>
      </c>
      <c r="O131" s="269" t="str">
        <f>IF('User defined standard values'!O17&lt;&gt;"",'User defined standard values'!O17, "")</f>
        <v/>
      </c>
      <c r="P131" s="199" t="str">
        <f>IF('User defined standard values'!P17&lt;&gt;"",'User defined standard values'!P17, "")</f>
        <v/>
      </c>
      <c r="Q131" s="13" t="str">
        <f>IF('User defined standard values'!Q17&lt;&gt;"",'User defined standard values'!Q17, "")</f>
        <v/>
      </c>
      <c r="R131" s="201" t="str">
        <f>IF('User defined standard values'!R17&lt;&gt;"",'User defined standard values'!R17, "")</f>
        <v/>
      </c>
      <c r="S131" s="277" t="str">
        <f>IF('User defined standard values'!S17&lt;&gt;"",'User defined standard values'!S17, "")</f>
        <v/>
      </c>
      <c r="T131" s="99" t="str">
        <f>IF('User defined standard values'!T17&lt;&gt;"",'User defined standard values'!T17, "")</f>
        <v/>
      </c>
      <c r="U131" s="102" t="str">
        <f>IF('User defined standard values'!U17&lt;&gt;"",'User defined standard values'!U17, "")</f>
        <v/>
      </c>
    </row>
    <row r="132" spans="1:21" x14ac:dyDescent="0.2">
      <c r="A132" s="10"/>
      <c r="B132" s="100"/>
      <c r="C132" s="198" t="str">
        <f>IF('User defined standard values'!C18&lt;&gt;"",'User defined standard values'!C18, "")</f>
        <v/>
      </c>
      <c r="D132" s="102"/>
      <c r="E132" s="200" t="str">
        <f>IF('User defined standard values'!E18&lt;&gt;"",'User defined standard values'!E18, "")</f>
        <v/>
      </c>
      <c r="F132" s="13" t="str">
        <f>IF('User defined standard values'!F18&lt;&gt;"",'User defined standard values'!F18, "")</f>
        <v/>
      </c>
      <c r="G132" s="202" t="str">
        <f>IF('User defined standard values'!G18&lt;&gt;"",'User defined standard values'!G18, "")</f>
        <v/>
      </c>
      <c r="H132" s="199">
        <f>IF('User defined standard values'!H18&lt;&gt;"",'User defined standard values'!H18, "")</f>
        <v>0</v>
      </c>
      <c r="I132" s="24" t="str">
        <f>IF('User defined standard values'!I18&lt;&gt;"",'User defined standard values'!I18, "")</f>
        <v/>
      </c>
      <c r="J132" s="202" t="str">
        <f>IF('User defined standard values'!J18&lt;&gt;"",'User defined standard values'!J18, "")</f>
        <v/>
      </c>
      <c r="K132" s="202" t="str">
        <f>IF('User defined standard values'!K18&lt;&gt;"",'User defined standard values'!K18, "")</f>
        <v/>
      </c>
      <c r="L132" s="101">
        <f>IF('User defined standard values'!L18&lt;&gt;"",'User defined standard values'!L18, "")</f>
        <v>0</v>
      </c>
      <c r="M132" s="13" t="str">
        <f>IF('User defined standard values'!M18&lt;&gt;"",'User defined standard values'!M18, "")</f>
        <v/>
      </c>
      <c r="N132" s="202" t="str">
        <f>IF('User defined standard values'!N18&lt;&gt;"",'User defined standard values'!N18, "")</f>
        <v/>
      </c>
      <c r="O132" s="269" t="str">
        <f>IF('User defined standard values'!O18&lt;&gt;"",'User defined standard values'!O18, "")</f>
        <v/>
      </c>
      <c r="P132" s="199" t="str">
        <f>IF('User defined standard values'!P18&lt;&gt;"",'User defined standard values'!P18, "")</f>
        <v/>
      </c>
      <c r="Q132" s="13" t="str">
        <f>IF('User defined standard values'!Q18&lt;&gt;"",'User defined standard values'!Q18, "")</f>
        <v/>
      </c>
      <c r="R132" s="201" t="str">
        <f>IF('User defined standard values'!R18&lt;&gt;"",'User defined standard values'!R18, "")</f>
        <v/>
      </c>
      <c r="S132" s="277" t="str">
        <f>IF('User defined standard values'!S18&lt;&gt;"",'User defined standard values'!S18, "")</f>
        <v/>
      </c>
      <c r="T132" s="99" t="str">
        <f>IF('User defined standard values'!T18&lt;&gt;"",'User defined standard values'!T18, "")</f>
        <v/>
      </c>
      <c r="U132" s="102" t="str">
        <f>IF('User defined standard values'!U18&lt;&gt;"",'User defined standard values'!U18, "")</f>
        <v/>
      </c>
    </row>
    <row r="133" spans="1:21" x14ac:dyDescent="0.2">
      <c r="A133" s="10"/>
      <c r="B133" s="100"/>
      <c r="C133" s="198" t="str">
        <f>IF('User defined standard values'!C19&lt;&gt;"",'User defined standard values'!C19, "")</f>
        <v/>
      </c>
      <c r="D133" s="102"/>
      <c r="E133" s="200" t="str">
        <f>IF('User defined standard values'!E19&lt;&gt;"",'User defined standard values'!E19, "")</f>
        <v/>
      </c>
      <c r="F133" s="13" t="str">
        <f>IF('User defined standard values'!F19&lt;&gt;"",'User defined standard values'!F19, "")</f>
        <v/>
      </c>
      <c r="G133" s="202" t="str">
        <f>IF('User defined standard values'!G19&lt;&gt;"",'User defined standard values'!G19, "")</f>
        <v/>
      </c>
      <c r="H133" s="199">
        <f>IF('User defined standard values'!H19&lt;&gt;"",'User defined standard values'!H19, "")</f>
        <v>0</v>
      </c>
      <c r="I133" s="24" t="str">
        <f>IF('User defined standard values'!I19&lt;&gt;"",'User defined standard values'!I19, "")</f>
        <v/>
      </c>
      <c r="J133" s="202" t="str">
        <f>IF('User defined standard values'!J19&lt;&gt;"",'User defined standard values'!J19, "")</f>
        <v/>
      </c>
      <c r="K133" s="202" t="str">
        <f>IF('User defined standard values'!K19&lt;&gt;"",'User defined standard values'!K19, "")</f>
        <v/>
      </c>
      <c r="L133" s="101">
        <f>IF('User defined standard values'!L19&lt;&gt;"",'User defined standard values'!L19, "")</f>
        <v>0</v>
      </c>
      <c r="M133" s="13" t="str">
        <f>IF('User defined standard values'!M19&lt;&gt;"",'User defined standard values'!M19, "")</f>
        <v/>
      </c>
      <c r="N133" s="202" t="str">
        <f>IF('User defined standard values'!N19&lt;&gt;"",'User defined standard values'!N19, "")</f>
        <v/>
      </c>
      <c r="O133" s="269" t="str">
        <f>IF('User defined standard values'!O19&lt;&gt;"",'User defined standard values'!O19, "")</f>
        <v/>
      </c>
      <c r="P133" s="199" t="str">
        <f>IF('User defined standard values'!P19&lt;&gt;"",'User defined standard values'!P19, "")</f>
        <v/>
      </c>
      <c r="Q133" s="13" t="str">
        <f>IF('User defined standard values'!Q19&lt;&gt;"",'User defined standard values'!Q19, "")</f>
        <v/>
      </c>
      <c r="R133" s="201" t="str">
        <f>IF('User defined standard values'!R19&lt;&gt;"",'User defined standard values'!R19, "")</f>
        <v/>
      </c>
      <c r="S133" s="277" t="str">
        <f>IF('User defined standard values'!S19&lt;&gt;"",'User defined standard values'!S19, "")</f>
        <v/>
      </c>
      <c r="T133" s="99" t="str">
        <f>IF('User defined standard values'!T19&lt;&gt;"",'User defined standard values'!T19, "")</f>
        <v/>
      </c>
      <c r="U133" s="102" t="str">
        <f>IF('User defined standard values'!U19&lt;&gt;"",'User defined standard values'!U19, "")</f>
        <v/>
      </c>
    </row>
    <row r="134" spans="1:21" x14ac:dyDescent="0.2">
      <c r="A134" s="10"/>
      <c r="B134" s="100"/>
      <c r="C134" s="198" t="str">
        <f>IF('User defined standard values'!C20&lt;&gt;"",'User defined standard values'!C20, "")</f>
        <v/>
      </c>
      <c r="D134" s="102"/>
      <c r="E134" s="200" t="str">
        <f>IF('User defined standard values'!E20&lt;&gt;"",'User defined standard values'!E20, "")</f>
        <v/>
      </c>
      <c r="F134" s="13" t="str">
        <f>IF('User defined standard values'!F20&lt;&gt;"",'User defined standard values'!F20, "")</f>
        <v/>
      </c>
      <c r="G134" s="202" t="str">
        <f>IF('User defined standard values'!G20&lt;&gt;"",'User defined standard values'!G20, "")</f>
        <v/>
      </c>
      <c r="H134" s="199">
        <f>IF('User defined standard values'!H20&lt;&gt;"",'User defined standard values'!H20, "")</f>
        <v>0</v>
      </c>
      <c r="I134" s="24" t="str">
        <f>IF('User defined standard values'!I20&lt;&gt;"",'User defined standard values'!I20, "")</f>
        <v/>
      </c>
      <c r="J134" s="202" t="str">
        <f>IF('User defined standard values'!J20&lt;&gt;"",'User defined standard values'!J20, "")</f>
        <v/>
      </c>
      <c r="K134" s="202" t="str">
        <f>IF('User defined standard values'!K20&lt;&gt;"",'User defined standard values'!K20, "")</f>
        <v/>
      </c>
      <c r="L134" s="101">
        <f>IF('User defined standard values'!L20&lt;&gt;"",'User defined standard values'!L20, "")</f>
        <v>0</v>
      </c>
      <c r="M134" s="13" t="str">
        <f>IF('User defined standard values'!M20&lt;&gt;"",'User defined standard values'!M20, "")</f>
        <v/>
      </c>
      <c r="N134" s="202" t="str">
        <f>IF('User defined standard values'!N20&lt;&gt;"",'User defined standard values'!N20, "")</f>
        <v/>
      </c>
      <c r="O134" s="269" t="str">
        <f>IF('User defined standard values'!O20&lt;&gt;"",'User defined standard values'!O20, "")</f>
        <v/>
      </c>
      <c r="P134" s="199" t="str">
        <f>IF('User defined standard values'!P20&lt;&gt;"",'User defined standard values'!P20, "")</f>
        <v/>
      </c>
      <c r="Q134" s="13" t="str">
        <f>IF('User defined standard values'!Q20&lt;&gt;"",'User defined standard values'!Q20, "")</f>
        <v/>
      </c>
      <c r="R134" s="201" t="str">
        <f>IF('User defined standard values'!R20&lt;&gt;"",'User defined standard values'!R20, "")</f>
        <v/>
      </c>
      <c r="S134" s="277" t="str">
        <f>IF('User defined standard values'!S20&lt;&gt;"",'User defined standard values'!S20, "")</f>
        <v/>
      </c>
      <c r="T134" s="99" t="str">
        <f>IF('User defined standard values'!T20&lt;&gt;"",'User defined standard values'!T20, "")</f>
        <v/>
      </c>
      <c r="U134" s="102" t="str">
        <f>IF('User defined standard values'!U20&lt;&gt;"",'User defined standard values'!U20, "")</f>
        <v/>
      </c>
    </row>
    <row r="135" spans="1:21" x14ac:dyDescent="0.2">
      <c r="A135" s="10"/>
      <c r="B135" s="100"/>
      <c r="C135" s="198" t="str">
        <f>IF('User defined standard values'!C21&lt;&gt;"",'User defined standard values'!C21, "")</f>
        <v/>
      </c>
      <c r="D135" s="102"/>
      <c r="E135" s="200" t="str">
        <f>IF('User defined standard values'!E21&lt;&gt;"",'User defined standard values'!E21, "")</f>
        <v/>
      </c>
      <c r="F135" s="13" t="str">
        <f>IF('User defined standard values'!F21&lt;&gt;"",'User defined standard values'!F21, "")</f>
        <v/>
      </c>
      <c r="G135" s="202" t="str">
        <f>IF('User defined standard values'!G21&lt;&gt;"",'User defined standard values'!G21, "")</f>
        <v/>
      </c>
      <c r="H135" s="199">
        <f>IF('User defined standard values'!H21&lt;&gt;"",'User defined standard values'!H21, "")</f>
        <v>0</v>
      </c>
      <c r="I135" s="24" t="str">
        <f>IF('User defined standard values'!I21&lt;&gt;"",'User defined standard values'!I21, "")</f>
        <v/>
      </c>
      <c r="J135" s="202" t="str">
        <f>IF('User defined standard values'!J21&lt;&gt;"",'User defined standard values'!J21, "")</f>
        <v/>
      </c>
      <c r="K135" s="202" t="str">
        <f>IF('User defined standard values'!K21&lt;&gt;"",'User defined standard values'!K21, "")</f>
        <v/>
      </c>
      <c r="L135" s="101">
        <f>IF('User defined standard values'!L21&lt;&gt;"",'User defined standard values'!L21, "")</f>
        <v>0</v>
      </c>
      <c r="M135" s="13" t="str">
        <f>IF('User defined standard values'!M21&lt;&gt;"",'User defined standard values'!M21, "")</f>
        <v/>
      </c>
      <c r="N135" s="202" t="str">
        <f>IF('User defined standard values'!N21&lt;&gt;"",'User defined standard values'!N21, "")</f>
        <v/>
      </c>
      <c r="O135" s="269" t="str">
        <f>IF('User defined standard values'!O21&lt;&gt;"",'User defined standard values'!O21, "")</f>
        <v/>
      </c>
      <c r="P135" s="199" t="str">
        <f>IF('User defined standard values'!P21&lt;&gt;"",'User defined standard values'!P21, "")</f>
        <v/>
      </c>
      <c r="Q135" s="13" t="str">
        <f>IF('User defined standard values'!Q21&lt;&gt;"",'User defined standard values'!Q21, "")</f>
        <v/>
      </c>
      <c r="R135" s="201" t="str">
        <f>IF('User defined standard values'!R21&lt;&gt;"",'User defined standard values'!R21, "")</f>
        <v/>
      </c>
      <c r="S135" s="277" t="str">
        <f>IF('User defined standard values'!S21&lt;&gt;"",'User defined standard values'!S21, "")</f>
        <v/>
      </c>
      <c r="T135" s="99" t="str">
        <f>IF('User defined standard values'!T21&lt;&gt;"",'User defined standard values'!T21, "")</f>
        <v/>
      </c>
      <c r="U135" s="102" t="str">
        <f>IF('User defined standard values'!U21&lt;&gt;"",'User defined standard values'!U21, "")</f>
        <v/>
      </c>
    </row>
    <row r="136" spans="1:21" x14ac:dyDescent="0.2">
      <c r="A136" s="10"/>
      <c r="B136" s="100"/>
      <c r="C136" s="198" t="str">
        <f>IF('User defined standard values'!C22&lt;&gt;"",'User defined standard values'!C22, "")</f>
        <v/>
      </c>
      <c r="D136" s="102"/>
      <c r="E136" s="200" t="str">
        <f>IF('User defined standard values'!E22&lt;&gt;"",'User defined standard values'!E22, "")</f>
        <v/>
      </c>
      <c r="F136" s="13" t="str">
        <f>IF('User defined standard values'!F22&lt;&gt;"",'User defined standard values'!F22, "")</f>
        <v/>
      </c>
      <c r="G136" s="202" t="str">
        <f>IF('User defined standard values'!G22&lt;&gt;"",'User defined standard values'!G22, "")</f>
        <v/>
      </c>
      <c r="H136" s="199">
        <f>IF('User defined standard values'!H22&lt;&gt;"",'User defined standard values'!H22, "")</f>
        <v>0</v>
      </c>
      <c r="I136" s="24" t="str">
        <f>IF('User defined standard values'!I22&lt;&gt;"",'User defined standard values'!I22, "")</f>
        <v/>
      </c>
      <c r="J136" s="202" t="str">
        <f>IF('User defined standard values'!J22&lt;&gt;"",'User defined standard values'!J22, "")</f>
        <v/>
      </c>
      <c r="K136" s="202" t="str">
        <f>IF('User defined standard values'!K22&lt;&gt;"",'User defined standard values'!K22, "")</f>
        <v/>
      </c>
      <c r="L136" s="101">
        <f>IF('User defined standard values'!L22&lt;&gt;"",'User defined standard values'!L22, "")</f>
        <v>0</v>
      </c>
      <c r="M136" s="13" t="str">
        <f>IF('User defined standard values'!M22&lt;&gt;"",'User defined standard values'!M22, "")</f>
        <v/>
      </c>
      <c r="N136" s="202" t="str">
        <f>IF('User defined standard values'!N22&lt;&gt;"",'User defined standard values'!N22, "")</f>
        <v/>
      </c>
      <c r="O136" s="269" t="str">
        <f>IF('User defined standard values'!O22&lt;&gt;"",'User defined standard values'!O22, "")</f>
        <v/>
      </c>
      <c r="P136" s="199" t="str">
        <f>IF('User defined standard values'!P22&lt;&gt;"",'User defined standard values'!P22, "")</f>
        <v/>
      </c>
      <c r="Q136" s="13" t="str">
        <f>IF('User defined standard values'!Q22&lt;&gt;"",'User defined standard values'!Q22, "")</f>
        <v/>
      </c>
      <c r="R136" s="201" t="str">
        <f>IF('User defined standard values'!R22&lt;&gt;"",'User defined standard values'!R22, "")</f>
        <v/>
      </c>
      <c r="S136" s="277" t="str">
        <f>IF('User defined standard values'!S22&lt;&gt;"",'User defined standard values'!S22, "")</f>
        <v/>
      </c>
      <c r="T136" s="99" t="str">
        <f>IF('User defined standard values'!T22&lt;&gt;"",'User defined standard values'!T22, "")</f>
        <v/>
      </c>
      <c r="U136" s="102" t="str">
        <f>IF('User defined standard values'!U22&lt;&gt;"",'User defined standard values'!U22, "")</f>
        <v/>
      </c>
    </row>
    <row r="137" spans="1:21" x14ac:dyDescent="0.2">
      <c r="A137" s="10"/>
      <c r="B137" s="100"/>
      <c r="C137" s="198" t="str">
        <f>IF('User defined standard values'!C23&lt;&gt;"",'User defined standard values'!C23, "")</f>
        <v/>
      </c>
      <c r="D137" s="102"/>
      <c r="E137" s="200" t="str">
        <f>IF('User defined standard values'!E23&lt;&gt;"",'User defined standard values'!E23, "")</f>
        <v/>
      </c>
      <c r="F137" s="13" t="str">
        <f>IF('User defined standard values'!F23&lt;&gt;"",'User defined standard values'!F23, "")</f>
        <v/>
      </c>
      <c r="G137" s="202" t="str">
        <f>IF('User defined standard values'!G23&lt;&gt;"",'User defined standard values'!G23, "")</f>
        <v/>
      </c>
      <c r="H137" s="199">
        <f>IF('User defined standard values'!H23&lt;&gt;"",'User defined standard values'!H23, "")</f>
        <v>0</v>
      </c>
      <c r="I137" s="24" t="str">
        <f>IF('User defined standard values'!I23&lt;&gt;"",'User defined standard values'!I23, "")</f>
        <v/>
      </c>
      <c r="J137" s="202" t="str">
        <f>IF('User defined standard values'!J23&lt;&gt;"",'User defined standard values'!J23, "")</f>
        <v/>
      </c>
      <c r="K137" s="202" t="str">
        <f>IF('User defined standard values'!K23&lt;&gt;"",'User defined standard values'!K23, "")</f>
        <v/>
      </c>
      <c r="L137" s="101">
        <f>IF('User defined standard values'!L23&lt;&gt;"",'User defined standard values'!L23, "")</f>
        <v>0</v>
      </c>
      <c r="M137" s="13" t="str">
        <f>IF('User defined standard values'!M23&lt;&gt;"",'User defined standard values'!M23, "")</f>
        <v/>
      </c>
      <c r="N137" s="202" t="str">
        <f>IF('User defined standard values'!N23&lt;&gt;"",'User defined standard values'!N23, "")</f>
        <v/>
      </c>
      <c r="O137" s="269" t="str">
        <f>IF('User defined standard values'!O23&lt;&gt;"",'User defined standard values'!O23, "")</f>
        <v/>
      </c>
      <c r="P137" s="199" t="str">
        <f>IF('User defined standard values'!P23&lt;&gt;"",'User defined standard values'!P23, "")</f>
        <v/>
      </c>
      <c r="Q137" s="13" t="str">
        <f>IF('User defined standard values'!Q23&lt;&gt;"",'User defined standard values'!Q23, "")</f>
        <v/>
      </c>
      <c r="R137" s="201" t="str">
        <f>IF('User defined standard values'!R23&lt;&gt;"",'User defined standard values'!R23, "")</f>
        <v/>
      </c>
      <c r="S137" s="277" t="str">
        <f>IF('User defined standard values'!S23&lt;&gt;"",'User defined standard values'!S23, "")</f>
        <v/>
      </c>
      <c r="T137" s="99" t="str">
        <f>IF('User defined standard values'!T23&lt;&gt;"",'User defined standard values'!T23, "")</f>
        <v/>
      </c>
      <c r="U137" s="102" t="str">
        <f>IF('User defined standard values'!U23&lt;&gt;"",'User defined standard values'!U23, "")</f>
        <v/>
      </c>
    </row>
    <row r="138" spans="1:21" x14ac:dyDescent="0.2">
      <c r="A138" s="10"/>
      <c r="B138" s="100"/>
      <c r="C138" s="198" t="str">
        <f>IF('User defined standard values'!C24&lt;&gt;"",'User defined standard values'!C24, "")</f>
        <v/>
      </c>
      <c r="D138" s="102"/>
      <c r="E138" s="200" t="str">
        <f>IF('User defined standard values'!E24&lt;&gt;"",'User defined standard values'!E24, "")</f>
        <v/>
      </c>
      <c r="F138" s="13" t="str">
        <f>IF('User defined standard values'!F24&lt;&gt;"",'User defined standard values'!F24, "")</f>
        <v/>
      </c>
      <c r="G138" s="202" t="str">
        <f>IF('User defined standard values'!G24&lt;&gt;"",'User defined standard values'!G24, "")</f>
        <v/>
      </c>
      <c r="H138" s="199">
        <f>IF('User defined standard values'!H24&lt;&gt;"",'User defined standard values'!H24, "")</f>
        <v>0</v>
      </c>
      <c r="I138" s="24" t="str">
        <f>IF('User defined standard values'!I24&lt;&gt;"",'User defined standard values'!I24, "")</f>
        <v/>
      </c>
      <c r="J138" s="202" t="str">
        <f>IF('User defined standard values'!J24&lt;&gt;"",'User defined standard values'!J24, "")</f>
        <v/>
      </c>
      <c r="K138" s="202" t="str">
        <f>IF('User defined standard values'!K24&lt;&gt;"",'User defined standard values'!K24, "")</f>
        <v/>
      </c>
      <c r="L138" s="101">
        <f>IF('User defined standard values'!L24&lt;&gt;"",'User defined standard values'!L24, "")</f>
        <v>0</v>
      </c>
      <c r="M138" s="13" t="str">
        <f>IF('User defined standard values'!M24&lt;&gt;"",'User defined standard values'!M24, "")</f>
        <v/>
      </c>
      <c r="N138" s="202" t="str">
        <f>IF('User defined standard values'!N24&lt;&gt;"",'User defined standard values'!N24, "")</f>
        <v/>
      </c>
      <c r="O138" s="269" t="str">
        <f>IF('User defined standard values'!O24&lt;&gt;"",'User defined standard values'!O24, "")</f>
        <v/>
      </c>
      <c r="P138" s="199" t="str">
        <f>IF('User defined standard values'!P24&lt;&gt;"",'User defined standard values'!P24, "")</f>
        <v/>
      </c>
      <c r="Q138" s="13" t="str">
        <f>IF('User defined standard values'!Q24&lt;&gt;"",'User defined standard values'!Q24, "")</f>
        <v/>
      </c>
      <c r="R138" s="201" t="str">
        <f>IF('User defined standard values'!R24&lt;&gt;"",'User defined standard values'!R24, "")</f>
        <v/>
      </c>
      <c r="S138" s="277" t="str">
        <f>IF('User defined standard values'!S24&lt;&gt;"",'User defined standard values'!S24, "")</f>
        <v/>
      </c>
      <c r="T138" s="99" t="str">
        <f>IF('User defined standard values'!T24&lt;&gt;"",'User defined standard values'!T24, "")</f>
        <v/>
      </c>
      <c r="U138" s="102" t="str">
        <f>IF('User defined standard values'!U24&lt;&gt;"",'User defined standard values'!U24, "")</f>
        <v/>
      </c>
    </row>
    <row r="139" spans="1:21" x14ac:dyDescent="0.2">
      <c r="A139" s="10"/>
      <c r="B139" s="100"/>
      <c r="C139" s="198" t="str">
        <f>IF('User defined standard values'!C25&lt;&gt;"",'User defined standard values'!C25, "")</f>
        <v/>
      </c>
      <c r="D139" s="102"/>
      <c r="E139" s="200" t="str">
        <f>IF('User defined standard values'!E25&lt;&gt;"",'User defined standard values'!E25, "")</f>
        <v/>
      </c>
      <c r="F139" s="13" t="str">
        <f>IF('User defined standard values'!F25&lt;&gt;"",'User defined standard values'!F25, "")</f>
        <v/>
      </c>
      <c r="G139" s="202" t="str">
        <f>IF('User defined standard values'!G25&lt;&gt;"",'User defined standard values'!G25, "")</f>
        <v/>
      </c>
      <c r="H139" s="199">
        <f>IF('User defined standard values'!H25&lt;&gt;"",'User defined standard values'!H25, "")</f>
        <v>0</v>
      </c>
      <c r="I139" s="24" t="str">
        <f>IF('User defined standard values'!I25&lt;&gt;"",'User defined standard values'!I25, "")</f>
        <v/>
      </c>
      <c r="J139" s="202" t="str">
        <f>IF('User defined standard values'!J25&lt;&gt;"",'User defined standard values'!J25, "")</f>
        <v/>
      </c>
      <c r="K139" s="202" t="str">
        <f>IF('User defined standard values'!K25&lt;&gt;"",'User defined standard values'!K25, "")</f>
        <v/>
      </c>
      <c r="L139" s="101">
        <f>IF('User defined standard values'!L25&lt;&gt;"",'User defined standard values'!L25, "")</f>
        <v>0</v>
      </c>
      <c r="M139" s="13" t="str">
        <f>IF('User defined standard values'!M25&lt;&gt;"",'User defined standard values'!M25, "")</f>
        <v/>
      </c>
      <c r="N139" s="202" t="str">
        <f>IF('User defined standard values'!N25&lt;&gt;"",'User defined standard values'!N25, "")</f>
        <v/>
      </c>
      <c r="O139" s="269" t="str">
        <f>IF('User defined standard values'!O25&lt;&gt;"",'User defined standard values'!O25, "")</f>
        <v/>
      </c>
      <c r="P139" s="199" t="str">
        <f>IF('User defined standard values'!P25&lt;&gt;"",'User defined standard values'!P25, "")</f>
        <v/>
      </c>
      <c r="Q139" s="13" t="str">
        <f>IF('User defined standard values'!Q25&lt;&gt;"",'User defined standard values'!Q25, "")</f>
        <v/>
      </c>
      <c r="R139" s="201" t="str">
        <f>IF('User defined standard values'!R25&lt;&gt;"",'User defined standard values'!R25, "")</f>
        <v/>
      </c>
      <c r="S139" s="277" t="str">
        <f>IF('User defined standard values'!S25&lt;&gt;"",'User defined standard values'!S25, "")</f>
        <v/>
      </c>
      <c r="T139" s="99" t="str">
        <f>IF('User defined standard values'!T25&lt;&gt;"",'User defined standard values'!T25, "")</f>
        <v/>
      </c>
      <c r="U139" s="102" t="str">
        <f>IF('User defined standard values'!U25&lt;&gt;"",'User defined standard values'!U25, "")</f>
        <v/>
      </c>
    </row>
    <row r="140" spans="1:21" x14ac:dyDescent="0.2">
      <c r="A140" s="10"/>
      <c r="B140" s="100"/>
      <c r="C140" s="198" t="str">
        <f>IF('User defined standard values'!C26&lt;&gt;"",'User defined standard values'!C26, "")</f>
        <v/>
      </c>
      <c r="D140" s="102"/>
      <c r="E140" s="200" t="str">
        <f>IF('User defined standard values'!E26&lt;&gt;"",'User defined standard values'!E26, "")</f>
        <v/>
      </c>
      <c r="F140" s="13" t="str">
        <f>IF('User defined standard values'!F26&lt;&gt;"",'User defined standard values'!F26, "")</f>
        <v/>
      </c>
      <c r="G140" s="202" t="str">
        <f>IF('User defined standard values'!G26&lt;&gt;"",'User defined standard values'!G26, "")</f>
        <v/>
      </c>
      <c r="H140" s="199">
        <f>IF('User defined standard values'!H26&lt;&gt;"",'User defined standard values'!H26, "")</f>
        <v>0</v>
      </c>
      <c r="I140" s="24" t="str">
        <f>IF('User defined standard values'!I26&lt;&gt;"",'User defined standard values'!I26, "")</f>
        <v/>
      </c>
      <c r="J140" s="202" t="str">
        <f>IF('User defined standard values'!J26&lt;&gt;"",'User defined standard values'!J26, "")</f>
        <v/>
      </c>
      <c r="K140" s="202" t="str">
        <f>IF('User defined standard values'!K26&lt;&gt;"",'User defined standard values'!K26, "")</f>
        <v/>
      </c>
      <c r="L140" s="101">
        <f>IF('User defined standard values'!L26&lt;&gt;"",'User defined standard values'!L26, "")</f>
        <v>0</v>
      </c>
      <c r="M140" s="13" t="str">
        <f>IF('User defined standard values'!M26&lt;&gt;"",'User defined standard values'!M26, "")</f>
        <v/>
      </c>
      <c r="N140" s="202" t="str">
        <f>IF('User defined standard values'!N26&lt;&gt;"",'User defined standard values'!N26, "")</f>
        <v/>
      </c>
      <c r="O140" s="269" t="str">
        <f>IF('User defined standard values'!O26&lt;&gt;"",'User defined standard values'!O26, "")</f>
        <v/>
      </c>
      <c r="P140" s="199" t="str">
        <f>IF('User defined standard values'!P26&lt;&gt;"",'User defined standard values'!P26, "")</f>
        <v/>
      </c>
      <c r="Q140" s="13" t="str">
        <f>IF('User defined standard values'!Q26&lt;&gt;"",'User defined standard values'!Q26, "")</f>
        <v/>
      </c>
      <c r="R140" s="201" t="str">
        <f>IF('User defined standard values'!R26&lt;&gt;"",'User defined standard values'!R26, "")</f>
        <v/>
      </c>
      <c r="S140" s="277" t="str">
        <f>IF('User defined standard values'!S26&lt;&gt;"",'User defined standard values'!S26, "")</f>
        <v/>
      </c>
      <c r="T140" s="99" t="str">
        <f>IF('User defined standard values'!T26&lt;&gt;"",'User defined standard values'!T26, "")</f>
        <v/>
      </c>
      <c r="U140" s="102" t="str">
        <f>IF('User defined standard values'!U26&lt;&gt;"",'User defined standard values'!U26, "")</f>
        <v/>
      </c>
    </row>
    <row r="141" spans="1:21" x14ac:dyDescent="0.2">
      <c r="A141" s="10"/>
      <c r="B141" s="100"/>
      <c r="C141" s="198" t="str">
        <f>IF('User defined standard values'!C27&lt;&gt;"",'User defined standard values'!C27, "")</f>
        <v/>
      </c>
      <c r="D141" s="102"/>
      <c r="E141" s="200" t="str">
        <f>IF('User defined standard values'!E27&lt;&gt;"",'User defined standard values'!E27, "")</f>
        <v/>
      </c>
      <c r="F141" s="13" t="str">
        <f>IF('User defined standard values'!F27&lt;&gt;"",'User defined standard values'!F27, "")</f>
        <v/>
      </c>
      <c r="G141" s="202" t="str">
        <f>IF('User defined standard values'!G27&lt;&gt;"",'User defined standard values'!G27, "")</f>
        <v/>
      </c>
      <c r="H141" s="199">
        <f>IF('User defined standard values'!H27&lt;&gt;"",'User defined standard values'!H27, "")</f>
        <v>0</v>
      </c>
      <c r="I141" s="24" t="str">
        <f>IF('User defined standard values'!I27&lt;&gt;"",'User defined standard values'!I27, "")</f>
        <v/>
      </c>
      <c r="J141" s="202" t="str">
        <f>IF('User defined standard values'!J27&lt;&gt;"",'User defined standard values'!J27, "")</f>
        <v/>
      </c>
      <c r="K141" s="202" t="str">
        <f>IF('User defined standard values'!K27&lt;&gt;"",'User defined standard values'!K27, "")</f>
        <v/>
      </c>
      <c r="L141" s="101">
        <f>IF('User defined standard values'!L27&lt;&gt;"",'User defined standard values'!L27, "")</f>
        <v>0</v>
      </c>
      <c r="M141" s="13" t="str">
        <f>IF('User defined standard values'!M27&lt;&gt;"",'User defined standard values'!M27, "")</f>
        <v/>
      </c>
      <c r="N141" s="202" t="str">
        <f>IF('User defined standard values'!N27&lt;&gt;"",'User defined standard values'!N27, "")</f>
        <v/>
      </c>
      <c r="O141" s="269" t="str">
        <f>IF('User defined standard values'!O27&lt;&gt;"",'User defined standard values'!O27, "")</f>
        <v/>
      </c>
      <c r="P141" s="199" t="str">
        <f>IF('User defined standard values'!P27&lt;&gt;"",'User defined standard values'!P27, "")</f>
        <v/>
      </c>
      <c r="Q141" s="13" t="str">
        <f>IF('User defined standard values'!Q27&lt;&gt;"",'User defined standard values'!Q27, "")</f>
        <v/>
      </c>
      <c r="R141" s="201" t="str">
        <f>IF('User defined standard values'!R27&lt;&gt;"",'User defined standard values'!R27, "")</f>
        <v/>
      </c>
      <c r="S141" s="277" t="str">
        <f>IF('User defined standard values'!S27&lt;&gt;"",'User defined standard values'!S27, "")</f>
        <v/>
      </c>
      <c r="T141" s="99" t="str">
        <f>IF('User defined standard values'!T27&lt;&gt;"",'User defined standard values'!T27, "")</f>
        <v/>
      </c>
      <c r="U141" s="102" t="str">
        <f>IF('User defined standard values'!U27&lt;&gt;"",'User defined standard values'!U27, "")</f>
        <v/>
      </c>
    </row>
    <row r="142" spans="1:21" x14ac:dyDescent="0.2">
      <c r="A142" s="10"/>
      <c r="B142" s="100"/>
      <c r="C142" s="198" t="str">
        <f>IF('User defined standard values'!C28&lt;&gt;"",'User defined standard values'!C28, "")</f>
        <v/>
      </c>
      <c r="D142" s="102"/>
      <c r="E142" s="200" t="str">
        <f>IF('User defined standard values'!E28&lt;&gt;"",'User defined standard values'!E28, "")</f>
        <v/>
      </c>
      <c r="F142" s="13" t="str">
        <f>IF('User defined standard values'!F28&lt;&gt;"",'User defined standard values'!F28, "")</f>
        <v/>
      </c>
      <c r="G142" s="202" t="str">
        <f>IF('User defined standard values'!G28&lt;&gt;"",'User defined standard values'!G28, "")</f>
        <v/>
      </c>
      <c r="H142" s="199">
        <f>IF('User defined standard values'!H28&lt;&gt;"",'User defined standard values'!H28, "")</f>
        <v>0</v>
      </c>
      <c r="I142" s="24" t="str">
        <f>IF('User defined standard values'!I28&lt;&gt;"",'User defined standard values'!I28, "")</f>
        <v/>
      </c>
      <c r="J142" s="202" t="str">
        <f>IF('User defined standard values'!J28&lt;&gt;"",'User defined standard values'!J28, "")</f>
        <v/>
      </c>
      <c r="K142" s="202" t="str">
        <f>IF('User defined standard values'!K28&lt;&gt;"",'User defined standard values'!K28, "")</f>
        <v/>
      </c>
      <c r="L142" s="101">
        <f>IF('User defined standard values'!L28&lt;&gt;"",'User defined standard values'!L28, "")</f>
        <v>0</v>
      </c>
      <c r="M142" s="13" t="str">
        <f>IF('User defined standard values'!M28&lt;&gt;"",'User defined standard values'!M28, "")</f>
        <v/>
      </c>
      <c r="N142" s="202" t="str">
        <f>IF('User defined standard values'!N28&lt;&gt;"",'User defined standard values'!N28, "")</f>
        <v/>
      </c>
      <c r="O142" s="269" t="str">
        <f>IF('User defined standard values'!O28&lt;&gt;"",'User defined standard values'!O28, "")</f>
        <v/>
      </c>
      <c r="P142" s="199" t="str">
        <f>IF('User defined standard values'!P28&lt;&gt;"",'User defined standard values'!P28, "")</f>
        <v/>
      </c>
      <c r="Q142" s="13" t="str">
        <f>IF('User defined standard values'!Q28&lt;&gt;"",'User defined standard values'!Q28, "")</f>
        <v/>
      </c>
      <c r="R142" s="201" t="str">
        <f>IF('User defined standard values'!R28&lt;&gt;"",'User defined standard values'!R28, "")</f>
        <v/>
      </c>
      <c r="S142" s="277" t="str">
        <f>IF('User defined standard values'!S28&lt;&gt;"",'User defined standard values'!S28, "")</f>
        <v/>
      </c>
      <c r="T142" s="99" t="str">
        <f>IF('User defined standard values'!T28&lt;&gt;"",'User defined standard values'!T28, "")</f>
        <v/>
      </c>
      <c r="U142" s="102" t="str">
        <f>IF('User defined standard values'!U28&lt;&gt;"",'User defined standard values'!U28, "")</f>
        <v/>
      </c>
    </row>
    <row r="143" spans="1:21" x14ac:dyDescent="0.2">
      <c r="A143" s="10"/>
      <c r="B143" s="100"/>
      <c r="C143" s="198" t="str">
        <f>IF('User defined standard values'!C29&lt;&gt;"",'User defined standard values'!C29, "")</f>
        <v/>
      </c>
      <c r="D143" s="102"/>
      <c r="E143" s="200" t="str">
        <f>IF('User defined standard values'!E29&lt;&gt;"",'User defined standard values'!E29, "")</f>
        <v/>
      </c>
      <c r="F143" s="13" t="str">
        <f>IF('User defined standard values'!F29&lt;&gt;"",'User defined standard values'!F29, "")</f>
        <v/>
      </c>
      <c r="G143" s="202" t="str">
        <f>IF('User defined standard values'!G29&lt;&gt;"",'User defined standard values'!G29, "")</f>
        <v/>
      </c>
      <c r="H143" s="199">
        <f>IF('User defined standard values'!H29&lt;&gt;"",'User defined standard values'!H29, "")</f>
        <v>0</v>
      </c>
      <c r="I143" s="24" t="str">
        <f>IF('User defined standard values'!I29&lt;&gt;"",'User defined standard values'!I29, "")</f>
        <v/>
      </c>
      <c r="J143" s="202" t="str">
        <f>IF('User defined standard values'!J29&lt;&gt;"",'User defined standard values'!J29, "")</f>
        <v/>
      </c>
      <c r="K143" s="202" t="str">
        <f>IF('User defined standard values'!K29&lt;&gt;"",'User defined standard values'!K29, "")</f>
        <v/>
      </c>
      <c r="L143" s="101">
        <f>IF('User defined standard values'!L29&lt;&gt;"",'User defined standard values'!L29, "")</f>
        <v>0</v>
      </c>
      <c r="M143" s="13" t="str">
        <f>IF('User defined standard values'!M29&lt;&gt;"",'User defined standard values'!M29, "")</f>
        <v/>
      </c>
      <c r="N143" s="202" t="str">
        <f>IF('User defined standard values'!N29&lt;&gt;"",'User defined standard values'!N29, "")</f>
        <v/>
      </c>
      <c r="O143" s="269" t="str">
        <f>IF('User defined standard values'!O29&lt;&gt;"",'User defined standard values'!O29, "")</f>
        <v/>
      </c>
      <c r="P143" s="199" t="str">
        <f>IF('User defined standard values'!P29&lt;&gt;"",'User defined standard values'!P29, "")</f>
        <v/>
      </c>
      <c r="Q143" s="13" t="str">
        <f>IF('User defined standard values'!Q29&lt;&gt;"",'User defined standard values'!Q29, "")</f>
        <v/>
      </c>
      <c r="R143" s="201" t="str">
        <f>IF('User defined standard values'!R29&lt;&gt;"",'User defined standard values'!R29, "")</f>
        <v/>
      </c>
      <c r="S143" s="277" t="str">
        <f>IF('User defined standard values'!S29&lt;&gt;"",'User defined standard values'!S29, "")</f>
        <v/>
      </c>
      <c r="T143" s="99" t="str">
        <f>IF('User defined standard values'!T29&lt;&gt;"",'User defined standard values'!T29, "")</f>
        <v/>
      </c>
      <c r="U143" s="102" t="str">
        <f>IF('User defined standard values'!U29&lt;&gt;"",'User defined standard values'!U29, "")</f>
        <v/>
      </c>
    </row>
    <row r="144" spans="1:21" x14ac:dyDescent="0.2">
      <c r="A144" s="10"/>
      <c r="B144" s="100"/>
      <c r="C144" s="198" t="str">
        <f>IF('User defined standard values'!C30&lt;&gt;"",'User defined standard values'!C30, "")</f>
        <v/>
      </c>
      <c r="D144" s="102"/>
      <c r="E144" s="200" t="str">
        <f>IF('User defined standard values'!E30&lt;&gt;"",'User defined standard values'!E30, "")</f>
        <v/>
      </c>
      <c r="F144" s="13" t="str">
        <f>IF('User defined standard values'!F30&lt;&gt;"",'User defined standard values'!F30, "")</f>
        <v/>
      </c>
      <c r="G144" s="202" t="str">
        <f>IF('User defined standard values'!G30&lt;&gt;"",'User defined standard values'!G30, "")</f>
        <v/>
      </c>
      <c r="H144" s="199">
        <f>IF('User defined standard values'!H30&lt;&gt;"",'User defined standard values'!H30, "")</f>
        <v>0</v>
      </c>
      <c r="I144" s="24" t="str">
        <f>IF('User defined standard values'!I30&lt;&gt;"",'User defined standard values'!I30, "")</f>
        <v/>
      </c>
      <c r="J144" s="202" t="str">
        <f>IF('User defined standard values'!J30&lt;&gt;"",'User defined standard values'!J30, "")</f>
        <v/>
      </c>
      <c r="K144" s="202" t="str">
        <f>IF('User defined standard values'!K30&lt;&gt;"",'User defined standard values'!K30, "")</f>
        <v/>
      </c>
      <c r="L144" s="101">
        <f>IF('User defined standard values'!L30&lt;&gt;"",'User defined standard values'!L30, "")</f>
        <v>0</v>
      </c>
      <c r="M144" s="13" t="str">
        <f>IF('User defined standard values'!M30&lt;&gt;"",'User defined standard values'!M30, "")</f>
        <v/>
      </c>
      <c r="N144" s="202" t="str">
        <f>IF('User defined standard values'!N30&lt;&gt;"",'User defined standard values'!N30, "")</f>
        <v/>
      </c>
      <c r="O144" s="269" t="str">
        <f>IF('User defined standard values'!O30&lt;&gt;"",'User defined standard values'!O30, "")</f>
        <v/>
      </c>
      <c r="P144" s="199" t="str">
        <f>IF('User defined standard values'!P30&lt;&gt;"",'User defined standard values'!P30, "")</f>
        <v/>
      </c>
      <c r="Q144" s="13" t="str">
        <f>IF('User defined standard values'!Q30&lt;&gt;"",'User defined standard values'!Q30, "")</f>
        <v/>
      </c>
      <c r="R144" s="201" t="str">
        <f>IF('User defined standard values'!R30&lt;&gt;"",'User defined standard values'!R30, "")</f>
        <v/>
      </c>
      <c r="S144" s="277" t="str">
        <f>IF('User defined standard values'!S30&lt;&gt;"",'User defined standard values'!S30, "")</f>
        <v/>
      </c>
      <c r="T144" s="99" t="str">
        <f>IF('User defined standard values'!T30&lt;&gt;"",'User defined standard values'!T30, "")</f>
        <v/>
      </c>
      <c r="U144" s="102" t="str">
        <f>IF('User defined standard values'!U30&lt;&gt;"",'User defined standard values'!U30, "")</f>
        <v/>
      </c>
    </row>
    <row r="145" spans="1:21" x14ac:dyDescent="0.2">
      <c r="A145" s="10"/>
      <c r="B145" s="100"/>
      <c r="C145" s="198" t="str">
        <f>IF('User defined standard values'!C31&lt;&gt;"",'User defined standard values'!C31, "")</f>
        <v/>
      </c>
      <c r="D145" s="102"/>
      <c r="E145" s="200" t="str">
        <f>IF('User defined standard values'!E31&lt;&gt;"",'User defined standard values'!E31, "")</f>
        <v/>
      </c>
      <c r="F145" s="13" t="str">
        <f>IF('User defined standard values'!F31&lt;&gt;"",'User defined standard values'!F31, "")</f>
        <v/>
      </c>
      <c r="G145" s="202" t="str">
        <f>IF('User defined standard values'!G31&lt;&gt;"",'User defined standard values'!G31, "")</f>
        <v/>
      </c>
      <c r="H145" s="199">
        <f>IF('User defined standard values'!H31&lt;&gt;"",'User defined standard values'!H31, "")</f>
        <v>0</v>
      </c>
      <c r="I145" s="24" t="str">
        <f>IF('User defined standard values'!I31&lt;&gt;"",'User defined standard values'!I31, "")</f>
        <v/>
      </c>
      <c r="J145" s="202" t="str">
        <f>IF('User defined standard values'!J31&lt;&gt;"",'User defined standard values'!J31, "")</f>
        <v/>
      </c>
      <c r="K145" s="202" t="str">
        <f>IF('User defined standard values'!K31&lt;&gt;"",'User defined standard values'!K31, "")</f>
        <v/>
      </c>
      <c r="L145" s="101">
        <f>IF('User defined standard values'!L31&lt;&gt;"",'User defined standard values'!L31, "")</f>
        <v>0</v>
      </c>
      <c r="M145" s="13" t="str">
        <f>IF('User defined standard values'!M31&lt;&gt;"",'User defined standard values'!M31, "")</f>
        <v/>
      </c>
      <c r="N145" s="202" t="str">
        <f>IF('User defined standard values'!N31&lt;&gt;"",'User defined standard values'!N31, "")</f>
        <v/>
      </c>
      <c r="O145" s="269" t="str">
        <f>IF('User defined standard values'!O31&lt;&gt;"",'User defined standard values'!O31, "")</f>
        <v/>
      </c>
      <c r="P145" s="199" t="str">
        <f>IF('User defined standard values'!P31&lt;&gt;"",'User defined standard values'!P31, "")</f>
        <v/>
      </c>
      <c r="Q145" s="13" t="str">
        <f>IF('User defined standard values'!Q31&lt;&gt;"",'User defined standard values'!Q31, "")</f>
        <v/>
      </c>
      <c r="R145" s="201" t="str">
        <f>IF('User defined standard values'!R31&lt;&gt;"",'User defined standard values'!R31, "")</f>
        <v/>
      </c>
      <c r="S145" s="277" t="str">
        <f>IF('User defined standard values'!S31&lt;&gt;"",'User defined standard values'!S31, "")</f>
        <v/>
      </c>
      <c r="T145" s="99" t="str">
        <f>IF('User defined standard values'!T31&lt;&gt;"",'User defined standard values'!T31, "")</f>
        <v/>
      </c>
      <c r="U145" s="102" t="str">
        <f>IF('User defined standard values'!U31&lt;&gt;"",'User defined standard values'!U31, "")</f>
        <v/>
      </c>
    </row>
    <row r="146" spans="1:21" x14ac:dyDescent="0.2">
      <c r="A146" s="10"/>
      <c r="B146" s="100"/>
      <c r="C146" s="198" t="str">
        <f>IF('User defined standard values'!C32&lt;&gt;"",'User defined standard values'!C32, "")</f>
        <v/>
      </c>
      <c r="D146" s="102"/>
      <c r="E146" s="200" t="str">
        <f>IF('User defined standard values'!E32&lt;&gt;"",'User defined standard values'!E32, "")</f>
        <v/>
      </c>
      <c r="F146" s="13" t="str">
        <f>IF('User defined standard values'!F32&lt;&gt;"",'User defined standard values'!F32, "")</f>
        <v/>
      </c>
      <c r="G146" s="202" t="str">
        <f>IF('User defined standard values'!G32&lt;&gt;"",'User defined standard values'!G32, "")</f>
        <v/>
      </c>
      <c r="H146" s="199">
        <f>IF('User defined standard values'!H32&lt;&gt;"",'User defined standard values'!H32, "")</f>
        <v>0</v>
      </c>
      <c r="I146" s="24" t="str">
        <f>IF('User defined standard values'!I32&lt;&gt;"",'User defined standard values'!I32, "")</f>
        <v/>
      </c>
      <c r="J146" s="202" t="str">
        <f>IF('User defined standard values'!J32&lt;&gt;"",'User defined standard values'!J32, "")</f>
        <v/>
      </c>
      <c r="K146" s="202" t="str">
        <f>IF('User defined standard values'!K32&lt;&gt;"",'User defined standard values'!K32, "")</f>
        <v/>
      </c>
      <c r="L146" s="101">
        <f>IF('User defined standard values'!L32&lt;&gt;"",'User defined standard values'!L32, "")</f>
        <v>0</v>
      </c>
      <c r="M146" s="13" t="str">
        <f>IF('User defined standard values'!M32&lt;&gt;"",'User defined standard values'!M32, "")</f>
        <v/>
      </c>
      <c r="N146" s="202" t="str">
        <f>IF('User defined standard values'!N32&lt;&gt;"",'User defined standard values'!N32, "")</f>
        <v/>
      </c>
      <c r="O146" s="269" t="str">
        <f>IF('User defined standard values'!O32&lt;&gt;"",'User defined standard values'!O32, "")</f>
        <v/>
      </c>
      <c r="P146" s="199" t="str">
        <f>IF('User defined standard values'!P32&lt;&gt;"",'User defined standard values'!P32, "")</f>
        <v/>
      </c>
      <c r="Q146" s="13" t="str">
        <f>IF('User defined standard values'!Q32&lt;&gt;"",'User defined standard values'!Q32, "")</f>
        <v/>
      </c>
      <c r="R146" s="201" t="str">
        <f>IF('User defined standard values'!R32&lt;&gt;"",'User defined standard values'!R32, "")</f>
        <v/>
      </c>
      <c r="S146" s="277" t="str">
        <f>IF('User defined standard values'!S32&lt;&gt;"",'User defined standard values'!S32, "")</f>
        <v/>
      </c>
      <c r="T146" s="99" t="str">
        <f>IF('User defined standard values'!T32&lt;&gt;"",'User defined standard values'!T32, "")</f>
        <v/>
      </c>
      <c r="U146" s="102" t="str">
        <f>IF('User defined standard values'!U32&lt;&gt;"",'User defined standard values'!U32, "")</f>
        <v/>
      </c>
    </row>
    <row r="147" spans="1:21" x14ac:dyDescent="0.2">
      <c r="A147" s="10"/>
      <c r="B147" s="100"/>
      <c r="C147" s="198" t="str">
        <f>IF('User defined standard values'!C33&lt;&gt;"",'User defined standard values'!C33, "")</f>
        <v/>
      </c>
      <c r="D147" s="102"/>
      <c r="E147" s="200" t="str">
        <f>IF('User defined standard values'!E33&lt;&gt;"",'User defined standard values'!E33, "")</f>
        <v/>
      </c>
      <c r="F147" s="13" t="str">
        <f>IF('User defined standard values'!F33&lt;&gt;"",'User defined standard values'!F33, "")</f>
        <v/>
      </c>
      <c r="G147" s="202" t="str">
        <f>IF('User defined standard values'!G33&lt;&gt;"",'User defined standard values'!G33, "")</f>
        <v/>
      </c>
      <c r="H147" s="199">
        <f>IF('User defined standard values'!H33&lt;&gt;"",'User defined standard values'!H33, "")</f>
        <v>0</v>
      </c>
      <c r="I147" s="24" t="str">
        <f>IF('User defined standard values'!I33&lt;&gt;"",'User defined standard values'!I33, "")</f>
        <v/>
      </c>
      <c r="J147" s="202" t="str">
        <f>IF('User defined standard values'!J33&lt;&gt;"",'User defined standard values'!J33, "")</f>
        <v/>
      </c>
      <c r="K147" s="202" t="str">
        <f>IF('User defined standard values'!K33&lt;&gt;"",'User defined standard values'!K33, "")</f>
        <v/>
      </c>
      <c r="L147" s="101">
        <f>IF('User defined standard values'!L33&lt;&gt;"",'User defined standard values'!L33, "")</f>
        <v>0</v>
      </c>
      <c r="M147" s="13" t="str">
        <f>IF('User defined standard values'!M33&lt;&gt;"",'User defined standard values'!M33, "")</f>
        <v/>
      </c>
      <c r="N147" s="202" t="str">
        <f>IF('User defined standard values'!N33&lt;&gt;"",'User defined standard values'!N33, "")</f>
        <v/>
      </c>
      <c r="O147" s="269" t="str">
        <f>IF('User defined standard values'!O33&lt;&gt;"",'User defined standard values'!O33, "")</f>
        <v/>
      </c>
      <c r="P147" s="199" t="str">
        <f>IF('User defined standard values'!P33&lt;&gt;"",'User defined standard values'!P33, "")</f>
        <v/>
      </c>
      <c r="Q147" s="13" t="str">
        <f>IF('User defined standard values'!Q33&lt;&gt;"",'User defined standard values'!Q33, "")</f>
        <v/>
      </c>
      <c r="R147" s="201" t="str">
        <f>IF('User defined standard values'!R33&lt;&gt;"",'User defined standard values'!R33, "")</f>
        <v/>
      </c>
      <c r="S147" s="277" t="str">
        <f>IF('User defined standard values'!S33&lt;&gt;"",'User defined standard values'!S33, "")</f>
        <v/>
      </c>
      <c r="T147" s="99" t="str">
        <f>IF('User defined standard values'!T33&lt;&gt;"",'User defined standard values'!T33, "")</f>
        <v/>
      </c>
      <c r="U147" s="102" t="str">
        <f>IF('User defined standard values'!U33&lt;&gt;"",'User defined standard values'!U33, "")</f>
        <v/>
      </c>
    </row>
    <row r="148" spans="1:21" x14ac:dyDescent="0.2">
      <c r="A148" s="10"/>
      <c r="B148" s="100"/>
      <c r="C148" s="198" t="str">
        <f>IF('User defined standard values'!C34&lt;&gt;"",'User defined standard values'!C34, "")</f>
        <v/>
      </c>
      <c r="D148" s="102"/>
      <c r="E148" s="200" t="str">
        <f>IF('User defined standard values'!E34&lt;&gt;"",'User defined standard values'!E34, "")</f>
        <v/>
      </c>
      <c r="F148" s="13" t="str">
        <f>IF('User defined standard values'!F34&lt;&gt;"",'User defined standard values'!F34, "")</f>
        <v/>
      </c>
      <c r="G148" s="202" t="str">
        <f>IF('User defined standard values'!G34&lt;&gt;"",'User defined standard values'!G34, "")</f>
        <v/>
      </c>
      <c r="H148" s="199">
        <f>IF('User defined standard values'!H34&lt;&gt;"",'User defined standard values'!H34, "")</f>
        <v>0</v>
      </c>
      <c r="I148" s="24" t="str">
        <f>IF('User defined standard values'!I34&lt;&gt;"",'User defined standard values'!I34, "")</f>
        <v/>
      </c>
      <c r="J148" s="202" t="str">
        <f>IF('User defined standard values'!J34&lt;&gt;"",'User defined standard values'!J34, "")</f>
        <v/>
      </c>
      <c r="K148" s="202" t="str">
        <f>IF('User defined standard values'!K34&lt;&gt;"",'User defined standard values'!K34, "")</f>
        <v/>
      </c>
      <c r="L148" s="101">
        <f>IF('User defined standard values'!L34&lt;&gt;"",'User defined standard values'!L34, "")</f>
        <v>0</v>
      </c>
      <c r="M148" s="13" t="str">
        <f>IF('User defined standard values'!M34&lt;&gt;"",'User defined standard values'!M34, "")</f>
        <v/>
      </c>
      <c r="N148" s="202" t="str">
        <f>IF('User defined standard values'!N34&lt;&gt;"",'User defined standard values'!N34, "")</f>
        <v/>
      </c>
      <c r="O148" s="269" t="str">
        <f>IF('User defined standard values'!O34&lt;&gt;"",'User defined standard values'!O34, "")</f>
        <v/>
      </c>
      <c r="P148" s="199" t="str">
        <f>IF('User defined standard values'!P34&lt;&gt;"",'User defined standard values'!P34, "")</f>
        <v/>
      </c>
      <c r="Q148" s="13" t="str">
        <f>IF('User defined standard values'!Q34&lt;&gt;"",'User defined standard values'!Q34, "")</f>
        <v/>
      </c>
      <c r="R148" s="201" t="str">
        <f>IF('User defined standard values'!R34&lt;&gt;"",'User defined standard values'!R34, "")</f>
        <v/>
      </c>
      <c r="S148" s="277" t="str">
        <f>IF('User defined standard values'!S34&lt;&gt;"",'User defined standard values'!S34, "")</f>
        <v/>
      </c>
      <c r="T148" s="99" t="str">
        <f>IF('User defined standard values'!T34&lt;&gt;"",'User defined standard values'!T34, "")</f>
        <v/>
      </c>
      <c r="U148" s="102" t="str">
        <f>IF('User defined standard values'!U34&lt;&gt;"",'User defined standard values'!U34, "")</f>
        <v/>
      </c>
    </row>
    <row r="149" spans="1:21" x14ac:dyDescent="0.2">
      <c r="A149" s="10"/>
      <c r="B149" s="100"/>
      <c r="C149" s="198" t="str">
        <f>IF('User defined standard values'!C35&lt;&gt;"",'User defined standard values'!C35, "")</f>
        <v/>
      </c>
      <c r="D149" s="102"/>
      <c r="E149" s="200" t="str">
        <f>IF('User defined standard values'!E35&lt;&gt;"",'User defined standard values'!E35, "")</f>
        <v/>
      </c>
      <c r="F149" s="13" t="str">
        <f>IF('User defined standard values'!F35&lt;&gt;"",'User defined standard values'!F35, "")</f>
        <v/>
      </c>
      <c r="G149" s="202" t="str">
        <f>IF('User defined standard values'!G35&lt;&gt;"",'User defined standard values'!G35, "")</f>
        <v/>
      </c>
      <c r="H149" s="199">
        <f>IF('User defined standard values'!H35&lt;&gt;"",'User defined standard values'!H35, "")</f>
        <v>0</v>
      </c>
      <c r="I149" s="24" t="str">
        <f>IF('User defined standard values'!I35&lt;&gt;"",'User defined standard values'!I35, "")</f>
        <v/>
      </c>
      <c r="J149" s="202" t="str">
        <f>IF('User defined standard values'!J35&lt;&gt;"",'User defined standard values'!J35, "")</f>
        <v/>
      </c>
      <c r="K149" s="202" t="str">
        <f>IF('User defined standard values'!K35&lt;&gt;"",'User defined standard values'!K35, "")</f>
        <v/>
      </c>
      <c r="L149" s="101">
        <f>IF('User defined standard values'!L35&lt;&gt;"",'User defined standard values'!L35, "")</f>
        <v>0</v>
      </c>
      <c r="M149" s="13" t="str">
        <f>IF('User defined standard values'!M35&lt;&gt;"",'User defined standard values'!M35, "")</f>
        <v/>
      </c>
      <c r="N149" s="202" t="str">
        <f>IF('User defined standard values'!N35&lt;&gt;"",'User defined standard values'!N35, "")</f>
        <v/>
      </c>
      <c r="O149" s="269" t="str">
        <f>IF('User defined standard values'!O35&lt;&gt;"",'User defined standard values'!O35, "")</f>
        <v/>
      </c>
      <c r="P149" s="199" t="str">
        <f>IF('User defined standard values'!P35&lt;&gt;"",'User defined standard values'!P35, "")</f>
        <v/>
      </c>
      <c r="Q149" s="13" t="str">
        <f>IF('User defined standard values'!Q35&lt;&gt;"",'User defined standard values'!Q35, "")</f>
        <v/>
      </c>
      <c r="R149" s="201" t="str">
        <f>IF('User defined standard values'!R35&lt;&gt;"",'User defined standard values'!R35, "")</f>
        <v/>
      </c>
      <c r="S149" s="277" t="str">
        <f>IF('User defined standard values'!S35&lt;&gt;"",'User defined standard values'!S35, "")</f>
        <v/>
      </c>
      <c r="T149" s="99" t="str">
        <f>IF('User defined standard values'!T35&lt;&gt;"",'User defined standard values'!T35, "")</f>
        <v/>
      </c>
      <c r="U149" s="102" t="str">
        <f>IF('User defined standard values'!U35&lt;&gt;"",'User defined standard values'!U35, "")</f>
        <v/>
      </c>
    </row>
    <row r="150" spans="1:21" x14ac:dyDescent="0.2">
      <c r="A150" s="10"/>
      <c r="B150" s="100"/>
      <c r="C150" s="198" t="str">
        <f>IF('User defined standard values'!C36&lt;&gt;"",'User defined standard values'!C36, "")</f>
        <v/>
      </c>
      <c r="D150" s="102"/>
      <c r="E150" s="200" t="str">
        <f>IF('User defined standard values'!E36&lt;&gt;"",'User defined standard values'!E36, "")</f>
        <v/>
      </c>
      <c r="F150" s="13" t="str">
        <f>IF('User defined standard values'!F36&lt;&gt;"",'User defined standard values'!F36, "")</f>
        <v/>
      </c>
      <c r="G150" s="202" t="str">
        <f>IF('User defined standard values'!G36&lt;&gt;"",'User defined standard values'!G36, "")</f>
        <v/>
      </c>
      <c r="H150" s="199">
        <f>IF('User defined standard values'!H36&lt;&gt;"",'User defined standard values'!H36, "")</f>
        <v>0</v>
      </c>
      <c r="I150" s="24" t="str">
        <f>IF('User defined standard values'!I36&lt;&gt;"",'User defined standard values'!I36, "")</f>
        <v/>
      </c>
      <c r="J150" s="202" t="str">
        <f>IF('User defined standard values'!J36&lt;&gt;"",'User defined standard values'!J36, "")</f>
        <v/>
      </c>
      <c r="K150" s="202" t="str">
        <f>IF('User defined standard values'!K36&lt;&gt;"",'User defined standard values'!K36, "")</f>
        <v/>
      </c>
      <c r="L150" s="101">
        <f>IF('User defined standard values'!L36&lt;&gt;"",'User defined standard values'!L36, "")</f>
        <v>0</v>
      </c>
      <c r="M150" s="13" t="str">
        <f>IF('User defined standard values'!M36&lt;&gt;"",'User defined standard values'!M36, "")</f>
        <v/>
      </c>
      <c r="N150" s="202" t="str">
        <f>IF('User defined standard values'!N36&lt;&gt;"",'User defined standard values'!N36, "")</f>
        <v/>
      </c>
      <c r="O150" s="269" t="str">
        <f>IF('User defined standard values'!O36&lt;&gt;"",'User defined standard values'!O36, "")</f>
        <v/>
      </c>
      <c r="P150" s="199" t="str">
        <f>IF('User defined standard values'!P36&lt;&gt;"",'User defined standard values'!P36, "")</f>
        <v/>
      </c>
      <c r="Q150" s="13" t="str">
        <f>IF('User defined standard values'!Q36&lt;&gt;"",'User defined standard values'!Q36, "")</f>
        <v/>
      </c>
      <c r="R150" s="201" t="str">
        <f>IF('User defined standard values'!R36&lt;&gt;"",'User defined standard values'!R36, "")</f>
        <v/>
      </c>
      <c r="S150" s="277" t="str">
        <f>IF('User defined standard values'!S36&lt;&gt;"",'User defined standard values'!S36, "")</f>
        <v/>
      </c>
      <c r="T150" s="99" t="str">
        <f>IF('User defined standard values'!T36&lt;&gt;"",'User defined standard values'!T36, "")</f>
        <v/>
      </c>
      <c r="U150" s="102" t="str">
        <f>IF('User defined standard values'!U36&lt;&gt;"",'User defined standard values'!U36, "")</f>
        <v/>
      </c>
    </row>
    <row r="151" spans="1:21" x14ac:dyDescent="0.2">
      <c r="A151" s="10"/>
      <c r="B151" s="100"/>
      <c r="C151" s="198" t="str">
        <f>IF('User defined standard values'!C37&lt;&gt;"",'User defined standard values'!C37, "")</f>
        <v/>
      </c>
      <c r="D151" s="102"/>
      <c r="E151" s="200" t="str">
        <f>IF('User defined standard values'!E37&lt;&gt;"",'User defined standard values'!E37, "")</f>
        <v/>
      </c>
      <c r="F151" s="13" t="str">
        <f>IF('User defined standard values'!F37&lt;&gt;"",'User defined standard values'!F37, "")</f>
        <v/>
      </c>
      <c r="G151" s="202" t="str">
        <f>IF('User defined standard values'!G37&lt;&gt;"",'User defined standard values'!G37, "")</f>
        <v/>
      </c>
      <c r="H151" s="199">
        <f>IF('User defined standard values'!H37&lt;&gt;"",'User defined standard values'!H37, "")</f>
        <v>0</v>
      </c>
      <c r="I151" s="24" t="str">
        <f>IF('User defined standard values'!I37&lt;&gt;"",'User defined standard values'!I37, "")</f>
        <v/>
      </c>
      <c r="J151" s="202" t="str">
        <f>IF('User defined standard values'!J37&lt;&gt;"",'User defined standard values'!J37, "")</f>
        <v/>
      </c>
      <c r="K151" s="202" t="str">
        <f>IF('User defined standard values'!K37&lt;&gt;"",'User defined standard values'!K37, "")</f>
        <v/>
      </c>
      <c r="L151" s="101">
        <f>IF('User defined standard values'!L37&lt;&gt;"",'User defined standard values'!L37, "")</f>
        <v>0</v>
      </c>
      <c r="M151" s="13" t="str">
        <f>IF('User defined standard values'!M37&lt;&gt;"",'User defined standard values'!M37, "")</f>
        <v/>
      </c>
      <c r="N151" s="202" t="str">
        <f>IF('User defined standard values'!N37&lt;&gt;"",'User defined standard values'!N37, "")</f>
        <v/>
      </c>
      <c r="O151" s="269" t="str">
        <f>IF('User defined standard values'!O37&lt;&gt;"",'User defined standard values'!O37, "")</f>
        <v/>
      </c>
      <c r="P151" s="199" t="str">
        <f>IF('User defined standard values'!P37&lt;&gt;"",'User defined standard values'!P37, "")</f>
        <v/>
      </c>
      <c r="Q151" s="13" t="str">
        <f>IF('User defined standard values'!Q37&lt;&gt;"",'User defined standard values'!Q37, "")</f>
        <v/>
      </c>
      <c r="R151" s="201" t="str">
        <f>IF('User defined standard values'!R37&lt;&gt;"",'User defined standard values'!R37, "")</f>
        <v/>
      </c>
      <c r="S151" s="277" t="str">
        <f>IF('User defined standard values'!S37&lt;&gt;"",'User defined standard values'!S37, "")</f>
        <v/>
      </c>
      <c r="T151" s="99" t="str">
        <f>IF('User defined standard values'!T37&lt;&gt;"",'User defined standard values'!T37, "")</f>
        <v/>
      </c>
      <c r="U151" s="102" t="str">
        <f>IF('User defined standard values'!U37&lt;&gt;"",'User defined standard values'!U37, "")</f>
        <v/>
      </c>
    </row>
    <row r="152" spans="1:21" x14ac:dyDescent="0.2">
      <c r="A152" s="10"/>
      <c r="B152" s="100"/>
      <c r="C152" s="198" t="str">
        <f>IF('User defined standard values'!C38&lt;&gt;"",'User defined standard values'!C38, "")</f>
        <v/>
      </c>
      <c r="D152" s="102"/>
      <c r="E152" s="200" t="str">
        <f>IF('User defined standard values'!E38&lt;&gt;"",'User defined standard values'!E38, "")</f>
        <v/>
      </c>
      <c r="F152" s="13" t="str">
        <f>IF('User defined standard values'!F38&lt;&gt;"",'User defined standard values'!F38, "")</f>
        <v/>
      </c>
      <c r="G152" s="202" t="str">
        <f>IF('User defined standard values'!G38&lt;&gt;"",'User defined standard values'!G38, "")</f>
        <v/>
      </c>
      <c r="H152" s="199">
        <f>IF('User defined standard values'!H38&lt;&gt;"",'User defined standard values'!H38, "")</f>
        <v>0</v>
      </c>
      <c r="I152" s="24" t="str">
        <f>IF('User defined standard values'!I38&lt;&gt;"",'User defined standard values'!I38, "")</f>
        <v/>
      </c>
      <c r="J152" s="202" t="str">
        <f>IF('User defined standard values'!J38&lt;&gt;"",'User defined standard values'!J38, "")</f>
        <v/>
      </c>
      <c r="K152" s="202" t="str">
        <f>IF('User defined standard values'!K38&lt;&gt;"",'User defined standard values'!K38, "")</f>
        <v/>
      </c>
      <c r="L152" s="101">
        <f>IF('User defined standard values'!L38&lt;&gt;"",'User defined standard values'!L38, "")</f>
        <v>0</v>
      </c>
      <c r="M152" s="13" t="str">
        <f>IF('User defined standard values'!M38&lt;&gt;"",'User defined standard values'!M38, "")</f>
        <v/>
      </c>
      <c r="N152" s="202" t="str">
        <f>IF('User defined standard values'!N38&lt;&gt;"",'User defined standard values'!N38, "")</f>
        <v/>
      </c>
      <c r="O152" s="269" t="str">
        <f>IF('User defined standard values'!O38&lt;&gt;"",'User defined standard values'!O38, "")</f>
        <v/>
      </c>
      <c r="P152" s="199" t="str">
        <f>IF('User defined standard values'!P38&lt;&gt;"",'User defined standard values'!P38, "")</f>
        <v/>
      </c>
      <c r="Q152" s="13" t="str">
        <f>IF('User defined standard values'!Q38&lt;&gt;"",'User defined standard values'!Q38, "")</f>
        <v/>
      </c>
      <c r="R152" s="201" t="str">
        <f>IF('User defined standard values'!R38&lt;&gt;"",'User defined standard values'!R38, "")</f>
        <v/>
      </c>
      <c r="S152" s="277" t="str">
        <f>IF('User defined standard values'!S38&lt;&gt;"",'User defined standard values'!S38, "")</f>
        <v/>
      </c>
      <c r="T152" s="99" t="str">
        <f>IF('User defined standard values'!T38&lt;&gt;"",'User defined standard values'!T38, "")</f>
        <v/>
      </c>
      <c r="U152" s="102" t="str">
        <f>IF('User defined standard values'!U38&lt;&gt;"",'User defined standard values'!U38, "")</f>
        <v/>
      </c>
    </row>
    <row r="153" spans="1:21" x14ac:dyDescent="0.2">
      <c r="A153" s="10"/>
      <c r="B153" s="100"/>
      <c r="C153" s="198" t="str">
        <f>IF('User defined standard values'!C39&lt;&gt;"",'User defined standard values'!C39, "")</f>
        <v/>
      </c>
      <c r="D153" s="102"/>
      <c r="E153" s="200" t="str">
        <f>IF('User defined standard values'!E39&lt;&gt;"",'User defined standard values'!E39, "")</f>
        <v/>
      </c>
      <c r="F153" s="13" t="str">
        <f>IF('User defined standard values'!F39&lt;&gt;"",'User defined standard values'!F39, "")</f>
        <v/>
      </c>
      <c r="G153" s="202" t="str">
        <f>IF('User defined standard values'!G39&lt;&gt;"",'User defined standard values'!G39, "")</f>
        <v/>
      </c>
      <c r="H153" s="199">
        <f>IF('User defined standard values'!H39&lt;&gt;"",'User defined standard values'!H39, "")</f>
        <v>0</v>
      </c>
      <c r="I153" s="24" t="str">
        <f>IF('User defined standard values'!I39&lt;&gt;"",'User defined standard values'!I39, "")</f>
        <v/>
      </c>
      <c r="J153" s="202" t="str">
        <f>IF('User defined standard values'!J39&lt;&gt;"",'User defined standard values'!J39, "")</f>
        <v/>
      </c>
      <c r="K153" s="202" t="str">
        <f>IF('User defined standard values'!K39&lt;&gt;"",'User defined standard values'!K39, "")</f>
        <v/>
      </c>
      <c r="L153" s="101">
        <f>IF('User defined standard values'!L39&lt;&gt;"",'User defined standard values'!L39, "")</f>
        <v>0</v>
      </c>
      <c r="M153" s="13" t="str">
        <f>IF('User defined standard values'!M39&lt;&gt;"",'User defined standard values'!M39, "")</f>
        <v/>
      </c>
      <c r="N153" s="202" t="str">
        <f>IF('User defined standard values'!N39&lt;&gt;"",'User defined standard values'!N39, "")</f>
        <v/>
      </c>
      <c r="O153" s="269" t="str">
        <f>IF('User defined standard values'!O39&lt;&gt;"",'User defined standard values'!O39, "")</f>
        <v/>
      </c>
      <c r="P153" s="199" t="str">
        <f>IF('User defined standard values'!P39&lt;&gt;"",'User defined standard values'!P39, "")</f>
        <v/>
      </c>
      <c r="Q153" s="13" t="str">
        <f>IF('User defined standard values'!Q39&lt;&gt;"",'User defined standard values'!Q39, "")</f>
        <v/>
      </c>
      <c r="R153" s="201" t="str">
        <f>IF('User defined standard values'!R39&lt;&gt;"",'User defined standard values'!R39, "")</f>
        <v/>
      </c>
      <c r="S153" s="277" t="str">
        <f>IF('User defined standard values'!S39&lt;&gt;"",'User defined standard values'!S39, "")</f>
        <v/>
      </c>
      <c r="T153" s="99" t="str">
        <f>IF('User defined standard values'!T39&lt;&gt;"",'User defined standard values'!T39, "")</f>
        <v/>
      </c>
      <c r="U153" s="102" t="str">
        <f>IF('User defined standard values'!U39&lt;&gt;"",'User defined standard values'!U39, "")</f>
        <v/>
      </c>
    </row>
    <row r="154" spans="1:21" x14ac:dyDescent="0.2">
      <c r="A154" s="10"/>
      <c r="B154" s="100"/>
      <c r="C154" s="198" t="str">
        <f>IF('User defined standard values'!C40&lt;&gt;"",'User defined standard values'!C40, "")</f>
        <v/>
      </c>
      <c r="D154" s="102"/>
      <c r="E154" s="200" t="str">
        <f>IF('User defined standard values'!E40&lt;&gt;"",'User defined standard values'!E40, "")</f>
        <v/>
      </c>
      <c r="F154" s="13" t="str">
        <f>IF('User defined standard values'!F40&lt;&gt;"",'User defined standard values'!F40, "")</f>
        <v/>
      </c>
      <c r="G154" s="202" t="str">
        <f>IF('User defined standard values'!G40&lt;&gt;"",'User defined standard values'!G40, "")</f>
        <v/>
      </c>
      <c r="H154" s="199">
        <f>IF('User defined standard values'!H40&lt;&gt;"",'User defined standard values'!H40, "")</f>
        <v>0</v>
      </c>
      <c r="I154" s="24" t="str">
        <f>IF('User defined standard values'!I40&lt;&gt;"",'User defined standard values'!I40, "")</f>
        <v/>
      </c>
      <c r="J154" s="202" t="str">
        <f>IF('User defined standard values'!J40&lt;&gt;"",'User defined standard values'!J40, "")</f>
        <v/>
      </c>
      <c r="K154" s="202" t="str">
        <f>IF('User defined standard values'!K40&lt;&gt;"",'User defined standard values'!K40, "")</f>
        <v/>
      </c>
      <c r="L154" s="101">
        <f>IF('User defined standard values'!L40&lt;&gt;"",'User defined standard values'!L40, "")</f>
        <v>0</v>
      </c>
      <c r="M154" s="13" t="str">
        <f>IF('User defined standard values'!M40&lt;&gt;"",'User defined standard values'!M40, "")</f>
        <v/>
      </c>
      <c r="N154" s="202" t="str">
        <f>IF('User defined standard values'!N40&lt;&gt;"",'User defined standard values'!N40, "")</f>
        <v/>
      </c>
      <c r="O154" s="269" t="str">
        <f>IF('User defined standard values'!O40&lt;&gt;"",'User defined standard values'!O40, "")</f>
        <v/>
      </c>
      <c r="P154" s="199" t="str">
        <f>IF('User defined standard values'!P40&lt;&gt;"",'User defined standard values'!P40, "")</f>
        <v/>
      </c>
      <c r="Q154" s="13" t="str">
        <f>IF('User defined standard values'!Q40&lt;&gt;"",'User defined standard values'!Q40, "")</f>
        <v/>
      </c>
      <c r="R154" s="201" t="str">
        <f>IF('User defined standard values'!R40&lt;&gt;"",'User defined standard values'!R40, "")</f>
        <v/>
      </c>
      <c r="S154" s="277" t="str">
        <f>IF('User defined standard values'!S40&lt;&gt;"",'User defined standard values'!S40, "")</f>
        <v/>
      </c>
      <c r="T154" s="99" t="str">
        <f>IF('User defined standard values'!T40&lt;&gt;"",'User defined standard values'!T40, "")</f>
        <v/>
      </c>
      <c r="U154" s="102" t="str">
        <f>IF('User defined standard values'!U40&lt;&gt;"",'User defined standard values'!U40, "")</f>
        <v/>
      </c>
    </row>
    <row r="155" spans="1:21" x14ac:dyDescent="0.2">
      <c r="A155" s="10"/>
      <c r="B155" s="100"/>
      <c r="C155" s="198" t="str">
        <f>IF('User defined standard values'!C41&lt;&gt;"",'User defined standard values'!C41, "")</f>
        <v/>
      </c>
      <c r="D155" s="102"/>
      <c r="E155" s="200" t="str">
        <f>IF('User defined standard values'!E41&lt;&gt;"",'User defined standard values'!E41, "")</f>
        <v/>
      </c>
      <c r="F155" s="13" t="str">
        <f>IF('User defined standard values'!F41&lt;&gt;"",'User defined standard values'!F41, "")</f>
        <v/>
      </c>
      <c r="G155" s="202" t="str">
        <f>IF('User defined standard values'!G41&lt;&gt;"",'User defined standard values'!G41, "")</f>
        <v/>
      </c>
      <c r="H155" s="199">
        <f>IF('User defined standard values'!H41&lt;&gt;"",'User defined standard values'!H41, "")</f>
        <v>0</v>
      </c>
      <c r="I155" s="24" t="str">
        <f>IF('User defined standard values'!I41&lt;&gt;"",'User defined standard values'!I41, "")</f>
        <v/>
      </c>
      <c r="J155" s="202" t="str">
        <f>IF('User defined standard values'!J41&lt;&gt;"",'User defined standard values'!J41, "")</f>
        <v/>
      </c>
      <c r="K155" s="202" t="str">
        <f>IF('User defined standard values'!K41&lt;&gt;"",'User defined standard values'!K41, "")</f>
        <v/>
      </c>
      <c r="L155" s="101">
        <f>IF('User defined standard values'!L41&lt;&gt;"",'User defined standard values'!L41, "")</f>
        <v>0</v>
      </c>
      <c r="M155" s="13" t="str">
        <f>IF('User defined standard values'!M41&lt;&gt;"",'User defined standard values'!M41, "")</f>
        <v/>
      </c>
      <c r="N155" s="202" t="str">
        <f>IF('User defined standard values'!N41&lt;&gt;"",'User defined standard values'!N41, "")</f>
        <v/>
      </c>
      <c r="O155" s="269" t="str">
        <f>IF('User defined standard values'!O41&lt;&gt;"",'User defined standard values'!O41, "")</f>
        <v/>
      </c>
      <c r="P155" s="199" t="str">
        <f>IF('User defined standard values'!P41&lt;&gt;"",'User defined standard values'!P41, "")</f>
        <v/>
      </c>
      <c r="Q155" s="13" t="str">
        <f>IF('User defined standard values'!Q41&lt;&gt;"",'User defined standard values'!Q41, "")</f>
        <v/>
      </c>
      <c r="R155" s="201" t="str">
        <f>IF('User defined standard values'!R41&lt;&gt;"",'User defined standard values'!R41, "")</f>
        <v/>
      </c>
      <c r="S155" s="277" t="str">
        <f>IF('User defined standard values'!S41&lt;&gt;"",'User defined standard values'!S41, "")</f>
        <v/>
      </c>
      <c r="T155" s="99" t="str">
        <f>IF('User defined standard values'!T41&lt;&gt;"",'User defined standard values'!T41, "")</f>
        <v/>
      </c>
      <c r="U155" s="102" t="str">
        <f>IF('User defined standard values'!U41&lt;&gt;"",'User defined standard values'!U41, "")</f>
        <v/>
      </c>
    </row>
    <row r="156" spans="1:21" x14ac:dyDescent="0.2">
      <c r="A156" s="10"/>
      <c r="B156" s="100"/>
      <c r="C156" s="198" t="str">
        <f>IF('User defined standard values'!C42&lt;&gt;"",'User defined standard values'!C42, "")</f>
        <v/>
      </c>
      <c r="D156" s="102"/>
      <c r="E156" s="200" t="str">
        <f>IF('User defined standard values'!E42&lt;&gt;"",'User defined standard values'!E42, "")</f>
        <v/>
      </c>
      <c r="F156" s="13" t="str">
        <f>IF('User defined standard values'!F42&lt;&gt;"",'User defined standard values'!F42, "")</f>
        <v/>
      </c>
      <c r="G156" s="202" t="str">
        <f>IF('User defined standard values'!G42&lt;&gt;"",'User defined standard values'!G42, "")</f>
        <v/>
      </c>
      <c r="H156" s="199">
        <f>IF('User defined standard values'!H42&lt;&gt;"",'User defined standard values'!H42, "")</f>
        <v>0</v>
      </c>
      <c r="I156" s="24" t="str">
        <f>IF('User defined standard values'!I42&lt;&gt;"",'User defined standard values'!I42, "")</f>
        <v/>
      </c>
      <c r="J156" s="202" t="str">
        <f>IF('User defined standard values'!J42&lt;&gt;"",'User defined standard values'!J42, "")</f>
        <v/>
      </c>
      <c r="K156" s="202" t="str">
        <f>IF('User defined standard values'!K42&lt;&gt;"",'User defined standard values'!K42, "")</f>
        <v/>
      </c>
      <c r="L156" s="101">
        <f>IF('User defined standard values'!L42&lt;&gt;"",'User defined standard values'!L42, "")</f>
        <v>0</v>
      </c>
      <c r="M156" s="13" t="str">
        <f>IF('User defined standard values'!M42&lt;&gt;"",'User defined standard values'!M42, "")</f>
        <v/>
      </c>
      <c r="N156" s="202" t="str">
        <f>IF('User defined standard values'!N42&lt;&gt;"",'User defined standard values'!N42, "")</f>
        <v/>
      </c>
      <c r="O156" s="269" t="str">
        <f>IF('User defined standard values'!O42&lt;&gt;"",'User defined standard values'!O42, "")</f>
        <v/>
      </c>
      <c r="P156" s="199" t="str">
        <f>IF('User defined standard values'!P42&lt;&gt;"",'User defined standard values'!P42, "")</f>
        <v/>
      </c>
      <c r="Q156" s="13" t="str">
        <f>IF('User defined standard values'!Q42&lt;&gt;"",'User defined standard values'!Q42, "")</f>
        <v/>
      </c>
      <c r="R156" s="201" t="str">
        <f>IF('User defined standard values'!R42&lt;&gt;"",'User defined standard values'!R42, "")</f>
        <v/>
      </c>
      <c r="S156" s="277" t="str">
        <f>IF('User defined standard values'!S42&lt;&gt;"",'User defined standard values'!S42, "")</f>
        <v/>
      </c>
      <c r="T156" s="99" t="str">
        <f>IF('User defined standard values'!T42&lt;&gt;"",'User defined standard values'!T42, "")</f>
        <v/>
      </c>
      <c r="U156" s="102" t="str">
        <f>IF('User defined standard values'!U42&lt;&gt;"",'User defined standard values'!U42, "")</f>
        <v/>
      </c>
    </row>
    <row r="157" spans="1:21" x14ac:dyDescent="0.2">
      <c r="A157" s="10"/>
      <c r="B157" s="100"/>
      <c r="C157" s="198" t="str">
        <f>IF('User defined standard values'!C43&lt;&gt;"",'User defined standard values'!C43, "")</f>
        <v/>
      </c>
      <c r="D157" s="102"/>
      <c r="E157" s="200" t="str">
        <f>IF('User defined standard values'!E43&lt;&gt;"",'User defined standard values'!E43, "")</f>
        <v/>
      </c>
      <c r="F157" s="13" t="str">
        <f>IF('User defined standard values'!F43&lt;&gt;"",'User defined standard values'!F43, "")</f>
        <v/>
      </c>
      <c r="G157" s="202" t="str">
        <f>IF('User defined standard values'!G43&lt;&gt;"",'User defined standard values'!G43, "")</f>
        <v/>
      </c>
      <c r="H157" s="199">
        <f>IF('User defined standard values'!H43&lt;&gt;"",'User defined standard values'!H43, "")</f>
        <v>0</v>
      </c>
      <c r="I157" s="24" t="str">
        <f>IF('User defined standard values'!I43&lt;&gt;"",'User defined standard values'!I43, "")</f>
        <v/>
      </c>
      <c r="J157" s="202" t="str">
        <f>IF('User defined standard values'!J43&lt;&gt;"",'User defined standard values'!J43, "")</f>
        <v/>
      </c>
      <c r="K157" s="202" t="str">
        <f>IF('User defined standard values'!K43&lt;&gt;"",'User defined standard values'!K43, "")</f>
        <v/>
      </c>
      <c r="L157" s="101">
        <f>IF('User defined standard values'!L43&lt;&gt;"",'User defined standard values'!L43, "")</f>
        <v>0</v>
      </c>
      <c r="M157" s="13" t="str">
        <f>IF('User defined standard values'!M43&lt;&gt;"",'User defined standard values'!M43, "")</f>
        <v/>
      </c>
      <c r="N157" s="202" t="str">
        <f>IF('User defined standard values'!N43&lt;&gt;"",'User defined standard values'!N43, "")</f>
        <v/>
      </c>
      <c r="O157" s="269" t="str">
        <f>IF('User defined standard values'!O43&lt;&gt;"",'User defined standard values'!O43, "")</f>
        <v/>
      </c>
      <c r="P157" s="199" t="str">
        <f>IF('User defined standard values'!P43&lt;&gt;"",'User defined standard values'!P43, "")</f>
        <v/>
      </c>
      <c r="Q157" s="13" t="str">
        <f>IF('User defined standard values'!Q43&lt;&gt;"",'User defined standard values'!Q43, "")</f>
        <v/>
      </c>
      <c r="R157" s="201" t="str">
        <f>IF('User defined standard values'!R43&lt;&gt;"",'User defined standard values'!R43, "")</f>
        <v/>
      </c>
      <c r="S157" s="277" t="str">
        <f>IF('User defined standard values'!S43&lt;&gt;"",'User defined standard values'!S43, "")</f>
        <v/>
      </c>
      <c r="T157" s="99" t="str">
        <f>IF('User defined standard values'!T43&lt;&gt;"",'User defined standard values'!T43, "")</f>
        <v/>
      </c>
      <c r="U157" s="102" t="str">
        <f>IF('User defined standard values'!U43&lt;&gt;"",'User defined standard values'!U43, "")</f>
        <v/>
      </c>
    </row>
    <row r="158" spans="1:21" x14ac:dyDescent="0.2">
      <c r="A158" s="10"/>
      <c r="B158" s="100"/>
      <c r="C158" s="198" t="str">
        <f>IF('User defined standard values'!C44&lt;&gt;"",'User defined standard values'!C44, "")</f>
        <v/>
      </c>
      <c r="D158" s="102"/>
      <c r="E158" s="200" t="str">
        <f>IF('User defined standard values'!E44&lt;&gt;"",'User defined standard values'!E44, "")</f>
        <v/>
      </c>
      <c r="F158" s="13" t="str">
        <f>IF('User defined standard values'!F44&lt;&gt;"",'User defined standard values'!F44, "")</f>
        <v/>
      </c>
      <c r="G158" s="202" t="str">
        <f>IF('User defined standard values'!G44&lt;&gt;"",'User defined standard values'!G44, "")</f>
        <v/>
      </c>
      <c r="H158" s="199">
        <f>IF('User defined standard values'!H44&lt;&gt;"",'User defined standard values'!H44, "")</f>
        <v>0</v>
      </c>
      <c r="I158" s="24" t="str">
        <f>IF('User defined standard values'!I44&lt;&gt;"",'User defined standard values'!I44, "")</f>
        <v/>
      </c>
      <c r="J158" s="202" t="str">
        <f>IF('User defined standard values'!J44&lt;&gt;"",'User defined standard values'!J44, "")</f>
        <v/>
      </c>
      <c r="K158" s="202" t="str">
        <f>IF('User defined standard values'!K44&lt;&gt;"",'User defined standard values'!K44, "")</f>
        <v/>
      </c>
      <c r="L158" s="101">
        <f>IF('User defined standard values'!L44&lt;&gt;"",'User defined standard values'!L44, "")</f>
        <v>0</v>
      </c>
      <c r="M158" s="13" t="str">
        <f>IF('User defined standard values'!M44&lt;&gt;"",'User defined standard values'!M44, "")</f>
        <v/>
      </c>
      <c r="N158" s="202" t="str">
        <f>IF('User defined standard values'!N44&lt;&gt;"",'User defined standard values'!N44, "")</f>
        <v/>
      </c>
      <c r="O158" s="269" t="str">
        <f>IF('User defined standard values'!O44&lt;&gt;"",'User defined standard values'!O44, "")</f>
        <v/>
      </c>
      <c r="P158" s="199" t="str">
        <f>IF('User defined standard values'!P44&lt;&gt;"",'User defined standard values'!P44, "")</f>
        <v/>
      </c>
      <c r="Q158" s="13" t="str">
        <f>IF('User defined standard values'!Q44&lt;&gt;"",'User defined standard values'!Q44, "")</f>
        <v/>
      </c>
      <c r="R158" s="201" t="str">
        <f>IF('User defined standard values'!R44&lt;&gt;"",'User defined standard values'!R44, "")</f>
        <v/>
      </c>
      <c r="S158" s="277" t="str">
        <f>IF('User defined standard values'!S44&lt;&gt;"",'User defined standard values'!S44, "")</f>
        <v/>
      </c>
      <c r="T158" s="99" t="str">
        <f>IF('User defined standard values'!T44&lt;&gt;"",'User defined standard values'!T44, "")</f>
        <v/>
      </c>
      <c r="U158" s="102" t="str">
        <f>IF('User defined standard values'!U44&lt;&gt;"",'User defined standard values'!U44, "")</f>
        <v/>
      </c>
    </row>
    <row r="159" spans="1:21" x14ac:dyDescent="0.2">
      <c r="A159" s="10"/>
      <c r="B159" s="100"/>
      <c r="C159" s="198" t="str">
        <f>IF('User defined standard values'!C45&lt;&gt;"",'User defined standard values'!C45, "")</f>
        <v/>
      </c>
      <c r="D159" s="102"/>
      <c r="E159" s="200" t="str">
        <f>IF('User defined standard values'!E45&lt;&gt;"",'User defined standard values'!E45, "")</f>
        <v/>
      </c>
      <c r="F159" s="13" t="str">
        <f>IF('User defined standard values'!F45&lt;&gt;"",'User defined standard values'!F45, "")</f>
        <v/>
      </c>
      <c r="G159" s="202" t="str">
        <f>IF('User defined standard values'!G45&lt;&gt;"",'User defined standard values'!G45, "")</f>
        <v/>
      </c>
      <c r="H159" s="199">
        <f>IF('User defined standard values'!H45&lt;&gt;"",'User defined standard values'!H45, "")</f>
        <v>0</v>
      </c>
      <c r="I159" s="24" t="str">
        <f>IF('User defined standard values'!I45&lt;&gt;"",'User defined standard values'!I45, "")</f>
        <v/>
      </c>
      <c r="J159" s="202" t="str">
        <f>IF('User defined standard values'!J45&lt;&gt;"",'User defined standard values'!J45, "")</f>
        <v/>
      </c>
      <c r="K159" s="202" t="str">
        <f>IF('User defined standard values'!K45&lt;&gt;"",'User defined standard values'!K45, "")</f>
        <v/>
      </c>
      <c r="L159" s="101">
        <f>IF('User defined standard values'!L45&lt;&gt;"",'User defined standard values'!L45, "")</f>
        <v>0</v>
      </c>
      <c r="M159" s="13" t="str">
        <f>IF('User defined standard values'!M45&lt;&gt;"",'User defined standard values'!M45, "")</f>
        <v/>
      </c>
      <c r="N159" s="202" t="str">
        <f>IF('User defined standard values'!N45&lt;&gt;"",'User defined standard values'!N45, "")</f>
        <v/>
      </c>
      <c r="O159" s="269" t="str">
        <f>IF('User defined standard values'!O45&lt;&gt;"",'User defined standard values'!O45, "")</f>
        <v/>
      </c>
      <c r="P159" s="199" t="str">
        <f>IF('User defined standard values'!P45&lt;&gt;"",'User defined standard values'!P45, "")</f>
        <v/>
      </c>
      <c r="Q159" s="13" t="str">
        <f>IF('User defined standard values'!Q45&lt;&gt;"",'User defined standard values'!Q45, "")</f>
        <v/>
      </c>
      <c r="R159" s="201" t="str">
        <f>IF('User defined standard values'!R45&lt;&gt;"",'User defined standard values'!R45, "")</f>
        <v/>
      </c>
      <c r="S159" s="277" t="str">
        <f>IF('User defined standard values'!S45&lt;&gt;"",'User defined standard values'!S45, "")</f>
        <v/>
      </c>
      <c r="T159" s="99" t="str">
        <f>IF('User defined standard values'!T45&lt;&gt;"",'User defined standard values'!T45, "")</f>
        <v/>
      </c>
      <c r="U159" s="102" t="str">
        <f>IF('User defined standard values'!U45&lt;&gt;"",'User defined standard values'!U45, "")</f>
        <v/>
      </c>
    </row>
    <row r="160" spans="1:21" x14ac:dyDescent="0.2">
      <c r="A160" s="10"/>
      <c r="B160" s="100"/>
      <c r="C160" s="198" t="str">
        <f>IF('User defined standard values'!C46&lt;&gt;"",'User defined standard values'!C46, "")</f>
        <v/>
      </c>
      <c r="D160" s="102"/>
      <c r="E160" s="200" t="str">
        <f>IF('User defined standard values'!E46&lt;&gt;"",'User defined standard values'!E46, "")</f>
        <v/>
      </c>
      <c r="F160" s="13" t="str">
        <f>IF('User defined standard values'!F46&lt;&gt;"",'User defined standard values'!F46, "")</f>
        <v/>
      </c>
      <c r="G160" s="202" t="str">
        <f>IF('User defined standard values'!G46&lt;&gt;"",'User defined standard values'!G46, "")</f>
        <v/>
      </c>
      <c r="H160" s="199">
        <f>IF('User defined standard values'!H46&lt;&gt;"",'User defined standard values'!H46, "")</f>
        <v>0</v>
      </c>
      <c r="I160" s="24" t="str">
        <f>IF('User defined standard values'!I46&lt;&gt;"",'User defined standard values'!I46, "")</f>
        <v/>
      </c>
      <c r="J160" s="202" t="str">
        <f>IF('User defined standard values'!J46&lt;&gt;"",'User defined standard values'!J46, "")</f>
        <v/>
      </c>
      <c r="K160" s="202" t="str">
        <f>IF('User defined standard values'!K46&lt;&gt;"",'User defined standard values'!K46, "")</f>
        <v/>
      </c>
      <c r="L160" s="101">
        <f>IF('User defined standard values'!L46&lt;&gt;"",'User defined standard values'!L46, "")</f>
        <v>0</v>
      </c>
      <c r="M160" s="13" t="str">
        <f>IF('User defined standard values'!M46&lt;&gt;"",'User defined standard values'!M46, "")</f>
        <v/>
      </c>
      <c r="N160" s="202" t="str">
        <f>IF('User defined standard values'!N46&lt;&gt;"",'User defined standard values'!N46, "")</f>
        <v/>
      </c>
      <c r="O160" s="269" t="str">
        <f>IF('User defined standard values'!O46&lt;&gt;"",'User defined standard values'!O46, "")</f>
        <v/>
      </c>
      <c r="P160" s="199" t="str">
        <f>IF('User defined standard values'!P46&lt;&gt;"",'User defined standard values'!P46, "")</f>
        <v/>
      </c>
      <c r="Q160" s="13" t="str">
        <f>IF('User defined standard values'!Q46&lt;&gt;"",'User defined standard values'!Q46, "")</f>
        <v/>
      </c>
      <c r="R160" s="201" t="str">
        <f>IF('User defined standard values'!R46&lt;&gt;"",'User defined standard values'!R46, "")</f>
        <v/>
      </c>
      <c r="S160" s="277" t="str">
        <f>IF('User defined standard values'!S46&lt;&gt;"",'User defined standard values'!S46, "")</f>
        <v/>
      </c>
      <c r="T160" s="99" t="str">
        <f>IF('User defined standard values'!T46&lt;&gt;"",'User defined standard values'!T46, "")</f>
        <v/>
      </c>
      <c r="U160" s="102" t="str">
        <f>IF('User defined standard values'!U46&lt;&gt;"",'User defined standard values'!U46, "")</f>
        <v/>
      </c>
    </row>
    <row r="161" spans="1:21" x14ac:dyDescent="0.2">
      <c r="A161" s="10"/>
      <c r="B161" s="100"/>
      <c r="C161" s="198" t="str">
        <f>IF('User defined standard values'!C47&lt;&gt;"",'User defined standard values'!C47, "")</f>
        <v/>
      </c>
      <c r="D161" s="102"/>
      <c r="E161" s="200" t="str">
        <f>IF('User defined standard values'!E47&lt;&gt;"",'User defined standard values'!E47, "")</f>
        <v/>
      </c>
      <c r="F161" s="13" t="str">
        <f>IF('User defined standard values'!F47&lt;&gt;"",'User defined standard values'!F47, "")</f>
        <v/>
      </c>
      <c r="G161" s="202" t="str">
        <f>IF('User defined standard values'!G47&lt;&gt;"",'User defined standard values'!G47, "")</f>
        <v/>
      </c>
      <c r="H161" s="199">
        <f>IF('User defined standard values'!H47&lt;&gt;"",'User defined standard values'!H47, "")</f>
        <v>0</v>
      </c>
      <c r="I161" s="24" t="str">
        <f>IF('User defined standard values'!I47&lt;&gt;"",'User defined standard values'!I47, "")</f>
        <v/>
      </c>
      <c r="J161" s="202" t="str">
        <f>IF('User defined standard values'!J47&lt;&gt;"",'User defined standard values'!J47, "")</f>
        <v/>
      </c>
      <c r="K161" s="202" t="str">
        <f>IF('User defined standard values'!K47&lt;&gt;"",'User defined standard values'!K47, "")</f>
        <v/>
      </c>
      <c r="L161" s="101">
        <f>IF('User defined standard values'!L47&lt;&gt;"",'User defined standard values'!L47, "")</f>
        <v>0</v>
      </c>
      <c r="M161" s="13" t="str">
        <f>IF('User defined standard values'!M47&lt;&gt;"",'User defined standard values'!M47, "")</f>
        <v/>
      </c>
      <c r="N161" s="202" t="str">
        <f>IF('User defined standard values'!N47&lt;&gt;"",'User defined standard values'!N47, "")</f>
        <v/>
      </c>
      <c r="O161" s="269" t="str">
        <f>IF('User defined standard values'!O47&lt;&gt;"",'User defined standard values'!O47, "")</f>
        <v/>
      </c>
      <c r="P161" s="199" t="str">
        <f>IF('User defined standard values'!P47&lt;&gt;"",'User defined standard values'!P47, "")</f>
        <v/>
      </c>
      <c r="Q161" s="13" t="str">
        <f>IF('User defined standard values'!Q47&lt;&gt;"",'User defined standard values'!Q47, "")</f>
        <v/>
      </c>
      <c r="R161" s="201" t="str">
        <f>IF('User defined standard values'!R47&lt;&gt;"",'User defined standard values'!R47, "")</f>
        <v/>
      </c>
      <c r="S161" s="277" t="str">
        <f>IF('User defined standard values'!S47&lt;&gt;"",'User defined standard values'!S47, "")</f>
        <v/>
      </c>
      <c r="T161" s="99" t="str">
        <f>IF('User defined standard values'!T47&lt;&gt;"",'User defined standard values'!T47, "")</f>
        <v/>
      </c>
      <c r="U161" s="102" t="str">
        <f>IF('User defined standard values'!U47&lt;&gt;"",'User defined standard values'!U47, "")</f>
        <v/>
      </c>
    </row>
    <row r="162" spans="1:21" ht="13.5" thickBot="1" x14ac:dyDescent="0.25">
      <c r="A162" s="10"/>
      <c r="B162" s="50"/>
      <c r="C162" s="55"/>
      <c r="D162" s="65"/>
      <c r="E162" s="51"/>
      <c r="F162" s="52"/>
      <c r="G162" s="52"/>
      <c r="H162" s="55"/>
      <c r="I162" s="51"/>
      <c r="J162" s="52"/>
      <c r="K162" s="52"/>
      <c r="L162" s="55"/>
      <c r="M162" s="51"/>
      <c r="N162" s="52"/>
      <c r="O162" s="52"/>
      <c r="P162" s="55"/>
      <c r="Q162" s="53"/>
      <c r="R162" s="54"/>
      <c r="S162" s="63"/>
      <c r="T162" s="65"/>
      <c r="U162" s="103"/>
    </row>
    <row r="163" spans="1:21" x14ac:dyDescent="0.2">
      <c r="T163" s="22"/>
    </row>
  </sheetData>
  <sheetProtection password="9D8F" sheet="1" objects="1" scenarios="1"/>
  <customSheetViews>
    <customSheetView guid="{AD88818B-9F97-4B1E-9426-0DECE603685E}" scale="80" fitToPage="1" showRuler="0">
      <pane ySplit="7" topLeftCell="A8" activePane="bottomLeft" state="frozen"/>
      <selection pane="bottomLeft"/>
      <pageMargins left="0.75" right="0.75" top="1" bottom="1" header="0.5" footer="0.5"/>
      <pageSetup paperSize="9" scale="31" fitToHeight="0" orientation="landscape"/>
      <headerFooter alignWithMargins="0">
        <oddFooter>&amp;L&amp;8&amp;F&amp;C&amp;8&amp;A&amp;R&amp;8page&amp;P</oddFooter>
      </headerFooter>
    </customSheetView>
    <customSheetView guid="{7EB5D807-CE20-46E2-AEE6-2C193E010EA4}" scale="80" fitToPage="1" showRuler="0">
      <pane ySplit="7" topLeftCell="A8" activePane="bottomLeft" state="frozen"/>
      <selection pane="bottomLeft"/>
      <pageMargins left="0.75" right="0.75" top="1" bottom="1" header="0.5" footer="0.5"/>
      <pageSetup paperSize="9" scale="31" fitToHeight="0" orientation="landscape"/>
      <headerFooter alignWithMargins="0">
        <oddFooter>&amp;L&amp;8&amp;F&amp;C&amp;8&amp;A&amp;R&amp;8page&amp;P</oddFooter>
      </headerFooter>
    </customSheetView>
  </customSheetViews>
  <mergeCells count="21">
    <mergeCell ref="B122:C122"/>
    <mergeCell ref="F6:F7"/>
    <mergeCell ref="E6:E7"/>
    <mergeCell ref="B108:C108"/>
    <mergeCell ref="B115:C115"/>
    <mergeCell ref="B4:C4"/>
    <mergeCell ref="D6:D7"/>
    <mergeCell ref="R4:S4"/>
    <mergeCell ref="E5:L5"/>
    <mergeCell ref="M5:N5"/>
    <mergeCell ref="L6:L7"/>
    <mergeCell ref="G6:G7"/>
    <mergeCell ref="S6:S7"/>
    <mergeCell ref="K6:K7"/>
    <mergeCell ref="M6:M7"/>
    <mergeCell ref="I6:I7"/>
    <mergeCell ref="H6:H7"/>
    <mergeCell ref="R5:S5"/>
    <mergeCell ref="R6:R7"/>
    <mergeCell ref="N6:N7"/>
    <mergeCell ref="J6:J7"/>
  </mergeCells>
  <phoneticPr fontId="27" type="noConversion"/>
  <conditionalFormatting sqref="E162:S162 E8:U9 T107:T108 T122:T161 T114:T115">
    <cfRule type="cellIs" dxfId="0" priority="1" stopIfTrue="1" operator="equal">
      <formula>"N.A."</formula>
    </cfRule>
  </conditionalFormatting>
  <pageMargins left="0.75" right="0.75" top="1" bottom="1" header="0.5" footer="0.5"/>
  <pageSetup paperSize="9" scale="30" fitToHeight="0" orientation="landscape"/>
  <headerFooter alignWithMargins="0">
    <oddFooter>&amp;L&amp;8&amp;F&amp;C&amp;8&amp;A&amp;R&amp;8page&amp;P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2845" r:id="rId3" name="Label 797">
              <controlPr defaultSize="0" autoFill="0" autoLine="0" autoPict="0" macro="[0]!GoToAbout">
                <anchor moveWithCells="1" sizeWithCells="1">
                  <from>
                    <xdr:col>10</xdr:col>
                    <xdr:colOff>657225</xdr:colOff>
                    <xdr:row>0</xdr:row>
                    <xdr:rowOff>790575</xdr:rowOff>
                  </from>
                  <to>
                    <xdr:col>11</xdr:col>
                    <xdr:colOff>809625</xdr:colOff>
                    <xdr:row>0</xdr:row>
                    <xdr:rowOff>1285875</xdr:rowOff>
                  </to>
                </anchor>
              </controlPr>
            </control>
          </mc:Choice>
        </mc:AlternateContent>
        <mc:AlternateContent xmlns:mc="http://schemas.openxmlformats.org/markup-compatibility/2006">
          <mc:Choice Requires="x14">
            <control shapeId="2846" r:id="rId4" name="Label 798">
              <controlPr defaultSize="0" autoFill="0" autoLine="0" autoPict="0" macro="[0]!GoToDirectory">
                <anchor moveWithCells="1" sizeWithCells="1">
                  <from>
                    <xdr:col>11</xdr:col>
                    <xdr:colOff>885825</xdr:colOff>
                    <xdr:row>0</xdr:row>
                    <xdr:rowOff>790575</xdr:rowOff>
                  </from>
                  <to>
                    <xdr:col>13</xdr:col>
                    <xdr:colOff>161925</xdr:colOff>
                    <xdr:row>0</xdr:row>
                    <xdr:rowOff>1285875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32</vt:i4>
      </vt:variant>
      <vt:variant>
        <vt:lpstr>Benannte Bereiche</vt:lpstr>
      </vt:variant>
      <vt:variant>
        <vt:i4>30</vt:i4>
      </vt:variant>
    </vt:vector>
  </HeadingPairs>
  <TitlesOfParts>
    <vt:vector size="62" baseType="lpstr">
      <vt:lpstr>Start</vt:lpstr>
      <vt:lpstr>About</vt:lpstr>
      <vt:lpstr>Directory</vt:lpstr>
      <vt:lpstr>LUC</vt:lpstr>
      <vt:lpstr>Esca</vt:lpstr>
      <vt:lpstr>N2O emissions IPCC </vt:lpstr>
      <vt:lpstr>Calculate efficiencies</vt:lpstr>
      <vt:lpstr>E-Sb</vt:lpstr>
      <vt:lpstr>E-Wt (not.spec.)</vt:lpstr>
      <vt:lpstr>E-Wt (Lign-chp)</vt:lpstr>
      <vt:lpstr>E-Wt (NG-b)</vt:lpstr>
      <vt:lpstr>E-Wt (NG-chp)</vt:lpstr>
      <vt:lpstr>E-Wt (Str-chp)</vt:lpstr>
      <vt:lpstr>E-Co</vt:lpstr>
      <vt:lpstr>E-Sc</vt:lpstr>
      <vt:lpstr>F-Rs</vt:lpstr>
      <vt:lpstr>F-Sf</vt:lpstr>
      <vt:lpstr>F-Sy</vt:lpstr>
      <vt:lpstr>F-Po</vt:lpstr>
      <vt:lpstr>F-Po (CH4 capt)</vt:lpstr>
      <vt:lpstr>F-Wo</vt:lpstr>
      <vt:lpstr>H-Rs</vt:lpstr>
      <vt:lpstr>H-Sf</vt:lpstr>
      <vt:lpstr>H-Po</vt:lpstr>
      <vt:lpstr>H-Po (CH4 capt)</vt:lpstr>
      <vt:lpstr>P-Rs</vt:lpstr>
      <vt:lpstr>CNG-OW</vt:lpstr>
      <vt:lpstr>CNG-wM</vt:lpstr>
      <vt:lpstr>CNG-dM</vt:lpstr>
      <vt:lpstr>User specific calculations</vt:lpstr>
      <vt:lpstr>User defined standard values</vt:lpstr>
      <vt:lpstr>Standard values</vt:lpstr>
      <vt:lpstr>About!Druckbereich</vt:lpstr>
      <vt:lpstr>'CNG-dM'!Druckbereich</vt:lpstr>
      <vt:lpstr>'CNG-OW'!Druckbereich</vt:lpstr>
      <vt:lpstr>'CNG-wM'!Druckbereich</vt:lpstr>
      <vt:lpstr>Directory!Druckbereich</vt:lpstr>
      <vt:lpstr>'E-Co'!Druckbereich</vt:lpstr>
      <vt:lpstr>'E-Sb'!Druckbereich</vt:lpstr>
      <vt:lpstr>'E-Sc'!Druckbereich</vt:lpstr>
      <vt:lpstr>'E-Wt (Lign-chp)'!Druckbereich</vt:lpstr>
      <vt:lpstr>'E-Wt (NG-b)'!Druckbereich</vt:lpstr>
      <vt:lpstr>'E-Wt (NG-chp)'!Druckbereich</vt:lpstr>
      <vt:lpstr>'E-Wt (not.spec.)'!Druckbereich</vt:lpstr>
      <vt:lpstr>'E-Wt (Str-chp)'!Druckbereich</vt:lpstr>
      <vt:lpstr>'F-Po'!Druckbereich</vt:lpstr>
      <vt:lpstr>'F-Po (CH4 capt)'!Druckbereich</vt:lpstr>
      <vt:lpstr>'F-Rs'!Druckbereich</vt:lpstr>
      <vt:lpstr>'F-Sf'!Druckbereich</vt:lpstr>
      <vt:lpstr>'F-Sy'!Druckbereich</vt:lpstr>
      <vt:lpstr>'F-Wo'!Druckbereich</vt:lpstr>
      <vt:lpstr>'H-Po'!Druckbereich</vt:lpstr>
      <vt:lpstr>'H-Po (CH4 capt)'!Druckbereich</vt:lpstr>
      <vt:lpstr>'H-Rs'!Druckbereich</vt:lpstr>
      <vt:lpstr>'H-Sf'!Druckbereich</vt:lpstr>
      <vt:lpstr>'P-Rs'!Druckbereich</vt:lpstr>
      <vt:lpstr>'Standard values'!Druckbereich</vt:lpstr>
      <vt:lpstr>Start!Druckbereich</vt:lpstr>
      <vt:lpstr>'Start (macro''s disabled)'!Druckbereich</vt:lpstr>
      <vt:lpstr>'User defined standard values'!Druckbereich</vt:lpstr>
      <vt:lpstr>'User specific calculations'!Druckbereich</vt:lpstr>
      <vt:lpstr>Option_A_0_B_1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Neeft, dr. J.P.A. (John)</dc:creator>
  <cp:lastModifiedBy>Henning Kage</cp:lastModifiedBy>
  <cp:lastPrinted>2010-11-12T14:44:52Z</cp:lastPrinted>
  <dcterms:created xsi:type="dcterms:W3CDTF">2008-11-26T21:14:37Z</dcterms:created>
  <dcterms:modified xsi:type="dcterms:W3CDTF">2022-09-30T14:11:35Z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ijzigingenBijhoudenAan">
    <vt:bool>false</vt:bool>
  </property>
  <property fmtid="{D5CDD505-2E9C-101B-9397-08002B2CF9AE}" pid="3" name="_AdHocReviewCycleID">
    <vt:i4>-1749103174</vt:i4>
  </property>
  <property fmtid="{D5CDD505-2E9C-101B-9397-08002B2CF9AE}" pid="4" name="_EmailSubject">
    <vt:lpwstr>Inquiry H3PO4 emission factor</vt:lpwstr>
  </property>
  <property fmtid="{D5CDD505-2E9C-101B-9397-08002B2CF9AE}" pid="5" name="_AuthorEmail">
    <vt:lpwstr>john.neeft@agentschapnl.nl</vt:lpwstr>
  </property>
  <property fmtid="{D5CDD505-2E9C-101B-9397-08002B2CF9AE}" pid="6" name="_AuthorEmailDisplayName">
    <vt:lpwstr>Neeft, John</vt:lpwstr>
  </property>
  <property fmtid="{D5CDD505-2E9C-101B-9397-08002B2CF9AE}" pid="7" name="_PreviousAdHocReviewCycleID">
    <vt:i4>1220443018</vt:i4>
  </property>
  <property fmtid="{D5CDD505-2E9C-101B-9397-08002B2CF9AE}" pid="8" name="_ReviewingToolsShownOnce">
    <vt:lpwstr/>
  </property>
</Properties>
</file>