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oratorio github\"/>
    </mc:Choice>
  </mc:AlternateContent>
  <xr:revisionPtr revIDLastSave="0" documentId="8_{3198F46F-12EA-4740-83B6-06AFE7E69280}" xr6:coauthVersionLast="47" xr6:coauthVersionMax="47" xr10:uidLastSave="{00000000-0000-0000-0000-000000000000}"/>
  <bookViews>
    <workbookView xWindow="-108" yWindow="-108" windowWidth="23256" windowHeight="12456" activeTab="2" xr2:uid="{73D2FB65-D5FE-437A-8152-9DC699282D23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" i="3" l="1"/>
  <c r="AB21" i="3"/>
  <c r="AA21" i="3"/>
  <c r="Z21" i="3"/>
  <c r="X21" i="3"/>
  <c r="Y21" i="3"/>
  <c r="W21" i="3"/>
  <c r="V21" i="3"/>
  <c r="U21" i="3"/>
  <c r="S21" i="3"/>
  <c r="T21" i="3"/>
  <c r="H24" i="3"/>
  <c r="H23" i="3"/>
  <c r="G24" i="3"/>
  <c r="G23" i="3"/>
  <c r="F24" i="3"/>
  <c r="F23" i="3"/>
  <c r="D24" i="3"/>
  <c r="D23" i="3"/>
  <c r="C24" i="3"/>
  <c r="C23" i="3"/>
  <c r="Q18" i="3"/>
  <c r="Q17" i="3"/>
  <c r="Q16" i="3"/>
  <c r="Q15" i="3"/>
  <c r="Q14" i="3"/>
  <c r="Q13" i="3"/>
  <c r="Q12" i="3"/>
  <c r="Q11" i="3"/>
  <c r="Q10" i="3"/>
  <c r="Q9" i="3"/>
  <c r="Q5" i="3"/>
  <c r="Q6" i="3"/>
  <c r="Q7" i="3"/>
  <c r="Q8" i="3"/>
  <c r="Q4" i="3"/>
  <c r="J17" i="2"/>
  <c r="H17" i="2"/>
  <c r="D17" i="2"/>
  <c r="F17" i="2"/>
  <c r="N5" i="1"/>
  <c r="J14" i="2"/>
  <c r="B17" i="2"/>
  <c r="D14" i="2"/>
  <c r="H14" i="2"/>
  <c r="F14" i="2"/>
  <c r="J9" i="1"/>
  <c r="N4" i="1"/>
  <c r="B14" i="2"/>
  <c r="J11" i="1"/>
  <c r="J15" i="1"/>
  <c r="J16" i="1"/>
  <c r="J14" i="1"/>
  <c r="N10" i="1"/>
  <c r="N9" i="1"/>
  <c r="N8" i="1"/>
  <c r="J7" i="1"/>
  <c r="J5" i="1"/>
  <c r="J3" i="1"/>
</calcChain>
</file>

<file path=xl/sharedStrings.xml><?xml version="1.0" encoding="utf-8"?>
<sst xmlns="http://schemas.openxmlformats.org/spreadsheetml/2006/main" count="281" uniqueCount="136">
  <si>
    <t>Ejercicio 1</t>
  </si>
  <si>
    <t>Alumno</t>
  </si>
  <si>
    <t>Clase</t>
  </si>
  <si>
    <t>Orientacoin</t>
  </si>
  <si>
    <t>Nota</t>
  </si>
  <si>
    <t>A</t>
  </si>
  <si>
    <t>B</t>
  </si>
  <si>
    <t>C</t>
  </si>
  <si>
    <t>Santiago</t>
  </si>
  <si>
    <t>Pablo</t>
  </si>
  <si>
    <t>Ignacio</t>
  </si>
  <si>
    <t>Manuel</t>
  </si>
  <si>
    <t>Raul</t>
  </si>
  <si>
    <t>Enrique</t>
  </si>
  <si>
    <t>Ramon</t>
  </si>
  <si>
    <t>Pedro</t>
  </si>
  <si>
    <t>Javier</t>
  </si>
  <si>
    <t>Letras</t>
  </si>
  <si>
    <t>Ciencias</t>
  </si>
  <si>
    <t>Nota media:</t>
  </si>
  <si>
    <t>Nota minima:</t>
  </si>
  <si>
    <t>Nota media por orientacion</t>
  </si>
  <si>
    <t>Nota media por clase</t>
  </si>
  <si>
    <t>Buscar a alumno</t>
  </si>
  <si>
    <t>Nota maxima:</t>
  </si>
  <si>
    <t>Cant. De alumnos:</t>
  </si>
  <si>
    <t>Alumnos con nota 7:</t>
  </si>
  <si>
    <t>Juan</t>
  </si>
  <si>
    <t>Altura</t>
  </si>
  <si>
    <t>Edad</t>
  </si>
  <si>
    <t>Long. Mano</t>
  </si>
  <si>
    <t>Long. Pie</t>
  </si>
  <si>
    <t>Pso</t>
  </si>
  <si>
    <t xml:space="preserve">Ojos </t>
  </si>
  <si>
    <t>Pelo</t>
  </si>
  <si>
    <t>Ejercicio 2</t>
  </si>
  <si>
    <t>Azul</t>
  </si>
  <si>
    <t>Calvo</t>
  </si>
  <si>
    <t>Castaño</t>
  </si>
  <si>
    <t>Rubio</t>
  </si>
  <si>
    <t>Verde</t>
  </si>
  <si>
    <t>Punto 1:</t>
  </si>
  <si>
    <t>Punto 2: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</si>
  <si>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</si>
  <si>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</si>
  <si>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</si>
  <si>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</si>
  <si>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</si>
  <si>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</si>
  <si>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</si>
  <si>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</si>
  <si>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Ejercicio 3</t>
  </si>
  <si>
    <t xml:space="preserve">Referencia </t>
  </si>
  <si>
    <t>Producto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</si>
  <si>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</si>
  <si>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</si>
  <si>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</si>
  <si>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</si>
  <si>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</si>
  <si>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</si>
  <si>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</si>
  <si>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</si>
  <si>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</si>
  <si>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</si>
  <si>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</si>
  <si>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</si>
  <si>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</si>
  <si>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</si>
  <si>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</si>
  <si>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Guante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</si>
  <si>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</si>
  <si>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</si>
  <si>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</si>
  <si>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</si>
  <si>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</si>
  <si>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</si>
  <si>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</si>
  <si>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</si>
  <si>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</si>
  <si>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</si>
  <si>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</si>
  <si>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</si>
  <si>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</si>
  <si>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Camison</t>
  </si>
  <si>
    <t>Unidades</t>
  </si>
  <si>
    <t>Stock</t>
  </si>
  <si>
    <t>Color</t>
  </si>
  <si>
    <t>Amarillo</t>
  </si>
  <si>
    <t>Blanco</t>
  </si>
  <si>
    <t xml:space="preserve">Gris </t>
  </si>
  <si>
    <t>Rojo</t>
  </si>
  <si>
    <t>Pantalon</t>
  </si>
  <si>
    <t>Ropajes S.L.</t>
  </si>
  <si>
    <t>Ateliere S.A.</t>
  </si>
  <si>
    <t>Referencia</t>
  </si>
  <si>
    <t>Departamento</t>
  </si>
  <si>
    <t>Salarios</t>
  </si>
  <si>
    <t>A_DEP</t>
  </si>
  <si>
    <t>B_DEP</t>
  </si>
  <si>
    <t>C_DEP</t>
  </si>
  <si>
    <t>D_DEP</t>
  </si>
  <si>
    <t>Bajo</t>
  </si>
  <si>
    <t>Medio</t>
  </si>
  <si>
    <t>Alto</t>
  </si>
  <si>
    <t>ID</t>
  </si>
  <si>
    <t>Jornada</t>
  </si>
  <si>
    <t>Ventas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</si>
  <si>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</si>
  <si>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</si>
  <si>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</si>
  <si>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</si>
  <si>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</si>
  <si>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</si>
  <si>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</si>
  <si>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</si>
  <si>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</si>
  <si>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</si>
  <si>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</si>
  <si>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</si>
  <si>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</si>
  <si>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</si>
  <si>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</si>
  <si>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</si>
  <si>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Dept2</t>
  </si>
  <si>
    <t>Dept3</t>
  </si>
  <si>
    <t>Dept4</t>
  </si>
  <si>
    <t>Dept5</t>
  </si>
  <si>
    <t>Dept6</t>
  </si>
  <si>
    <t xml:space="preserve">Producto </t>
  </si>
  <si>
    <t>Proveedores</t>
  </si>
  <si>
    <t>Referencias</t>
  </si>
  <si>
    <t xml:space="preserve"> </t>
  </si>
  <si>
    <t>Punto 1</t>
  </si>
  <si>
    <t>Punto 2</t>
  </si>
  <si>
    <t>Punto 11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</si>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</sst>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[$€-2]\ * #,##0_-;\-[$€-2]\ * #,##0_-;_-[$€-2]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164" fontId="0" fillId="0" borderId="1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4367-7B38-4AE3-A073-4797CC5BDFFA}">
  <dimension ref="B2:N16"/>
  <sheetViews>
    <sheetView workbookViewId="0">
      <selection activeCell="E15" sqref="E15"/>
    </sheetView>
  </sheetViews>
  <sheetFormatPr baseColWidth="10" defaultRowHeight="14.4" x14ac:dyDescent="0.3"/>
  <cols>
    <col min="6" max="6" width="12.5546875" customWidth="1"/>
    <col min="9" max="9" width="19.5546875" customWidth="1"/>
  </cols>
  <sheetData>
    <row r="2" spans="2:14" x14ac:dyDescent="0.3">
      <c r="B2" s="18" t="s">
        <v>0</v>
      </c>
    </row>
    <row r="3" spans="2:14" x14ac:dyDescent="0.3">
      <c r="D3" s="2" t="s">
        <v>1</v>
      </c>
      <c r="E3" s="3" t="s">
        <v>2</v>
      </c>
      <c r="F3" s="3" t="s">
        <v>3</v>
      </c>
      <c r="G3" s="4" t="s">
        <v>4</v>
      </c>
      <c r="I3" s="11" t="s">
        <v>19</v>
      </c>
      <c r="J3" s="13">
        <f>AVERAGE(G4:G12,8)</f>
        <v>7.2</v>
      </c>
      <c r="L3" s="26" t="s">
        <v>21</v>
      </c>
      <c r="M3" s="28"/>
      <c r="N3" s="27"/>
    </row>
    <row r="4" spans="2:14" x14ac:dyDescent="0.3">
      <c r="D4" s="5" t="s">
        <v>9</v>
      </c>
      <c r="E4" t="s">
        <v>5</v>
      </c>
      <c r="F4" t="s">
        <v>17</v>
      </c>
      <c r="G4" s="9">
        <v>6</v>
      </c>
      <c r="L4" s="26" t="s">
        <v>17</v>
      </c>
      <c r="M4" s="27"/>
      <c r="N4" s="17">
        <f>(G12+G10+G7+G6+G4)/5</f>
        <v>6.7</v>
      </c>
    </row>
    <row r="5" spans="2:14" x14ac:dyDescent="0.3">
      <c r="D5" s="5" t="s">
        <v>8</v>
      </c>
      <c r="E5" t="s">
        <v>6</v>
      </c>
      <c r="F5" t="s">
        <v>18</v>
      </c>
      <c r="G5" s="9">
        <v>7</v>
      </c>
      <c r="I5" s="11" t="s">
        <v>20</v>
      </c>
      <c r="J5" s="13">
        <f>MIN(G4:G12)</f>
        <v>5</v>
      </c>
      <c r="L5" s="26" t="s">
        <v>18</v>
      </c>
      <c r="M5" s="27"/>
      <c r="N5" s="10">
        <f>(G11+G9+G8+G5)/4</f>
        <v>7.625</v>
      </c>
    </row>
    <row r="6" spans="2:14" x14ac:dyDescent="0.3">
      <c r="D6" s="5" t="s">
        <v>12</v>
      </c>
      <c r="E6" t="s">
        <v>7</v>
      </c>
      <c r="F6" t="s">
        <v>17</v>
      </c>
      <c r="G6" s="9">
        <v>8.5</v>
      </c>
    </row>
    <row r="7" spans="2:14" x14ac:dyDescent="0.3">
      <c r="D7" s="5" t="s">
        <v>10</v>
      </c>
      <c r="E7" t="s">
        <v>5</v>
      </c>
      <c r="F7" t="s">
        <v>17</v>
      </c>
      <c r="G7" s="9">
        <v>6.5</v>
      </c>
      <c r="I7" s="11" t="s">
        <v>24</v>
      </c>
      <c r="J7" s="13">
        <f>MAX(G4:G12)</f>
        <v>9.5</v>
      </c>
      <c r="L7" s="29" t="s">
        <v>22</v>
      </c>
      <c r="M7" s="30"/>
      <c r="N7" s="31"/>
    </row>
    <row r="8" spans="2:14" x14ac:dyDescent="0.3">
      <c r="D8" s="5" t="s">
        <v>11</v>
      </c>
      <c r="E8" t="s">
        <v>5</v>
      </c>
      <c r="F8" t="s">
        <v>18</v>
      </c>
      <c r="G8" s="9">
        <v>9.5</v>
      </c>
      <c r="L8" s="26" t="s">
        <v>5</v>
      </c>
      <c r="M8" s="27"/>
      <c r="N8" s="17">
        <f>(G4+G7+G8)/3</f>
        <v>7.333333333333333</v>
      </c>
    </row>
    <row r="9" spans="2:14" x14ac:dyDescent="0.3">
      <c r="D9" s="5" t="s">
        <v>13</v>
      </c>
      <c r="E9" t="s">
        <v>6</v>
      </c>
      <c r="F9" t="s">
        <v>18</v>
      </c>
      <c r="G9" s="9">
        <v>8</v>
      </c>
      <c r="I9" s="11" t="s">
        <v>25</v>
      </c>
      <c r="J9" s="12">
        <f>COUNTA(D4:D12)</f>
        <v>9</v>
      </c>
      <c r="L9" s="26" t="s">
        <v>6</v>
      </c>
      <c r="M9" s="27"/>
      <c r="N9" s="10">
        <f>(G10+G9+G5)/3</f>
        <v>7.5</v>
      </c>
    </row>
    <row r="10" spans="2:14" x14ac:dyDescent="0.3">
      <c r="D10" s="5" t="s">
        <v>14</v>
      </c>
      <c r="E10" t="s">
        <v>6</v>
      </c>
      <c r="F10" t="s">
        <v>17</v>
      </c>
      <c r="G10" s="9">
        <v>7.5</v>
      </c>
      <c r="L10" s="26" t="s">
        <v>7</v>
      </c>
      <c r="M10" s="27"/>
      <c r="N10" s="10">
        <f>(G12+G11+G6)/3</f>
        <v>6.5</v>
      </c>
    </row>
    <row r="11" spans="2:14" x14ac:dyDescent="0.3">
      <c r="D11" s="5" t="s">
        <v>15</v>
      </c>
      <c r="E11" t="s">
        <v>7</v>
      </c>
      <c r="F11" t="s">
        <v>18</v>
      </c>
      <c r="G11" s="9">
        <v>6</v>
      </c>
      <c r="I11" s="11" t="s">
        <v>26</v>
      </c>
      <c r="J11" s="12">
        <f>COUNTIF(G4:G12,7)</f>
        <v>1</v>
      </c>
    </row>
    <row r="12" spans="2:14" x14ac:dyDescent="0.3">
      <c r="D12" s="6" t="s">
        <v>16</v>
      </c>
      <c r="E12" s="7" t="s">
        <v>7</v>
      </c>
      <c r="F12" s="7" t="s">
        <v>17</v>
      </c>
      <c r="G12" s="10">
        <v>5</v>
      </c>
    </row>
    <row r="13" spans="2:14" x14ac:dyDescent="0.3">
      <c r="I13" s="1" t="s">
        <v>23</v>
      </c>
      <c r="J13" s="4"/>
    </row>
    <row r="14" spans="2:14" x14ac:dyDescent="0.3">
      <c r="I14" s="16" t="s">
        <v>1</v>
      </c>
      <c r="J14" s="1" t="str">
        <f>HLOOKUP(D3,D3:G12,4,TRUE)</f>
        <v>Raul</v>
      </c>
    </row>
    <row r="15" spans="2:14" x14ac:dyDescent="0.3">
      <c r="I15" s="15" t="s">
        <v>2</v>
      </c>
      <c r="J15" s="12" t="str">
        <f>HLOOKUP(E3,D3:G12,4,FALSE)</f>
        <v>C</v>
      </c>
    </row>
    <row r="16" spans="2:14" x14ac:dyDescent="0.3">
      <c r="I16" s="14" t="s">
        <v>4</v>
      </c>
      <c r="J16" s="10">
        <f>HLOOKUP(G3,D3:G12,4,FALSE)</f>
        <v>8.5</v>
      </c>
    </row>
  </sheetData>
  <mergeCells count="7">
    <mergeCell ref="L9:M9"/>
    <mergeCell ref="L10:M10"/>
    <mergeCell ref="L3:N3"/>
    <mergeCell ref="L4:M4"/>
    <mergeCell ref="L5:M5"/>
    <mergeCell ref="L7:N7"/>
    <mergeCell ref="L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1774-5826-4825-AC86-DAB837325F61}">
  <dimension ref="B2:J17"/>
  <sheetViews>
    <sheetView workbookViewId="0">
      <selection activeCell="B2" sqref="B2"/>
    </sheetView>
  </sheetViews>
  <sheetFormatPr baseColWidth="10" defaultRowHeight="14.4" x14ac:dyDescent="0.3"/>
  <cols>
    <col min="2" max="2" width="11.88671875" bestFit="1" customWidth="1"/>
    <col min="6" max="6" width="13.44140625" bestFit="1" customWidth="1"/>
    <col min="8" max="8" width="15.5546875" customWidth="1"/>
    <col min="10" max="10" width="14.109375" bestFit="1" customWidth="1"/>
  </cols>
  <sheetData>
    <row r="2" spans="2:10" x14ac:dyDescent="0.3">
      <c r="B2" s="18" t="s">
        <v>35</v>
      </c>
    </row>
    <row r="3" spans="2:10" x14ac:dyDescent="0.3">
      <c r="D3" s="8"/>
      <c r="E3" s="1" t="s">
        <v>27</v>
      </c>
      <c r="F3" s="1" t="s">
        <v>9</v>
      </c>
      <c r="G3" s="1" t="s">
        <v>16</v>
      </c>
    </row>
    <row r="4" spans="2:10" x14ac:dyDescent="0.3">
      <c r="D4" s="1" t="s">
        <v>28</v>
      </c>
      <c r="E4" s="1">
        <v>157</v>
      </c>
      <c r="F4" s="1">
        <v>167</v>
      </c>
      <c r="G4" s="1">
        <v>198</v>
      </c>
    </row>
    <row r="5" spans="2:10" x14ac:dyDescent="0.3">
      <c r="D5" s="1" t="s">
        <v>29</v>
      </c>
      <c r="E5" s="1">
        <v>30</v>
      </c>
      <c r="F5" s="1">
        <v>56</v>
      </c>
      <c r="G5" s="1">
        <v>39</v>
      </c>
    </row>
    <row r="6" spans="2:10" x14ac:dyDescent="0.3">
      <c r="D6" s="1" t="s">
        <v>30</v>
      </c>
      <c r="E6" s="1">
        <v>35</v>
      </c>
      <c r="F6" s="1">
        <v>40</v>
      </c>
      <c r="G6" s="1">
        <v>45</v>
      </c>
    </row>
    <row r="7" spans="2:10" x14ac:dyDescent="0.3">
      <c r="D7" s="1" t="s">
        <v>31</v>
      </c>
      <c r="E7" s="1">
        <v>40</v>
      </c>
      <c r="F7" s="1">
        <v>47</v>
      </c>
      <c r="G7" s="1">
        <v>43</v>
      </c>
    </row>
    <row r="8" spans="2:10" x14ac:dyDescent="0.3">
      <c r="D8" s="1" t="s">
        <v>32</v>
      </c>
      <c r="E8" s="1">
        <v>87</v>
      </c>
      <c r="F8" s="1">
        <v>69</v>
      </c>
      <c r="G8" s="1">
        <v>99</v>
      </c>
    </row>
    <row r="9" spans="2:10" x14ac:dyDescent="0.3">
      <c r="D9" s="1" t="s">
        <v>33</v>
      </c>
      <c r="E9" s="1" t="s">
        <v>40</v>
      </c>
      <c r="F9" s="1" t="s">
        <v>40</v>
      </c>
      <c r="G9" s="1" t="s">
        <v>36</v>
      </c>
    </row>
    <row r="10" spans="2:10" x14ac:dyDescent="0.3">
      <c r="D10" s="1" t="s">
        <v>34</v>
      </c>
      <c r="E10" s="1" t="s">
        <v>39</v>
      </c>
      <c r="F10" s="1" t="s">
        <v>38</v>
      </c>
      <c r="G10" s="1" t="s">
        <v>37</v>
      </c>
    </row>
    <row r="13" spans="2:10" x14ac:dyDescent="0.3">
      <c r="B13" s="20" t="s">
        <v>41</v>
      </c>
      <c r="D13" s="20" t="s">
        <v>42</v>
      </c>
      <c r="F13" s="20" t="s">
        <v>43</v>
      </c>
      <c r="H13" s="20" t="s">
        <v>44</v>
      </c>
      <c r="J13" s="20" t="s">
        <v>45</v>
      </c>
    </row>
    <row r="14" spans="2:10" x14ac:dyDescent="0.3">
      <c r="B14" s="1" t="str">
        <f>IF(C4&gt;180,"Pablo","Javier")</f>
        <v>Javier</v>
      </c>
      <c r="D14" s="1" t="str">
        <f>IF(F10=E10,"Castaño","Otro")</f>
        <v>Otro</v>
      </c>
      <c r="F14" s="1" t="str">
        <f>IF(E8&gt;F8,"Verde","Verde")</f>
        <v>Verde</v>
      </c>
      <c r="H14" s="1" t="str">
        <f>IF(G5&gt;E5,"69","34,5")</f>
        <v>69</v>
      </c>
      <c r="J14" s="1" t="str">
        <f>IF(OR(E10="Rubio",F10="Rubio"),"OK","NO OK")</f>
        <v>OK</v>
      </c>
    </row>
    <row r="16" spans="2:10" x14ac:dyDescent="0.3">
      <c r="B16" s="20" t="s">
        <v>46</v>
      </c>
      <c r="D16" s="20" t="s">
        <v>47</v>
      </c>
      <c r="F16" s="20" t="s">
        <v>48</v>
      </c>
      <c r="H16" s="20" t="s">
        <v>49</v>
      </c>
      <c r="J16" s="20" t="s">
        <v>50</v>
      </c>
    </row>
    <row r="17" spans="2:10" x14ac:dyDescent="0.3">
      <c r="B17" s="1" t="str">
        <f>IF(F7&gt;F6,"167","Verde")</f>
        <v>167</v>
      </c>
      <c r="D17" s="1" t="str">
        <f>IF(AND(E9="Verde",F9="Verde"),"Verde","Azul")</f>
        <v>Verde</v>
      </c>
      <c r="F17" s="1" t="str">
        <f>IF(OR(E8&gt;100,F8&gt;100,G8&gt;100),"Mas de 100K","Menos de 100K")</f>
        <v>Menos de 100K</v>
      </c>
      <c r="H17" s="1" t="str">
        <f>IF(AND(E4&gt;"180",F4&gt;"160"),"Altos","No clasificados")</f>
        <v>No clasificados</v>
      </c>
      <c r="J17" s="1" t="str">
        <f>IF(OR(E4&gt;"180",F4&lt;"180"),"Juan más alto","Juan es más bajo")</f>
        <v>Juan más alto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CB2A-989A-4B8E-87E6-83895833A964}">
  <dimension ref="B2:AC31"/>
  <sheetViews>
    <sheetView tabSelected="1" zoomScale="89" zoomScaleNormal="89" workbookViewId="0">
      <selection activeCell="V22" sqref="V22"/>
    </sheetView>
  </sheetViews>
  <sheetFormatPr baseColWidth="10" defaultRowHeight="14.4" x14ac:dyDescent="0.3"/>
  <cols>
    <col min="3" max="3" width="12.88671875" bestFit="1" customWidth="1"/>
    <col min="6" max="6" width="14.21875" bestFit="1" customWidth="1"/>
    <col min="7" max="7" width="12.88671875" bestFit="1" customWidth="1"/>
    <col min="10" max="10" width="14.21875" bestFit="1" customWidth="1"/>
    <col min="11" max="11" width="12.88671875" bestFit="1" customWidth="1"/>
    <col min="14" max="14" width="12.88671875" customWidth="1"/>
    <col min="15" max="16" width="12.88671875" bestFit="1" customWidth="1"/>
    <col min="17" max="17" width="11.77734375" bestFit="1" customWidth="1"/>
    <col min="23" max="23" width="12.88671875" bestFit="1" customWidth="1"/>
  </cols>
  <sheetData>
    <row r="2" spans="2:25" x14ac:dyDescent="0.3">
      <c r="B2" s="18" t="s">
        <v>51</v>
      </c>
    </row>
    <row r="3" spans="2:25" x14ac:dyDescent="0.3">
      <c r="D3" s="20" t="s">
        <v>52</v>
      </c>
      <c r="E3" s="20" t="s">
        <v>53</v>
      </c>
      <c r="G3" s="20" t="s">
        <v>52</v>
      </c>
      <c r="H3" s="20" t="s">
        <v>84</v>
      </c>
      <c r="I3" s="20" t="s">
        <v>85</v>
      </c>
      <c r="J3" s="20" t="s">
        <v>86</v>
      </c>
      <c r="L3" s="20" t="s">
        <v>53</v>
      </c>
      <c r="M3" s="20" t="s">
        <v>135</v>
      </c>
      <c r="O3" s="20" t="s">
        <v>94</v>
      </c>
      <c r="P3" s="20" t="s">
        <v>95</v>
      </c>
      <c r="Q3" s="20" t="s">
        <v>96</v>
      </c>
      <c r="U3" s="20" t="s">
        <v>104</v>
      </c>
      <c r="V3" s="20" t="s">
        <v>29</v>
      </c>
      <c r="W3" s="20" t="s">
        <v>95</v>
      </c>
      <c r="X3" s="20" t="s">
        <v>105</v>
      </c>
      <c r="Y3" s="20" t="s">
        <v>106</v>
      </c>
    </row>
    <row r="4" spans="2:25" x14ac:dyDescent="0.3">
      <c r="D4" s="1" t="s">
        <v>54</v>
      </c>
      <c r="E4" s="1" t="s">
        <v>69</v>
      </c>
      <c r="G4" s="1" t="s">
        <v>56</v>
      </c>
      <c r="H4" s="1">
        <v>300</v>
      </c>
      <c r="I4" s="19"/>
      <c r="J4" s="1" t="s">
        <v>87</v>
      </c>
      <c r="L4" s="1" t="s">
        <v>75</v>
      </c>
      <c r="M4" s="1" t="s">
        <v>92</v>
      </c>
      <c r="O4" s="1" t="s">
        <v>54</v>
      </c>
      <c r="P4" s="1" t="s">
        <v>97</v>
      </c>
      <c r="Q4" s="19">
        <f>VLOOKUP(G28,G28:H31,2,TRUE)</f>
        <v>100</v>
      </c>
      <c r="U4" s="1" t="s">
        <v>107</v>
      </c>
      <c r="V4" s="1">
        <v>50</v>
      </c>
      <c r="W4" s="1" t="s">
        <v>122</v>
      </c>
      <c r="X4" s="1">
        <v>7</v>
      </c>
      <c r="Y4" s="24">
        <v>1050</v>
      </c>
    </row>
    <row r="5" spans="2:25" x14ac:dyDescent="0.3">
      <c r="D5" s="1" t="s">
        <v>55</v>
      </c>
      <c r="E5" s="1" t="s">
        <v>70</v>
      </c>
      <c r="G5" s="1" t="s">
        <v>63</v>
      </c>
      <c r="H5" s="1">
        <v>900</v>
      </c>
      <c r="I5" s="19"/>
      <c r="J5" s="1" t="s">
        <v>87</v>
      </c>
      <c r="L5" s="1" t="s">
        <v>77</v>
      </c>
      <c r="M5" s="1" t="s">
        <v>93</v>
      </c>
      <c r="O5" s="1" t="s">
        <v>55</v>
      </c>
      <c r="P5" s="1" t="s">
        <v>98</v>
      </c>
      <c r="Q5" s="19">
        <f>VLOOKUP(G29,G28:H31,2,TRUE)</f>
        <v>50</v>
      </c>
      <c r="U5" s="1" t="s">
        <v>108</v>
      </c>
      <c r="V5" s="1">
        <v>49</v>
      </c>
      <c r="W5" s="1" t="s">
        <v>124</v>
      </c>
      <c r="X5" s="1">
        <v>6</v>
      </c>
      <c r="Y5" s="24">
        <v>1830</v>
      </c>
    </row>
    <row r="6" spans="2:25" x14ac:dyDescent="0.3">
      <c r="D6" s="1" t="s">
        <v>56</v>
      </c>
      <c r="E6" s="1" t="s">
        <v>71</v>
      </c>
      <c r="G6" s="1" t="s">
        <v>65</v>
      </c>
      <c r="H6" s="1">
        <v>600</v>
      </c>
      <c r="I6" s="19"/>
      <c r="J6" s="1" t="s">
        <v>36</v>
      </c>
      <c r="L6" s="1" t="s">
        <v>72</v>
      </c>
      <c r="M6" s="1" t="s">
        <v>92</v>
      </c>
      <c r="O6" s="1" t="s">
        <v>56</v>
      </c>
      <c r="P6" s="1" t="s">
        <v>99</v>
      </c>
      <c r="Q6" s="19">
        <f>VLOOKUP(G30,G28:H31,2,TRUE)</f>
        <v>75</v>
      </c>
      <c r="U6" s="1" t="s">
        <v>109</v>
      </c>
      <c r="V6" s="1">
        <v>33</v>
      </c>
      <c r="W6" s="1" t="s">
        <v>122</v>
      </c>
      <c r="X6" s="1">
        <v>6</v>
      </c>
      <c r="Y6" s="24">
        <v>1410</v>
      </c>
    </row>
    <row r="7" spans="2:25" x14ac:dyDescent="0.3">
      <c r="D7" s="1" t="s">
        <v>57</v>
      </c>
      <c r="E7" s="1" t="s">
        <v>72</v>
      </c>
      <c r="G7" s="1" t="s">
        <v>57</v>
      </c>
      <c r="H7" s="1">
        <v>500</v>
      </c>
      <c r="I7" s="19"/>
      <c r="J7" s="1" t="s">
        <v>88</v>
      </c>
      <c r="L7" s="1" t="s">
        <v>83</v>
      </c>
      <c r="M7" s="1" t="s">
        <v>93</v>
      </c>
      <c r="O7" s="1" t="s">
        <v>57</v>
      </c>
      <c r="P7" s="1" t="s">
        <v>97</v>
      </c>
      <c r="Q7" s="19">
        <f>VLOOKUP(G28,G28:H31,2,TRUE)</f>
        <v>100</v>
      </c>
      <c r="U7" s="1" t="s">
        <v>110</v>
      </c>
      <c r="V7" s="1">
        <v>36</v>
      </c>
      <c r="W7" s="1" t="s">
        <v>127</v>
      </c>
      <c r="X7" s="1">
        <v>7</v>
      </c>
      <c r="Y7" s="24">
        <v>1380</v>
      </c>
    </row>
    <row r="8" spans="2:25" x14ac:dyDescent="0.3">
      <c r="D8" s="1" t="s">
        <v>58</v>
      </c>
      <c r="E8" s="1" t="s">
        <v>73</v>
      </c>
      <c r="G8" s="1" t="s">
        <v>67</v>
      </c>
      <c r="H8" s="1">
        <v>500</v>
      </c>
      <c r="I8" s="19"/>
      <c r="J8" s="1" t="s">
        <v>88</v>
      </c>
      <c r="L8" s="1" t="s">
        <v>80</v>
      </c>
      <c r="M8" s="1" t="s">
        <v>93</v>
      </c>
      <c r="O8" s="1" t="s">
        <v>58</v>
      </c>
      <c r="P8" s="1" t="s">
        <v>97</v>
      </c>
      <c r="Q8" s="19">
        <f>VLOOKUP(G28,G28:H31,2,TRUE)</f>
        <v>100</v>
      </c>
      <c r="U8" s="1" t="s">
        <v>111</v>
      </c>
      <c r="V8" s="1">
        <v>31</v>
      </c>
      <c r="W8" s="1" t="s">
        <v>127</v>
      </c>
      <c r="X8" s="1">
        <v>5</v>
      </c>
      <c r="Y8" s="24">
        <v>1040</v>
      </c>
    </row>
    <row r="9" spans="2:25" x14ac:dyDescent="0.3">
      <c r="D9" s="1" t="s">
        <v>59</v>
      </c>
      <c r="E9" s="1" t="s">
        <v>74</v>
      </c>
      <c r="G9" s="1" t="s">
        <v>58</v>
      </c>
      <c r="H9" s="1">
        <v>600</v>
      </c>
      <c r="I9" s="19"/>
      <c r="J9" s="1" t="s">
        <v>89</v>
      </c>
      <c r="L9" s="1" t="s">
        <v>81</v>
      </c>
      <c r="M9" s="1" t="s">
        <v>93</v>
      </c>
      <c r="O9" s="1" t="s">
        <v>59</v>
      </c>
      <c r="P9" s="1" t="s">
        <v>98</v>
      </c>
      <c r="Q9" s="19">
        <f>VLOOKUP(G29,G28:H31,2,TRUE)</f>
        <v>50</v>
      </c>
      <c r="U9" s="1" t="s">
        <v>112</v>
      </c>
      <c r="V9" s="1">
        <v>31</v>
      </c>
      <c r="W9" s="1" t="s">
        <v>126</v>
      </c>
      <c r="X9" s="1">
        <v>8</v>
      </c>
      <c r="Y9" s="24">
        <v>1580</v>
      </c>
    </row>
    <row r="10" spans="2:25" x14ac:dyDescent="0.3">
      <c r="D10" s="1" t="s">
        <v>60</v>
      </c>
      <c r="E10" s="1" t="s">
        <v>75</v>
      </c>
      <c r="G10" s="1" t="s">
        <v>61</v>
      </c>
      <c r="H10" s="1">
        <v>1000</v>
      </c>
      <c r="I10" s="19"/>
      <c r="J10" s="1" t="s">
        <v>89</v>
      </c>
      <c r="L10" s="1" t="s">
        <v>70</v>
      </c>
      <c r="M10" s="1" t="s">
        <v>92</v>
      </c>
      <c r="O10" s="1" t="s">
        <v>60</v>
      </c>
      <c r="P10" s="1" t="s">
        <v>97</v>
      </c>
      <c r="Q10" s="19">
        <f>VLOOKUP(G28,G28:H31,2,TRUE)</f>
        <v>100</v>
      </c>
      <c r="U10" s="1" t="s">
        <v>113</v>
      </c>
      <c r="V10" s="1">
        <v>45</v>
      </c>
      <c r="W10" s="1" t="s">
        <v>124</v>
      </c>
      <c r="X10" s="1">
        <v>8</v>
      </c>
      <c r="Y10" s="24">
        <v>1870</v>
      </c>
    </row>
    <row r="11" spans="2:25" x14ac:dyDescent="0.3">
      <c r="D11" s="1" t="s">
        <v>61</v>
      </c>
      <c r="E11" s="1" t="s">
        <v>76</v>
      </c>
      <c r="G11" s="1" t="s">
        <v>54</v>
      </c>
      <c r="H11" s="1">
        <v>900</v>
      </c>
      <c r="I11" s="19"/>
      <c r="J11" s="1" t="s">
        <v>90</v>
      </c>
      <c r="L11" s="1" t="s">
        <v>71</v>
      </c>
      <c r="M11" s="1" t="s">
        <v>92</v>
      </c>
      <c r="O11" s="1" t="s">
        <v>61</v>
      </c>
      <c r="P11" s="1" t="s">
        <v>97</v>
      </c>
      <c r="Q11" s="19">
        <f>VLOOKUP(G28,G28:H31,2,TRUE)</f>
        <v>100</v>
      </c>
      <c r="U11" s="1" t="s">
        <v>114</v>
      </c>
      <c r="V11" s="1">
        <v>48</v>
      </c>
      <c r="W11" s="1" t="s">
        <v>127</v>
      </c>
      <c r="X11" s="1">
        <v>8</v>
      </c>
      <c r="Y11" s="24">
        <v>1440</v>
      </c>
    </row>
    <row r="12" spans="2:25" x14ac:dyDescent="0.3">
      <c r="D12" s="1" t="s">
        <v>62</v>
      </c>
      <c r="E12" s="1" t="s">
        <v>77</v>
      </c>
      <c r="G12" s="1" t="s">
        <v>59</v>
      </c>
      <c r="H12" s="1">
        <v>800</v>
      </c>
      <c r="I12" s="19"/>
      <c r="J12" s="1" t="s">
        <v>90</v>
      </c>
      <c r="L12" s="1" t="s">
        <v>74</v>
      </c>
      <c r="M12" s="1" t="s">
        <v>92</v>
      </c>
      <c r="O12" s="1" t="s">
        <v>62</v>
      </c>
      <c r="P12" s="1" t="s">
        <v>99</v>
      </c>
      <c r="Q12" s="19">
        <f>VLOOKUP(G30,G28:H31,2,TRUE)</f>
        <v>75</v>
      </c>
      <c r="U12" s="1" t="s">
        <v>115</v>
      </c>
      <c r="V12" s="1">
        <v>40</v>
      </c>
      <c r="W12" s="1" t="s">
        <v>124</v>
      </c>
      <c r="X12" s="1">
        <v>6</v>
      </c>
      <c r="Y12" s="24">
        <v>1640</v>
      </c>
    </row>
    <row r="13" spans="2:25" x14ac:dyDescent="0.3">
      <c r="D13" s="1" t="s">
        <v>63</v>
      </c>
      <c r="E13" s="1" t="s">
        <v>78</v>
      </c>
      <c r="G13" s="1" t="s">
        <v>62</v>
      </c>
      <c r="H13" s="1">
        <v>700</v>
      </c>
      <c r="I13" s="19"/>
      <c r="J13" s="1" t="s">
        <v>90</v>
      </c>
      <c r="L13" s="1" t="s">
        <v>69</v>
      </c>
      <c r="M13" s="1" t="s">
        <v>92</v>
      </c>
      <c r="O13" s="1" t="s">
        <v>63</v>
      </c>
      <c r="P13" s="1" t="s">
        <v>100</v>
      </c>
      <c r="Q13" s="19">
        <f>VLOOKUP(G31,G28:H31,2,TRUE)</f>
        <v>20</v>
      </c>
      <c r="U13" s="1" t="s">
        <v>116</v>
      </c>
      <c r="V13" s="1">
        <v>38</v>
      </c>
      <c r="W13" s="1" t="s">
        <v>126</v>
      </c>
      <c r="X13" s="1">
        <v>5</v>
      </c>
      <c r="Y13" s="24">
        <v>1060</v>
      </c>
    </row>
    <row r="14" spans="2:25" x14ac:dyDescent="0.3">
      <c r="D14" s="1" t="s">
        <v>64</v>
      </c>
      <c r="E14" s="1" t="s">
        <v>79</v>
      </c>
      <c r="G14" s="1" t="s">
        <v>66</v>
      </c>
      <c r="H14" s="1">
        <v>100</v>
      </c>
      <c r="I14" s="19"/>
      <c r="J14" s="1" t="s">
        <v>90</v>
      </c>
      <c r="L14" s="1" t="s">
        <v>78</v>
      </c>
      <c r="M14" s="1" t="s">
        <v>93</v>
      </c>
      <c r="O14" s="1" t="s">
        <v>64</v>
      </c>
      <c r="P14" s="1" t="s">
        <v>100</v>
      </c>
      <c r="Q14" s="19">
        <f>VLOOKUP(G31,G28:H31,2,TRUE)</f>
        <v>20</v>
      </c>
      <c r="U14" s="1" t="s">
        <v>117</v>
      </c>
      <c r="V14" s="1">
        <v>45</v>
      </c>
      <c r="W14" s="1" t="s">
        <v>122</v>
      </c>
      <c r="X14" s="1">
        <v>5</v>
      </c>
      <c r="Y14" s="24">
        <v>1190</v>
      </c>
    </row>
    <row r="15" spans="2:25" x14ac:dyDescent="0.3">
      <c r="D15" s="1" t="s">
        <v>65</v>
      </c>
      <c r="E15" s="1" t="s">
        <v>80</v>
      </c>
      <c r="G15" s="1" t="s">
        <v>55</v>
      </c>
      <c r="H15" s="1">
        <v>100</v>
      </c>
      <c r="I15" s="19"/>
      <c r="J15" s="1" t="s">
        <v>40</v>
      </c>
      <c r="L15" s="1" t="s">
        <v>91</v>
      </c>
      <c r="M15" s="1" t="s">
        <v>92</v>
      </c>
      <c r="O15" s="1" t="s">
        <v>65</v>
      </c>
      <c r="P15" s="1" t="s">
        <v>99</v>
      </c>
      <c r="Q15" s="19">
        <f>VLOOKUP(G30,G28:H31,2,TRUE)</f>
        <v>75</v>
      </c>
      <c r="U15" s="1" t="s">
        <v>118</v>
      </c>
      <c r="V15" s="1">
        <v>33</v>
      </c>
      <c r="W15" s="1" t="s">
        <v>124</v>
      </c>
      <c r="X15" s="1">
        <v>8</v>
      </c>
      <c r="Y15" s="24">
        <v>1460</v>
      </c>
    </row>
    <row r="16" spans="2:25" x14ac:dyDescent="0.3">
      <c r="D16" s="1" t="s">
        <v>66</v>
      </c>
      <c r="E16" s="1" t="s">
        <v>81</v>
      </c>
      <c r="G16" s="1" t="s">
        <v>60</v>
      </c>
      <c r="H16" s="1">
        <v>800</v>
      </c>
      <c r="I16" s="19"/>
      <c r="J16" s="1" t="s">
        <v>40</v>
      </c>
      <c r="L16" s="1" t="s">
        <v>79</v>
      </c>
      <c r="M16" s="1" t="s">
        <v>93</v>
      </c>
      <c r="O16" s="1" t="s">
        <v>66</v>
      </c>
      <c r="P16" s="1" t="s">
        <v>98</v>
      </c>
      <c r="Q16" s="19">
        <f>VLOOKUP(G29,G28:H31,2,TRUE)</f>
        <v>50</v>
      </c>
      <c r="U16" s="1" t="s">
        <v>119</v>
      </c>
      <c r="V16" s="1">
        <v>42</v>
      </c>
      <c r="W16" s="1" t="s">
        <v>125</v>
      </c>
      <c r="X16" s="1">
        <v>8</v>
      </c>
      <c r="Y16" s="24">
        <v>1370</v>
      </c>
    </row>
    <row r="17" spans="2:29" x14ac:dyDescent="0.3">
      <c r="D17" s="1" t="s">
        <v>67</v>
      </c>
      <c r="E17" s="1" t="s">
        <v>82</v>
      </c>
      <c r="G17" s="1" t="s">
        <v>64</v>
      </c>
      <c r="H17" s="1">
        <v>700</v>
      </c>
      <c r="I17" s="19"/>
      <c r="J17" s="1" t="s">
        <v>40</v>
      </c>
      <c r="L17" s="1" t="s">
        <v>82</v>
      </c>
      <c r="M17" s="1" t="s">
        <v>93</v>
      </c>
      <c r="O17" s="1" t="s">
        <v>67</v>
      </c>
      <c r="P17" s="1" t="s">
        <v>98</v>
      </c>
      <c r="Q17" s="19">
        <f>VLOOKUP(G29,G28:H31,2,TRUE)</f>
        <v>50</v>
      </c>
      <c r="U17" s="1" t="s">
        <v>120</v>
      </c>
      <c r="V17" s="1">
        <v>42</v>
      </c>
      <c r="W17" s="1" t="s">
        <v>123</v>
      </c>
      <c r="X17" s="1">
        <v>5</v>
      </c>
      <c r="Y17" s="24">
        <v>1440</v>
      </c>
    </row>
    <row r="18" spans="2:29" x14ac:dyDescent="0.3">
      <c r="D18" s="1" t="s">
        <v>68</v>
      </c>
      <c r="E18" s="1" t="s">
        <v>83</v>
      </c>
      <c r="G18" s="1" t="s">
        <v>68</v>
      </c>
      <c r="H18" s="1">
        <v>700</v>
      </c>
      <c r="I18" s="19" t="s">
        <v>131</v>
      </c>
      <c r="J18" s="1" t="s">
        <v>40</v>
      </c>
      <c r="L18" s="1" t="s">
        <v>73</v>
      </c>
      <c r="M18" s="1" t="s">
        <v>92</v>
      </c>
      <c r="O18" s="1" t="s">
        <v>68</v>
      </c>
      <c r="P18" s="1" t="s">
        <v>97</v>
      </c>
      <c r="Q18" s="19">
        <f>VLOOKUP(G28,G28:H31,2,TRUE)</f>
        <v>100</v>
      </c>
      <c r="U18" s="1" t="s">
        <v>121</v>
      </c>
      <c r="V18" s="1">
        <v>34</v>
      </c>
      <c r="W18" s="1" t="s">
        <v>122</v>
      </c>
      <c r="X18" s="1">
        <v>6</v>
      </c>
      <c r="Y18" s="24">
        <v>1040</v>
      </c>
    </row>
    <row r="20" spans="2:29" x14ac:dyDescent="0.3">
      <c r="S20" s="20" t="s">
        <v>132</v>
      </c>
      <c r="T20" s="20" t="s">
        <v>133</v>
      </c>
      <c r="U20" s="20" t="s">
        <v>43</v>
      </c>
      <c r="V20" s="20" t="s">
        <v>44</v>
      </c>
      <c r="W20" s="20" t="s">
        <v>45</v>
      </c>
      <c r="X20" s="20" t="s">
        <v>46</v>
      </c>
      <c r="Y20" s="20" t="s">
        <v>47</v>
      </c>
      <c r="Z20" s="20" t="s">
        <v>48</v>
      </c>
      <c r="AA20" s="20" t="s">
        <v>49</v>
      </c>
      <c r="AB20" s="20" t="s">
        <v>50</v>
      </c>
      <c r="AC20" s="20" t="s">
        <v>134</v>
      </c>
    </row>
    <row r="21" spans="2:29" x14ac:dyDescent="0.3">
      <c r="J21" s="22" t="s">
        <v>95</v>
      </c>
      <c r="K21" s="22" t="s">
        <v>96</v>
      </c>
      <c r="S21" s="19">
        <f>COUNT(U4:U18)</f>
        <v>0</v>
      </c>
      <c r="T21" s="19">
        <f>AVERAGE(V4:V18)</f>
        <v>39.799999999999997</v>
      </c>
      <c r="U21" s="19">
        <f>AVERAGE(X4:X18)</f>
        <v>6.5333333333333332</v>
      </c>
      <c r="V21" s="25">
        <f>SUM(Y4,Y5,Y6,Y7,Y9,Y8,Y10,Y12,Y11,Y13,Y14,Y15,Y16,Y17,Y18)</f>
        <v>20800</v>
      </c>
      <c r="W21" s="19">
        <f>COUNTIF(U4:W18,W4)</f>
        <v>4</v>
      </c>
      <c r="X21" s="19">
        <f>AVERAGEIF(W4:W18,"Dept2",V4:V18)</f>
        <v>42</v>
      </c>
      <c r="Y21" s="19">
        <f>SUMIF(W4:W18,"Dept3",Y4:Y18)</f>
        <v>6800</v>
      </c>
      <c r="Z21" s="19">
        <f>SUMIFS(Y4:Y18,W4:W18,"Dept4",W4:W18,"Dept5")</f>
        <v>0</v>
      </c>
      <c r="AA21" s="19">
        <f>AVERAGEIF(V4:V18,"&gt;40",Y4:Y18)</f>
        <v>1455.7142857142858</v>
      </c>
      <c r="AB21" s="19">
        <f>AVERAGEIF(Y4:Y18,"&gt;1500",X4:X18)</f>
        <v>7</v>
      </c>
      <c r="AC21" s="19">
        <f>SUMIF(Y4:Y18,"&gt;1200",Y4:Y18)</f>
        <v>15420</v>
      </c>
    </row>
    <row r="22" spans="2:29" x14ac:dyDescent="0.3">
      <c r="B22" s="20" t="s">
        <v>130</v>
      </c>
      <c r="C22" s="20" t="s">
        <v>128</v>
      </c>
      <c r="D22" s="20" t="s">
        <v>84</v>
      </c>
      <c r="E22" s="20" t="s">
        <v>85</v>
      </c>
      <c r="F22" s="20" t="s">
        <v>86</v>
      </c>
      <c r="G22" s="20" t="s">
        <v>129</v>
      </c>
      <c r="H22" s="20" t="s">
        <v>96</v>
      </c>
      <c r="J22" s="21">
        <v>100</v>
      </c>
      <c r="K22" s="21" t="s">
        <v>101</v>
      </c>
    </row>
    <row r="23" spans="2:29" x14ac:dyDescent="0.3">
      <c r="B23" s="1" t="s">
        <v>55</v>
      </c>
      <c r="C23" s="19" t="str">
        <f>VLOOKUP(D5,D4:E18,2,)</f>
        <v>Gafas</v>
      </c>
      <c r="D23" s="19">
        <f>VLOOKUP(G15,G4:H18,2,)</f>
        <v>100</v>
      </c>
      <c r="E23" s="19"/>
      <c r="F23" s="19" t="str">
        <f>VLOOKUP(G15,G4:J18,4,)</f>
        <v>Verde</v>
      </c>
      <c r="G23" s="19" t="str">
        <f>VLOOKUP(G15,G4:M18,7,)</f>
        <v>Ropajes S.L.</v>
      </c>
      <c r="H23" s="19">
        <f>VLOOKUP(G15,G4:Q18,11,)</f>
        <v>75</v>
      </c>
      <c r="J23" s="21">
        <v>200</v>
      </c>
      <c r="K23" s="21" t="s">
        <v>101</v>
      </c>
    </row>
    <row r="24" spans="2:29" x14ac:dyDescent="0.3">
      <c r="B24" s="1" t="s">
        <v>65</v>
      </c>
      <c r="C24" s="19" t="str">
        <f>VLOOKUP(D15,D4:E18,2,)</f>
        <v>Chaqueta</v>
      </c>
      <c r="D24" s="19">
        <f>VLOOKUP(G6,G4:H18,2,)</f>
        <v>600</v>
      </c>
      <c r="E24" s="19"/>
      <c r="F24" s="19" t="str">
        <f>VLOOKUP(G6,G4:J18,4,)</f>
        <v>Azul</v>
      </c>
      <c r="G24" s="19" t="str">
        <f>VLOOKUP(G6,G4:M18,7,)</f>
        <v>Ropajes S.L.</v>
      </c>
      <c r="H24" s="19">
        <f>VLOOKUP(G6,G4:Q18,11,)</f>
        <v>75</v>
      </c>
      <c r="J24" s="21">
        <v>300</v>
      </c>
      <c r="K24" s="21" t="s">
        <v>101</v>
      </c>
    </row>
    <row r="25" spans="2:29" x14ac:dyDescent="0.3">
      <c r="J25" s="21">
        <v>400</v>
      </c>
      <c r="K25" s="21" t="s">
        <v>102</v>
      </c>
    </row>
    <row r="26" spans="2:29" x14ac:dyDescent="0.3">
      <c r="J26" s="21">
        <v>500</v>
      </c>
      <c r="K26" s="21" t="s">
        <v>102</v>
      </c>
    </row>
    <row r="27" spans="2:29" x14ac:dyDescent="0.3">
      <c r="G27" s="20" t="s">
        <v>95</v>
      </c>
      <c r="H27" s="20" t="s">
        <v>96</v>
      </c>
      <c r="J27" s="21">
        <v>600</v>
      </c>
      <c r="K27" s="21" t="s">
        <v>102</v>
      </c>
    </row>
    <row r="28" spans="2:29" x14ac:dyDescent="0.3">
      <c r="G28" s="1" t="s">
        <v>97</v>
      </c>
      <c r="H28" s="23">
        <v>100</v>
      </c>
      <c r="J28" s="21">
        <v>700</v>
      </c>
      <c r="K28" s="21" t="s">
        <v>102</v>
      </c>
    </row>
    <row r="29" spans="2:29" x14ac:dyDescent="0.3">
      <c r="G29" s="1" t="s">
        <v>98</v>
      </c>
      <c r="H29" s="23">
        <v>50</v>
      </c>
      <c r="J29" s="21">
        <v>800</v>
      </c>
      <c r="K29" s="21" t="s">
        <v>103</v>
      </c>
    </row>
    <row r="30" spans="2:29" x14ac:dyDescent="0.3">
      <c r="G30" s="1" t="s">
        <v>99</v>
      </c>
      <c r="H30" s="23">
        <v>75</v>
      </c>
      <c r="J30" s="21">
        <v>900</v>
      </c>
      <c r="K30" s="21" t="s">
        <v>103</v>
      </c>
    </row>
    <row r="31" spans="2:29" x14ac:dyDescent="0.3">
      <c r="G31" s="1" t="s">
        <v>100</v>
      </c>
      <c r="H31" s="23">
        <v>20</v>
      </c>
      <c r="J31" s="21">
        <v>1000</v>
      </c>
      <c r="K31" s="21" t="s">
        <v>103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a57b17-8cf3-41a1-8164-5433493b9c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93452CB85C184192F5BBBFDFB3B9A0" ma:contentTypeVersion="7" ma:contentTypeDescription="Crear nuevo documento." ma:contentTypeScope="" ma:versionID="452ce9a0662d6e61646274d8342a6cea">
  <xsd:schema xmlns:xsd="http://www.w3.org/2001/XMLSchema" xmlns:xs="http://www.w3.org/2001/XMLSchema" xmlns:p="http://schemas.microsoft.com/office/2006/metadata/properties" xmlns:ns3="5da57b17-8cf3-41a1-8164-5433493b9c0f" xmlns:ns4="eb1df884-0c56-4da7-abe0-6a40887f5c92" targetNamespace="http://schemas.microsoft.com/office/2006/metadata/properties" ma:root="true" ma:fieldsID="a99158f36db47b9b1c1ea3f2e46acc74" ns3:_="" ns4:_="">
    <xsd:import namespace="5da57b17-8cf3-41a1-8164-5433493b9c0f"/>
    <xsd:import namespace="eb1df884-0c56-4da7-abe0-6a40887f5c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57b17-8cf3-41a1-8164-5433493b9c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df884-0c56-4da7-abe0-6a40887f5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413D7C-7EC6-49BC-9DC0-94E7D05BE52B}">
  <ds:schemaRefs>
    <ds:schemaRef ds:uri="eb1df884-0c56-4da7-abe0-6a40887f5c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5da57b17-8cf3-41a1-8164-5433493b9c0f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9CD74E-A3A2-4510-BA6B-1448383C5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57b17-8cf3-41a1-8164-5433493b9c0f"/>
    <ds:schemaRef ds:uri="eb1df884-0c56-4da7-abe0-6a40887f5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698F4A-E5B1-42B5-AFD1-B056020250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Agustin Pablo De Jorge</cp:lastModifiedBy>
  <dcterms:created xsi:type="dcterms:W3CDTF">2023-09-13T20:01:33Z</dcterms:created>
  <dcterms:modified xsi:type="dcterms:W3CDTF">2023-09-20T23:09:11Z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0x0101006093452CB85C184192F5BBBFDFB3B9A0</vt:lpwstr>
  </property>
</Properties>
</file>