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<sst xmlns="http://schemas.openxmlformats.org/spreadsheetml/2006/main" count="228" uniqueCount="115">
  <si>
    <t>Year 1:</t>
  </si>
  <si>
    <t>Growth</t>
  </si>
  <si>
    <t>Year 2:</t>
  </si>
  <si>
    <t>Year 3:</t>
  </si>
  <si>
    <t>Population:</t>
  </si>
  <si>
    <t>Adria</t>
  </si>
  <si>
    <t>Mars</t>
  </si>
  <si>
    <t>Year 1 - Q1</t>
  </si>
  <si>
    <t>Year 1 - Q2</t>
  </si>
  <si>
    <t>Year 1 - Q3</t>
  </si>
  <si>
    <t>Year 1 - Q4</t>
  </si>
  <si>
    <t>Year 2 - Q1</t>
  </si>
  <si>
    <t>Year 2 - Q2</t>
  </si>
  <si>
    <t>Year 2 - Q3</t>
  </si>
  <si>
    <t>Year 2 - Q4</t>
  </si>
  <si>
    <t>Year 3 - Q1</t>
  </si>
  <si>
    <t>Year 3 - Q2</t>
  </si>
  <si>
    <t>Year 3 - Q3</t>
  </si>
  <si>
    <t>Year 3 - Q4</t>
  </si>
  <si>
    <t>Total</t>
  </si>
  <si>
    <t>Reach</t>
  </si>
  <si>
    <t>Year 1</t>
  </si>
  <si>
    <t>Year 2</t>
  </si>
  <si>
    <t>Year 3</t>
  </si>
  <si>
    <t>Users</t>
  </si>
  <si>
    <t>Subscriptions</t>
  </si>
  <si>
    <t>User percentage</t>
  </si>
  <si>
    <t>Price</t>
  </si>
  <si>
    <t>Data Licensing Revenue per user</t>
  </si>
  <si>
    <t>Demand</t>
  </si>
  <si>
    <t>Actual sells per demand</t>
  </si>
  <si>
    <t>Data sold</t>
  </si>
  <si>
    <t>ResQ</t>
  </si>
  <si>
    <t>ResQ+</t>
  </si>
  <si>
    <t>ResQ Pro</t>
  </si>
  <si>
    <t>Ads</t>
  </si>
  <si>
    <t>Customer Support</t>
  </si>
  <si>
    <t>Partners</t>
  </si>
  <si>
    <t>Data Licensing</t>
  </si>
  <si>
    <t>AvA Coins Redemption</t>
  </si>
  <si>
    <t>Year 4+ AVG</t>
  </si>
  <si>
    <t>Quarters</t>
  </si>
  <si>
    <t>Partner Price/User</t>
  </si>
  <si>
    <t>---------------------</t>
  </si>
  <si>
    <t>------- Costs -------</t>
  </si>
  <si>
    <t xml:space="preserve">Lenus User </t>
  </si>
  <si>
    <t xml:space="preserve">TerraNex User </t>
  </si>
  <si>
    <t>Development &amp; Infrastructure Costs</t>
  </si>
  <si>
    <t xml:space="preserve">Description </t>
  </si>
  <si>
    <t>Amount (per year)</t>
  </si>
  <si>
    <t>Software Development</t>
  </si>
  <si>
    <t>Development of ResQ and backend systems</t>
  </si>
  <si>
    <t>Servers and Hosting</t>
  </si>
  <si>
    <t>Cloud infrastucture and hosting costs</t>
  </si>
  <si>
    <t>IT Equipment</t>
  </si>
  <si>
    <t>Purchase of devices and equipment</t>
  </si>
  <si>
    <t>Personnel Costs</t>
  </si>
  <si>
    <t>Salaries Drop (due to less employement)</t>
  </si>
  <si>
    <t>Salaries (&amp; benefits)</t>
  </si>
  <si>
    <t>Developers, engineers, designers, and support staff</t>
  </si>
  <si>
    <t>Marketing team</t>
  </si>
  <si>
    <t>Salaries for marketing and adverstising experts</t>
  </si>
  <si>
    <t>Marketing and Promotion Costs</t>
  </si>
  <si>
    <t>Online marketing</t>
  </si>
  <si>
    <t>Digital advertising, social media and SEM (search engine marketing)</t>
  </si>
  <si>
    <t>(halved in the first year)</t>
  </si>
  <si>
    <t>Year 4+</t>
  </si>
  <si>
    <t>Year4+</t>
  </si>
  <si>
    <t>Partnerships</t>
  </si>
  <si>
    <t>Collaborations and promotional activities</t>
  </si>
  <si>
    <t>(Not in the first year)</t>
  </si>
  <si>
    <t>Operational Costs</t>
  </si>
  <si>
    <t>Amount</t>
  </si>
  <si>
    <t>Depreciation</t>
  </si>
  <si>
    <t>Depreciation method</t>
  </si>
  <si>
    <t xml:space="preserve">Office space </t>
  </si>
  <si>
    <t>Rent, utilities and office expenses</t>
  </si>
  <si>
    <t>Straight-line</t>
  </si>
  <si>
    <t>TOTAL COST</t>
  </si>
  <si>
    <t>(Salaries / 4 1st quarter and halved 2nd quarters to employ people)</t>
  </si>
  <si>
    <t>PROFIT</t>
  </si>
  <si>
    <t>Customer support</t>
  </si>
  <si>
    <t>Staff and infrastructure for user support</t>
  </si>
  <si>
    <t>Depreciation Costs</t>
  </si>
  <si>
    <t>Asset Type</t>
  </si>
  <si>
    <t>Inital cost</t>
  </si>
  <si>
    <t>Depreciation Rate</t>
  </si>
  <si>
    <t>Year Depreciation</t>
  </si>
  <si>
    <t xml:space="preserve">IT Equipment </t>
  </si>
  <si>
    <t>Break even</t>
  </si>
  <si>
    <t xml:space="preserve">Variable </t>
  </si>
  <si>
    <t>Description</t>
  </si>
  <si>
    <t>Amount (per user per year)</t>
  </si>
  <si>
    <t>Ad revenue sharing</t>
  </si>
  <si>
    <t>Share of ad revenue with users</t>
  </si>
  <si>
    <t>Per Quarter AVG</t>
  </si>
  <si>
    <t>Customer Support (per user)</t>
  </si>
  <si>
    <t>support costs for each user</t>
  </si>
  <si>
    <t>Tee-Shirts printing cost</t>
  </si>
  <si>
    <t>Average Users Year</t>
  </si>
  <si>
    <t>Average Costs per Year</t>
  </si>
  <si>
    <t>AvA Coins</t>
  </si>
  <si>
    <t>Price (for 20)</t>
  </si>
  <si>
    <t>User redemptions</t>
  </si>
  <si>
    <t>Users - tee-shrist conversion rate</t>
  </si>
  <si>
    <t>Costs</t>
  </si>
  <si>
    <t>Revenue</t>
  </si>
  <si>
    <t>Profit</t>
  </si>
  <si>
    <t>Year 4</t>
  </si>
  <si>
    <t>Year 5</t>
  </si>
  <si>
    <t>Year 6</t>
  </si>
  <si>
    <t>Year 7</t>
  </si>
  <si>
    <t>Year 8</t>
  </si>
  <si>
    <t>Year 9</t>
  </si>
  <si>
    <t>Year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</si>
</sst>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sz val="10.0"/>
      <color rgb="FF000000"/>
      <name val="&quot;Google Sans Mono&quot;"/>
    </font>
    <font>
      <sz val="9.0"/>
      <color rgb="FF000000"/>
      <name val="&quot;Google Sans Mono&quot;"/>
    </font>
    <font>
      <b/>
      <color theme="1"/>
      <name val="Arial"/>
      <scheme val="minor"/>
    </font>
  </fonts>
  <fills count="27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8E7CC3"/>
        <bgColor rgb="FF8E7CC3"/>
      </patternFill>
    </fill>
    <fill>
      <patternFill patternType="solid">
        <fgColor rgb="FFB4A7D6"/>
        <bgColor rgb="FFB4A7D6"/>
      </patternFill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A64D79"/>
        <bgColor rgb="FFA64D79"/>
      </patternFill>
    </fill>
    <fill>
      <patternFill patternType="solid">
        <fgColor rgb="FFC27BA0"/>
        <bgColor rgb="FFC27BA0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  <fill>
      <patternFill patternType="solid">
        <fgColor rgb="FFFF9900"/>
        <bgColor rgb="FFFF9900"/>
      </patternFill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  <fill>
      <patternFill patternType="solid">
        <fgColor rgb="FFCC4125"/>
        <bgColor rgb="FFCC4125"/>
      </patternFill>
    </fill>
    <fill>
      <patternFill patternType="solid">
        <fgColor rgb="FFDD7E6B"/>
        <bgColor rgb="FFDD7E6B"/>
      </patternFill>
    </fill>
    <fill>
      <patternFill patternType="solid">
        <fgColor rgb="FFFF0000"/>
        <bgColor rgb="FFFF0000"/>
      </patternFill>
    </fill>
    <fill>
      <patternFill patternType="solid">
        <fgColor rgb="FF76A5AF"/>
        <bgColor rgb="FF76A5AF"/>
      </patternFill>
    </fill>
    <fill>
      <patternFill patternType="solid">
        <fgColor rgb="FFA2C4C9"/>
        <bgColor rgb="FFA2C4C9"/>
      </patternFill>
    </fill>
    <fill>
      <patternFill patternType="solid">
        <fgColor rgb="FF3D85C6"/>
        <bgColor rgb="FF3D85C6"/>
      </patternFill>
    </fill>
    <fill>
      <patternFill patternType="solid">
        <fgColor rgb="FFD5A6BD"/>
        <bgColor rgb="FFD5A6BD"/>
      </patternFill>
    </fill>
    <fill>
      <patternFill patternType="solid">
        <fgColor rgb="FFF1C232"/>
        <bgColor rgb="FFF1C232"/>
      </patternFill>
    </fill>
  </fills>
  <borders count="1">
    <border/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1" numFmtId="9" xfId="0" applyAlignment="1" applyFill="1" applyFont="1" applyNumberFormat="1">
      <alignment horizontal="center" readingOrder="0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3" fontId="2" numFmtId="0" xfId="0" applyAlignment="1" applyFont="1">
      <alignment horizontal="center" readingOrder="0" shrinkToFit="0" vertical="center" wrapText="1"/>
    </xf>
    <xf borderId="0" fillId="4" fontId="1" numFmtId="0" xfId="0" applyAlignment="1" applyFill="1" applyFont="1">
      <alignment horizontal="center" readingOrder="0" shrinkToFit="0" vertical="center" wrapText="1"/>
    </xf>
    <xf borderId="0" fillId="5" fontId="1" numFmtId="0" xfId="0" applyAlignment="1" applyFill="1" applyFont="1">
      <alignment horizontal="center" readingOrder="0" shrinkToFit="0" vertical="center" wrapText="1"/>
    </xf>
    <xf borderId="0" fillId="6" fontId="1" numFmtId="0" xfId="0" applyAlignment="1" applyFill="1" applyFont="1">
      <alignment horizontal="center" readingOrder="0" shrinkToFit="0" vertical="center" wrapText="1"/>
    </xf>
    <xf borderId="0" fillId="7" fontId="1" numFmtId="1" xfId="0" applyAlignment="1" applyFill="1" applyFont="1" applyNumberFormat="1">
      <alignment horizontal="center" readingOrder="0" shrinkToFit="0" vertical="center" wrapText="1"/>
    </xf>
    <xf borderId="0" fillId="7" fontId="1" numFmtId="1" xfId="0" applyAlignment="1" applyFont="1" applyNumberFormat="1">
      <alignment horizontal="center" shrinkToFit="0" vertical="center" wrapText="1"/>
    </xf>
    <xf borderId="0" fillId="7" fontId="3" numFmtId="1" xfId="0" applyAlignment="1" applyFont="1" applyNumberFormat="1">
      <alignment horizontal="center"/>
    </xf>
    <xf borderId="0" fillId="7" fontId="4" numFmtId="1" xfId="0" applyAlignment="1" applyFont="1" applyNumberFormat="1">
      <alignment horizontal="center" shrinkToFit="0" vertical="center" wrapText="1"/>
    </xf>
    <xf borderId="0" fillId="8" fontId="1" numFmtId="0" xfId="0" applyAlignment="1" applyFill="1" applyFont="1">
      <alignment horizontal="center" readingOrder="0" shrinkToFit="0" vertical="center" wrapText="1"/>
    </xf>
    <xf borderId="0" fillId="9" fontId="1" numFmtId="9" xfId="0" applyAlignment="1" applyFill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10" fontId="1" numFmtId="0" xfId="0" applyAlignment="1" applyFill="1" applyFont="1">
      <alignment horizontal="center" readingOrder="0" shrinkToFit="0" vertical="center" wrapText="1"/>
    </xf>
    <xf borderId="0" fillId="11" fontId="1" numFmtId="1" xfId="0" applyAlignment="1" applyFill="1" applyFont="1" applyNumberFormat="1">
      <alignment horizontal="center" readingOrder="0" shrinkToFit="0" vertical="center" wrapText="1"/>
    </xf>
    <xf borderId="0" fillId="11" fontId="1" numFmtId="1" xfId="0" applyAlignment="1" applyFont="1" applyNumberFormat="1">
      <alignment horizontal="center" shrinkToFit="0" vertical="center" wrapText="1"/>
    </xf>
    <xf borderId="0" fillId="11" fontId="4" numFmtId="1" xfId="0" applyAlignment="1" applyFont="1" applyNumberFormat="1">
      <alignment horizontal="center" shrinkToFit="0" vertical="center" wrapText="1"/>
    </xf>
    <xf borderId="0" fillId="12" fontId="1" numFmtId="0" xfId="0" applyAlignment="1" applyFill="1" applyFont="1">
      <alignment horizontal="center" readingOrder="0" shrinkToFit="0" vertical="center" wrapText="1"/>
    </xf>
    <xf borderId="0" fillId="13" fontId="1" numFmtId="9" xfId="0" applyAlignment="1" applyFill="1" applyFont="1" applyNumberFormat="1">
      <alignment horizontal="center" readingOrder="0" shrinkToFit="0" vertical="center" wrapText="1"/>
    </xf>
    <xf borderId="0" fillId="13" fontId="1" numFmtId="0" xfId="0" applyAlignment="1" applyFont="1">
      <alignment horizontal="center" readingOrder="0" shrinkToFit="0" vertical="center" wrapText="1"/>
    </xf>
    <xf borderId="0" fillId="14" fontId="1" numFmtId="0" xfId="0" applyAlignment="1" applyFill="1" applyFont="1">
      <alignment horizontal="center" readingOrder="0" shrinkToFit="0" vertical="center" wrapText="1"/>
    </xf>
    <xf borderId="0" fillId="15" fontId="1" numFmtId="1" xfId="0" applyAlignment="1" applyFill="1" applyFont="1" applyNumberFormat="1">
      <alignment horizontal="center" readingOrder="0" shrinkToFit="0" vertical="center" wrapText="1"/>
    </xf>
    <xf borderId="0" fillId="15" fontId="1" numFmtId="1" xfId="0" applyAlignment="1" applyFont="1" applyNumberFormat="1">
      <alignment horizontal="center" shrinkToFit="0" vertical="center" wrapText="1"/>
    </xf>
    <xf borderId="0" fillId="15" fontId="4" numFmtId="1" xfId="0" applyAlignment="1" applyFont="1" applyNumberFormat="1">
      <alignment horizontal="center" shrinkToFit="0" vertical="center" wrapText="1"/>
    </xf>
    <xf borderId="0" fillId="14" fontId="2" numFmtId="0" xfId="0" applyAlignment="1" applyFont="1">
      <alignment horizontal="center" readingOrder="0" shrinkToFit="0" vertical="center" wrapText="1"/>
    </xf>
    <xf borderId="0" fillId="15" fontId="1" numFmtId="0" xfId="0" applyAlignment="1" applyFont="1">
      <alignment horizontal="center" readingOrder="0" shrinkToFit="0" vertical="center" wrapText="1"/>
    </xf>
    <xf borderId="0" fillId="15" fontId="1" numFmtId="0" xfId="0" applyAlignment="1" applyFont="1">
      <alignment horizontal="center" shrinkToFit="0" vertical="center" wrapText="1"/>
    </xf>
    <xf borderId="0" fillId="16" fontId="1" numFmtId="0" xfId="0" applyAlignment="1" applyFill="1" applyFont="1">
      <alignment horizontal="center" readingOrder="0" shrinkToFit="0" vertical="center" wrapText="1"/>
    </xf>
    <xf borderId="0" fillId="17" fontId="1" numFmtId="0" xfId="0" applyAlignment="1" applyFill="1" applyFont="1">
      <alignment horizontal="center" readingOrder="0" shrinkToFit="0" vertical="center" wrapText="1"/>
    </xf>
    <xf borderId="0" fillId="11" fontId="5" numFmtId="0" xfId="0" applyAlignment="1" applyFont="1">
      <alignment horizontal="center" readingOrder="0" shrinkToFit="0" vertical="center" wrapText="1"/>
    </xf>
    <xf borderId="0" fillId="18" fontId="1" numFmtId="1" xfId="0" applyAlignment="1" applyFill="1" applyFont="1" applyNumberFormat="1">
      <alignment horizontal="center" readingOrder="0" shrinkToFit="0" vertical="center" wrapText="1"/>
    </xf>
    <xf borderId="0" fillId="19" fontId="1" numFmtId="0" xfId="0" applyAlignment="1" applyFill="1" applyFont="1">
      <alignment horizontal="center" readingOrder="0" shrinkToFit="0" vertical="center" wrapText="1"/>
    </xf>
    <xf borderId="0" fillId="20" fontId="1" numFmtId="0" xfId="0" applyAlignment="1" applyFill="1" applyFont="1">
      <alignment horizontal="center" readingOrder="0" shrinkToFit="0" vertical="center" wrapText="1"/>
    </xf>
    <xf borderId="0" fillId="18" fontId="1" numFmtId="1" xfId="0" applyAlignment="1" applyFont="1" applyNumberFormat="1">
      <alignment horizontal="center" shrinkToFit="0" vertical="center" wrapText="1"/>
    </xf>
    <xf borderId="0" fillId="5" fontId="1" numFmtId="9" xfId="0" applyAlignment="1" applyFont="1" applyNumberFormat="1">
      <alignment horizontal="center" readingOrder="0" shrinkToFit="0" vertical="center" wrapText="1"/>
    </xf>
    <xf borderId="0" fillId="18" fontId="1" numFmtId="9" xfId="0" applyAlignment="1" applyFont="1" applyNumberFormat="1">
      <alignment horizontal="center" readingOrder="0" shrinkToFit="0" vertical="center" wrapText="1"/>
    </xf>
    <xf borderId="0" fillId="13" fontId="1" numFmtId="10" xfId="0" applyAlignment="1" applyFont="1" applyNumberFormat="1">
      <alignment horizontal="center" readingOrder="0" shrinkToFit="0" vertical="center" wrapText="1"/>
    </xf>
    <xf borderId="0" fillId="21" fontId="5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readingOrder="0" shrinkToFit="0" vertical="center" wrapText="1"/>
    </xf>
    <xf borderId="0" fillId="21" fontId="1" numFmtId="0" xfId="0" applyAlignment="1" applyFont="1">
      <alignment horizontal="center" readingOrder="0" shrinkToFit="0" vertical="center" wrapText="1"/>
    </xf>
    <xf borderId="0" fillId="21" fontId="1" numFmtId="1" xfId="0" applyAlignment="1" applyFont="1" applyNumberFormat="1">
      <alignment horizontal="center" shrinkToFit="0" vertical="center" wrapText="1"/>
    </xf>
    <xf borderId="0" fillId="4" fontId="1" numFmtId="1" xfId="0" applyAlignment="1" applyFont="1" applyNumberFormat="1">
      <alignment horizontal="center" shrinkToFit="0" vertical="center" wrapText="1"/>
    </xf>
    <xf borderId="0" fillId="3" fontId="1" numFmtId="10" xfId="0" applyAlignment="1" applyFont="1" applyNumberFormat="1">
      <alignment horizontal="center" readingOrder="0" shrinkToFit="0" vertical="center" wrapText="1"/>
    </xf>
    <xf borderId="0" fillId="22" fontId="1" numFmtId="0" xfId="0" applyAlignment="1" applyFill="1" applyFont="1">
      <alignment horizontal="center" readingOrder="0" shrinkToFit="0" vertical="center" wrapText="1"/>
    </xf>
    <xf borderId="0" fillId="23" fontId="1" numFmtId="0" xfId="0" applyAlignment="1" applyFill="1" applyFont="1">
      <alignment horizontal="center" readingOrder="0" shrinkToFit="0" vertical="center" wrapText="1"/>
    </xf>
    <xf borderId="0" fillId="23" fontId="1" numFmtId="9" xfId="0" applyAlignment="1" applyFont="1" applyNumberFormat="1">
      <alignment horizontal="center" readingOrder="0" shrinkToFit="0" vertical="center" wrapText="1"/>
    </xf>
    <xf borderId="0" fillId="24" fontId="1" numFmtId="0" xfId="0" applyAlignment="1" applyFill="1" applyFont="1">
      <alignment horizontal="center" readingOrder="0" shrinkToFit="0" vertical="center" wrapText="1"/>
    </xf>
    <xf borderId="0" fillId="11" fontId="1" numFmtId="0" xfId="0" applyAlignment="1" applyFont="1">
      <alignment horizontal="center" readingOrder="0" shrinkToFit="0" vertical="center" wrapText="1"/>
    </xf>
    <xf borderId="0" fillId="25" fontId="1" numFmtId="1" xfId="0" applyAlignment="1" applyFill="1" applyFont="1" applyNumberFormat="1">
      <alignment horizontal="center" shrinkToFit="0" vertical="center" wrapText="1"/>
    </xf>
    <xf borderId="0" fillId="18" fontId="0" numFmtId="1" xfId="0" applyAlignment="1" applyFont="1" applyNumberFormat="1">
      <alignment horizontal="center" shrinkToFit="0" vertical="center" wrapText="1"/>
    </xf>
    <xf borderId="0" fillId="26" fontId="1" numFmtId="0" xfId="0" applyAlignment="1" applyFill="1" applyFont="1">
      <alignment horizontal="center" readingOrder="0" shrinkToFit="0" vertical="center" wrapText="1"/>
    </xf>
    <xf borderId="0" fillId="12" fontId="1" numFmtId="9" xfId="0" applyAlignment="1" applyFont="1" applyNumberFormat="1">
      <alignment horizontal="center" readingOrder="0" shrinkToFit="0" vertical="center" wrapText="1"/>
    </xf>
    <xf borderId="0" fillId="24" fontId="1" numFmtId="9" xfId="0" applyAlignment="1" applyFont="1" applyNumberFormat="1">
      <alignment horizontal="center" readingOrder="0" shrinkToFit="0" vertical="center" wrapText="1"/>
    </xf>
    <xf borderId="0" fillId="3" fontId="1" numFmtId="1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F3F3F3"/>
                </a:solidFill>
                <a:latin typeface="+mn-lt"/>
              </a:defRPr>
            </a:pPr>
            <a:r>
              <a:rPr b="1">
                <a:solidFill>
                  <a:srgbClr val="F3F3F3"/>
                </a:solidFill>
                <a:latin typeface="+mn-lt"/>
              </a:rPr>
              <a:t>Population Growth - Adria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Sheet1!$B$10</c:f>
            </c:strRef>
          </c:tx>
          <c:spPr>
            <a:ln cmpd="sng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Sheet1!$A$11:$A$22</c:f>
            </c:strRef>
          </c:cat>
          <c:val>
            <c:numRef>
              <c:f>Sheet1!$B$11:$B$22</c:f>
              <c:numCache/>
            </c:numRef>
          </c:val>
          <c:smooth val="1"/>
        </c:ser>
        <c:axId val="1751066251"/>
        <c:axId val="625426898"/>
      </c:lineChart>
      <c:catAx>
        <c:axId val="17510662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F3F3F3"/>
                    </a:solidFill>
                    <a:latin typeface="+mn-lt"/>
                  </a:defRPr>
                </a:pPr>
                <a:r>
                  <a:rPr b="1" i="0">
                    <a:solidFill>
                      <a:srgbClr val="F3F3F3"/>
                    </a:solidFill>
                    <a:latin typeface="+mn-lt"/>
                  </a:rPr>
                  <a:t>Year Quarters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3F3F3"/>
                </a:solidFill>
                <a:latin typeface="+mn-lt"/>
              </a:defRPr>
            </a:pPr>
          </a:p>
        </c:txPr>
        <c:crossAx val="625426898"/>
      </c:catAx>
      <c:valAx>
        <c:axId val="625426898"/>
        <c:scaling>
          <c:orientation val="minMax"/>
          <c:min val="1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F3F3F3"/>
                    </a:solidFill>
                    <a:latin typeface="+mn-lt"/>
                  </a:defRPr>
                </a:pPr>
                <a:r>
                  <a:rPr b="1">
                    <a:solidFill>
                      <a:srgbClr val="F3F3F3"/>
                    </a:solidFill>
                    <a:latin typeface="+mn-lt"/>
                  </a:rPr>
                  <a:t>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3F3F3"/>
                </a:solidFill>
                <a:latin typeface="+mn-lt"/>
              </a:defRPr>
            </a:pPr>
          </a:p>
        </c:txPr>
        <c:crossAx val="17510662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666666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F3F3F3"/>
                </a:solidFill>
                <a:latin typeface="+mn-lt"/>
              </a:defRPr>
            </a:pPr>
            <a:r>
              <a:rPr b="1">
                <a:solidFill>
                  <a:srgbClr val="F3F3F3"/>
                </a:solidFill>
                <a:latin typeface="+mn-lt"/>
              </a:rPr>
              <a:t>Population Growth - Mars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Sheet1!$A$10:$A$21</c:f>
            </c:strRef>
          </c:cat>
          <c:val>
            <c:numRef>
              <c:f>Sheet1!$C$10:$C$21</c:f>
              <c:numCache/>
            </c:numRef>
          </c:val>
          <c:smooth val="1"/>
        </c:ser>
        <c:axId val="1154789920"/>
        <c:axId val="732057176"/>
      </c:lineChart>
      <c:catAx>
        <c:axId val="115478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F3F3F3"/>
                    </a:solidFill>
                    <a:latin typeface="+mn-lt"/>
                  </a:defRPr>
                </a:pPr>
                <a:r>
                  <a:rPr b="1">
                    <a:solidFill>
                      <a:srgbClr val="F3F3F3"/>
                    </a:solidFill>
                    <a:latin typeface="+mn-lt"/>
                  </a:rPr>
                  <a:t>Year Quarters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3F3F3"/>
                </a:solidFill>
                <a:latin typeface="+mn-lt"/>
              </a:defRPr>
            </a:pPr>
          </a:p>
        </c:txPr>
        <c:crossAx val="732057176"/>
      </c:catAx>
      <c:valAx>
        <c:axId val="732057176"/>
        <c:scaling>
          <c:orientation val="minMax"/>
          <c:min val="75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F3F3F3"/>
                    </a:solidFill>
                    <a:latin typeface="+mn-lt"/>
                  </a:defRPr>
                </a:pPr>
                <a:r>
                  <a:rPr b="1">
                    <a:solidFill>
                      <a:srgbClr val="F3F3F3"/>
                    </a:solidFill>
                    <a:latin typeface="+mn-lt"/>
                  </a:rPr>
                  <a:t>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3F3F3"/>
                </a:solidFill>
                <a:latin typeface="+mn-lt"/>
              </a:defRPr>
            </a:pPr>
          </a:p>
        </c:txPr>
        <c:crossAx val="1154789920"/>
        <c:majorUnit val="50000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666666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F3F3F3"/>
                </a:solidFill>
                <a:latin typeface="+mn-lt"/>
              </a:defRPr>
            </a:pPr>
            <a:r>
              <a:rPr b="1">
                <a:solidFill>
                  <a:srgbClr val="F3F3F3"/>
                </a:solidFill>
                <a:latin typeface="+mn-lt"/>
              </a:rPr>
              <a:t>Reach - Adria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Sheet1!$A$31:$A$42</c:f>
            </c:strRef>
          </c:cat>
          <c:val>
            <c:numRef>
              <c:f>Sheet1!$B$31:$B$42</c:f>
              <c:numCache/>
            </c:numRef>
          </c:val>
          <c:smooth val="1"/>
        </c:ser>
        <c:axId val="44831755"/>
        <c:axId val="869587686"/>
      </c:lineChart>
      <c:catAx>
        <c:axId val="448317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F3F3F3"/>
                    </a:solidFill>
                    <a:latin typeface="+mn-lt"/>
                  </a:defRPr>
                </a:pPr>
                <a:r>
                  <a:rPr b="1">
                    <a:solidFill>
                      <a:srgbClr val="F3F3F3"/>
                    </a:solidFill>
                    <a:latin typeface="+mn-lt"/>
                  </a:rPr>
                  <a:t>Year Quarters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3F3F3"/>
                </a:solidFill>
                <a:latin typeface="+mn-lt"/>
              </a:defRPr>
            </a:pPr>
          </a:p>
        </c:txPr>
        <c:crossAx val="869587686"/>
      </c:catAx>
      <c:valAx>
        <c:axId val="8695876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F3F3F3"/>
                    </a:solidFill>
                    <a:latin typeface="+mn-lt"/>
                  </a:defRPr>
                </a:pPr>
                <a:r>
                  <a:rPr b="1">
                    <a:solidFill>
                      <a:srgbClr val="F3F3F3"/>
                    </a:solidFill>
                    <a:latin typeface="+mn-lt"/>
                  </a:rPr>
                  <a:t>User Reach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3F3F3"/>
                </a:solidFill>
                <a:latin typeface="+mn-lt"/>
              </a:defRPr>
            </a:pPr>
          </a:p>
        </c:txPr>
        <c:crossAx val="448317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666666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F3F3F3"/>
                </a:solidFill>
                <a:latin typeface="+mn-lt"/>
              </a:defRPr>
            </a:pPr>
            <a:r>
              <a:rPr b="1">
                <a:solidFill>
                  <a:srgbClr val="F3F3F3"/>
                </a:solidFill>
                <a:latin typeface="+mn-lt"/>
              </a:rPr>
              <a:t>Reach - Mars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Sheet1!$A$31:$A$42</c:f>
            </c:strRef>
          </c:cat>
          <c:val>
            <c:numRef>
              <c:f>Sheet1!$C$31:$C$42</c:f>
              <c:numCache/>
            </c:numRef>
          </c:val>
          <c:smooth val="1"/>
        </c:ser>
        <c:axId val="475351286"/>
        <c:axId val="351320801"/>
      </c:lineChart>
      <c:catAx>
        <c:axId val="4753512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F3F3F3"/>
                    </a:solidFill>
                    <a:latin typeface="+mn-lt"/>
                  </a:defRPr>
                </a:pPr>
                <a:r>
                  <a:rPr b="1">
                    <a:solidFill>
                      <a:srgbClr val="F3F3F3"/>
                    </a:solidFill>
                    <a:latin typeface="+mn-lt"/>
                  </a:rPr>
                  <a:t>Year Quarters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3F3F3"/>
                </a:solidFill>
                <a:latin typeface="+mn-lt"/>
              </a:defRPr>
            </a:pPr>
          </a:p>
        </c:txPr>
        <c:crossAx val="351320801"/>
      </c:catAx>
      <c:valAx>
        <c:axId val="3513208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F3F3F3"/>
                    </a:solidFill>
                    <a:latin typeface="+mn-lt"/>
                  </a:defRPr>
                </a:pPr>
                <a:r>
                  <a:rPr b="1">
                    <a:solidFill>
                      <a:srgbClr val="F3F3F3"/>
                    </a:solidFill>
                    <a:latin typeface="+mn-lt"/>
                  </a:rPr>
                  <a:t>User Reach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3F3F3"/>
                </a:solidFill>
                <a:latin typeface="+mn-lt"/>
              </a:defRPr>
            </a:pPr>
          </a:p>
        </c:txPr>
        <c:crossAx val="475351286"/>
        <c:majorUnit val="10000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666666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F3F3F3"/>
                </a:solidFill>
                <a:latin typeface="+mn-lt"/>
              </a:defRPr>
            </a:pPr>
            <a:r>
              <a:rPr b="1">
                <a:solidFill>
                  <a:srgbClr val="F3F3F3"/>
                </a:solidFill>
                <a:latin typeface="+mn-lt"/>
              </a:rPr>
              <a:t>Revenue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ResQ +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Sheet1!$A$51:$A$62</c:f>
            </c:strRef>
          </c:cat>
          <c:val>
            <c:numRef>
              <c:f>Sheet1!$B$51:$B$62</c:f>
              <c:numCache/>
            </c:numRef>
          </c:val>
        </c:ser>
        <c:ser>
          <c:idx val="1"/>
          <c:order val="1"/>
          <c:tx>
            <c:v>ResQ Pro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Sheet1!$A$51:$A$62</c:f>
            </c:strRef>
          </c:cat>
          <c:val>
            <c:numRef>
              <c:f>Sheet1!$C$51:$C$62</c:f>
              <c:numCache/>
            </c:numRef>
          </c:val>
        </c:ser>
        <c:ser>
          <c:idx val="2"/>
          <c:order val="2"/>
          <c:tx>
            <c:v>AvA Coins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Sheet1!$A$51:$A$62</c:f>
            </c:strRef>
          </c:cat>
          <c:val>
            <c:numRef>
              <c:f>Sheet1!$H$51:$H$62</c:f>
              <c:numCache/>
            </c:numRef>
          </c:val>
        </c:ser>
        <c:ser>
          <c:idx val="3"/>
          <c:order val="3"/>
          <c:tx>
            <c:v>Ads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Sheet1!$A$51:$A$62</c:f>
            </c:strRef>
          </c:cat>
          <c:val>
            <c:numRef>
              <c:f>Sheet1!$D$51:$D$62</c:f>
              <c:numCache/>
            </c:numRef>
          </c:val>
        </c:ser>
        <c:ser>
          <c:idx val="4"/>
          <c:order val="4"/>
          <c:tx>
            <c:v>Customer Support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Sheet1!$A$51:$A$62</c:f>
            </c:strRef>
          </c:cat>
          <c:val>
            <c:numRef>
              <c:f>Sheet1!$E$51:$E$62</c:f>
              <c:numCache/>
            </c:numRef>
          </c:val>
        </c:ser>
        <c:ser>
          <c:idx val="5"/>
          <c:order val="5"/>
          <c:tx>
            <c:v>Partnerships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Pt>
            <c:idx val="11"/>
          </c:dPt>
          <c:cat>
            <c:strRef>
              <c:f>Sheet1!$A$51:$A$62</c:f>
            </c:strRef>
          </c:cat>
          <c:val>
            <c:numRef>
              <c:f>Sheet1!$F$51:$F$62</c:f>
              <c:numCache/>
            </c:numRef>
          </c:val>
        </c:ser>
        <c:ser>
          <c:idx val="6"/>
          <c:order val="6"/>
          <c:tx>
            <c:v>Data Licensing</c:v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Sheet1!$A$51:$A$62</c:f>
            </c:strRef>
          </c:cat>
          <c:val>
            <c:numRef>
              <c:f>Sheet1!$G$51:$G$62</c:f>
              <c:numCache/>
            </c:numRef>
          </c:val>
        </c:ser>
        <c:overlap val="100"/>
        <c:axId val="2069859193"/>
        <c:axId val="1831513737"/>
      </c:barChart>
      <c:catAx>
        <c:axId val="20698591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F3F3F3"/>
                    </a:solidFill>
                    <a:latin typeface="+mn-lt"/>
                  </a:defRPr>
                </a:pPr>
                <a:r>
                  <a:rPr b="1">
                    <a:solidFill>
                      <a:srgbClr val="F3F3F3"/>
                    </a:solidFill>
                    <a:latin typeface="+mn-lt"/>
                  </a:rPr>
                  <a:t>Year Quarters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3F3F3"/>
                </a:solidFill>
                <a:latin typeface="+mn-lt"/>
              </a:defRPr>
            </a:pPr>
          </a:p>
        </c:txPr>
        <c:crossAx val="1831513737"/>
      </c:catAx>
      <c:valAx>
        <c:axId val="18315137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F3F3F3"/>
                    </a:solidFill>
                    <a:latin typeface="+mn-lt"/>
                  </a:defRPr>
                </a:pPr>
                <a:r>
                  <a:rPr b="1">
                    <a:solidFill>
                      <a:srgbClr val="F3F3F3"/>
                    </a:solidFill>
                    <a:latin typeface="+mn-lt"/>
                  </a:rPr>
                  <a:t>Revenue (in AdraCoin)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3F3F3"/>
                </a:solidFill>
                <a:latin typeface="+mn-lt"/>
              </a:defRPr>
            </a:pPr>
          </a:p>
        </c:txPr>
        <c:crossAx val="2069859193"/>
      </c:valAx>
    </c:plotArea>
    <c:legend>
      <c:legendPos val="r"/>
      <c:legendEntry>
        <c:idx val="0"/>
        <c:txPr>
          <a:bodyPr/>
          <a:lstStyle/>
          <a:p>
            <a:pPr lvl="0">
              <a:defRPr b="1">
                <a:solidFill>
                  <a:srgbClr val="F3F3F3"/>
                </a:solidFill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 b="1">
                <a:solidFill>
                  <a:srgbClr val="F3F3F3"/>
                </a:solidFill>
              </a:defRPr>
            </a:pPr>
          </a:p>
        </c:txPr>
      </c:legendEntry>
      <c:legendEntry>
        <c:idx val="2"/>
        <c:txPr>
          <a:bodyPr/>
          <a:lstStyle/>
          <a:p>
            <a:pPr lvl="0">
              <a:defRPr b="1">
                <a:solidFill>
                  <a:srgbClr val="F3F3F3"/>
                </a:solidFill>
              </a:defRPr>
            </a:pPr>
          </a:p>
        </c:txPr>
      </c:legendEntry>
      <c:legendEntry>
        <c:idx val="3"/>
        <c:txPr>
          <a:bodyPr/>
          <a:lstStyle/>
          <a:p>
            <a:pPr lvl="0">
              <a:defRPr b="1">
                <a:solidFill>
                  <a:srgbClr val="FFFFFF"/>
                </a:solidFill>
              </a:defRPr>
            </a:pPr>
          </a:p>
        </c:txPr>
      </c:legendEntry>
      <c:legendEntry>
        <c:idx val="4"/>
        <c:txPr>
          <a:bodyPr/>
          <a:lstStyle/>
          <a:p>
            <a:pPr lvl="0">
              <a:defRPr b="1">
                <a:solidFill>
                  <a:srgbClr val="FFFFFF"/>
                </a:solidFill>
              </a:defRPr>
            </a:pPr>
          </a:p>
        </c:txPr>
      </c:legendEntry>
      <c:legendEntry>
        <c:idx val="5"/>
        <c:txPr>
          <a:bodyPr/>
          <a:lstStyle/>
          <a:p>
            <a:pPr lvl="0">
              <a:defRPr b="1">
                <a:solidFill>
                  <a:srgbClr val="FFFFFF"/>
                </a:solidFill>
              </a:defRPr>
            </a:pPr>
          </a:p>
        </c:txPr>
      </c:legendEntry>
      <c:legendEntry>
        <c:idx val="6"/>
        <c:txPr>
          <a:bodyPr/>
          <a:lstStyle/>
          <a:p>
            <a:pPr lvl="0">
              <a:defRPr b="1">
                <a:solidFill>
                  <a:srgbClr val="FFFFFF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666666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Expenses vs. Returns</a:t>
            </a:r>
          </a:p>
        </c:rich>
      </c:tx>
      <c:overlay val="0"/>
    </c:title>
    <c:plotArea>
      <c:layout/>
      <c:lineChart>
        <c:ser>
          <c:idx val="0"/>
          <c:order val="0"/>
          <c:tx>
            <c:v>Expenses</c:v>
          </c:tx>
          <c:spPr>
            <a:ln cmpd="sng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Sheet1!$G$87:$G$98</c:f>
            </c:strRef>
          </c:cat>
          <c:val>
            <c:numRef>
              <c:f>Sheet1!$H$87:$H$98</c:f>
              <c:numCache/>
            </c:numRef>
          </c:val>
          <c:smooth val="1"/>
        </c:ser>
        <c:ser>
          <c:idx val="1"/>
          <c:order val="1"/>
          <c:tx>
            <c:v>Income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dPt>
            <c:idx val="5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Sheet1!$G$87:$G$98</c:f>
            </c:strRef>
          </c:cat>
          <c:val>
            <c:numRef>
              <c:f>Sheet1!$I$51:$I$62</c:f>
              <c:numCache/>
            </c:numRef>
          </c:val>
          <c:smooth val="1"/>
        </c:ser>
        <c:ser>
          <c:idx val="2"/>
          <c:order val="2"/>
          <c:tx>
            <c:v>Profit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Sheet1!$G$87:$G$98</c:f>
            </c:strRef>
          </c:cat>
          <c:val>
            <c:numRef>
              <c:f>Sheet1!$J$87:$J$98</c:f>
              <c:numCache/>
            </c:numRef>
          </c:val>
          <c:smooth val="1"/>
        </c:ser>
        <c:axId val="10492407"/>
        <c:axId val="961840009"/>
      </c:lineChart>
      <c:catAx>
        <c:axId val="10492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FFFFFF"/>
                    </a:solidFill>
                    <a:latin typeface="+mn-lt"/>
                  </a:defRPr>
                </a:pPr>
                <a:r>
                  <a:rPr b="1">
                    <a:solidFill>
                      <a:srgbClr val="FFFFFF"/>
                    </a:solidFill>
                    <a:latin typeface="+mn-lt"/>
                  </a:rPr>
                  <a:t>Year Quarters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961840009"/>
      </c:catAx>
      <c:valAx>
        <c:axId val="9618400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FFFFFF"/>
                    </a:solidFill>
                    <a:latin typeface="+mn-lt"/>
                  </a:defRPr>
                </a:pPr>
                <a:r>
                  <a:rPr b="1">
                    <a:solidFill>
                      <a:srgbClr val="FFFFFF"/>
                    </a:solidFill>
                    <a:latin typeface="+mn-lt"/>
                  </a:rPr>
                  <a:t>In - Outcome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0492407"/>
      </c:valAx>
    </c:plotArea>
    <c:legend>
      <c:legendPos val="r"/>
      <c:legendEntry>
        <c:idx val="0"/>
        <c:txPr>
          <a:bodyPr/>
          <a:lstStyle/>
          <a:p>
            <a:pPr lvl="0">
              <a:defRPr b="1">
                <a:solidFill>
                  <a:srgbClr val="FFFFFF"/>
                </a:solidFill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 b="1">
                <a:solidFill>
                  <a:srgbClr val="FFFFFF"/>
                </a:solidFill>
              </a:defRPr>
            </a:pPr>
          </a:p>
        </c:txPr>
      </c:legendEntry>
      <c:legendEntry>
        <c:idx val="2"/>
        <c:txPr>
          <a:bodyPr/>
          <a:lstStyle/>
          <a:p>
            <a:pPr lvl="0">
              <a:defRPr b="1">
                <a:solidFill>
                  <a:srgbClr val="FFFFFF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666666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FFFFFF"/>
                </a:solidFill>
                <a:latin typeface="+mn-lt"/>
              </a:defRPr>
            </a:pPr>
            <a:r>
              <a:rPr b="1">
                <a:solidFill>
                  <a:srgbClr val="FFFFFF"/>
                </a:solidFill>
                <a:latin typeface="+mn-lt"/>
              </a:rPr>
              <a:t>Break-Even Analysis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Sheet1!$G$87:$G$98</c:f>
            </c:strRef>
          </c:cat>
          <c:val>
            <c:numRef>
              <c:f>Sheet1!$J$87:$J$98</c:f>
              <c:numCache/>
            </c:numRef>
          </c:val>
          <c:smooth val="1"/>
        </c:ser>
        <c:axId val="2015387991"/>
        <c:axId val="2127829432"/>
      </c:lineChart>
      <c:catAx>
        <c:axId val="2015387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FFFFFF"/>
                    </a:solidFill>
                    <a:latin typeface="+mn-lt"/>
                  </a:defRPr>
                </a:pPr>
                <a:r>
                  <a:rPr b="1">
                    <a:solidFill>
                      <a:srgbClr val="FFFFFF"/>
                    </a:solidFill>
                    <a:latin typeface="+mn-lt"/>
                  </a:rPr>
                  <a:t>Year Quarters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2127829432"/>
      </c:catAx>
      <c:valAx>
        <c:axId val="2127829432"/>
        <c:scaling>
          <c:orientation val="minMax"/>
          <c:max val="20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FFFFFF"/>
                    </a:solidFill>
                    <a:latin typeface="+mn-lt"/>
                  </a:defRPr>
                </a:pPr>
                <a:r>
                  <a:rPr b="1">
                    <a:solidFill>
                      <a:srgbClr val="FFFFFF"/>
                    </a:solidFill>
                    <a:latin typeface="+mn-lt"/>
                  </a:rPr>
                  <a:t>Profit - Costs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20153879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666666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FFFFFF"/>
                </a:solidFill>
                <a:latin typeface="+mn-lt"/>
              </a:defRPr>
            </a:pPr>
            <a:r>
              <a:rPr b="1">
                <a:solidFill>
                  <a:srgbClr val="FFFFFF"/>
                </a:solidFill>
                <a:latin typeface="+mn-lt"/>
              </a:rPr>
              <a:t>Profit (over 10 years)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Sheet1!$A$115:$A$124</c:f>
            </c:strRef>
          </c:cat>
          <c:val>
            <c:numRef>
              <c:f>Sheet1!$D$115:$D$124</c:f>
              <c:numCache/>
            </c:numRef>
          </c:val>
          <c:smooth val="1"/>
        </c:ser>
        <c:axId val="1419596463"/>
        <c:axId val="724474415"/>
      </c:lineChart>
      <c:catAx>
        <c:axId val="1419596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FFFFF"/>
                </a:solidFill>
                <a:latin typeface="+mn-lt"/>
              </a:defRPr>
            </a:pPr>
          </a:p>
        </c:txPr>
        <c:crossAx val="724474415"/>
      </c:catAx>
      <c:valAx>
        <c:axId val="7244744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FFFFFF"/>
                    </a:solidFill>
                    <a:latin typeface="+mn-lt"/>
                  </a:defRPr>
                </a:pPr>
                <a:r>
                  <a:rPr b="1">
                    <a:solidFill>
                      <a:srgbClr val="FFFFFF"/>
                    </a:solidFill>
                    <a:latin typeface="+mn-lt"/>
                  </a:rPr>
                  <a:t>Profit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4195964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666666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923925</xdr:colOff>
      <xdr:row>0</xdr:row>
      <xdr:rowOff>104775</xdr:rowOff>
    </xdr:from>
    <xdr:ext cx="6648450" cy="30194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38100</xdr:colOff>
      <xdr:row>0</xdr:row>
      <xdr:rowOff>104775</xdr:rowOff>
    </xdr:from>
    <xdr:ext cx="6648450" cy="30194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923925</xdr:colOff>
      <xdr:row>18</xdr:row>
      <xdr:rowOff>0</xdr:rowOff>
    </xdr:from>
    <xdr:ext cx="6648450" cy="43053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38100</xdr:colOff>
      <xdr:row>18</xdr:row>
      <xdr:rowOff>0</xdr:rowOff>
    </xdr:from>
    <xdr:ext cx="6648450" cy="43053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114300</xdr:colOff>
      <xdr:row>42</xdr:row>
      <xdr:rowOff>76200</xdr:rowOff>
    </xdr:from>
    <xdr:ext cx="9401175" cy="45910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942975</xdr:colOff>
      <xdr:row>66</xdr:row>
      <xdr:rowOff>9525</xdr:rowOff>
    </xdr:from>
    <xdr:ext cx="10096500" cy="62484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10</xdr:col>
      <xdr:colOff>952500</xdr:colOff>
      <xdr:row>83</xdr:row>
      <xdr:rowOff>47625</xdr:rowOff>
    </xdr:from>
    <xdr:ext cx="10039350" cy="64389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7</xdr:col>
      <xdr:colOff>0</xdr:colOff>
      <xdr:row>104</xdr:row>
      <xdr:rowOff>9525</xdr:rowOff>
    </xdr:from>
    <xdr:ext cx="7162800" cy="44291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14.38"/>
    <col customWidth="1" min="4" max="4" width="12.25"/>
  </cols>
  <sheetData>
    <row r="1">
      <c r="A1" s="1" t="s">
        <v>0</v>
      </c>
      <c r="B1" s="2">
        <v>0.05</v>
      </c>
      <c r="C1" s="3" t="s">
        <v>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2</v>
      </c>
      <c r="B2" s="2">
        <v>0.1</v>
      </c>
      <c r="C2" s="5" t="s">
        <v>1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 t="s">
        <v>3</v>
      </c>
      <c r="B3" s="2">
        <v>0.15</v>
      </c>
      <c r="C3" s="3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6" t="s"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6" t="s">
        <v>5</v>
      </c>
      <c r="C6" s="6" t="s">
        <v>6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7">
        <v>100000.0</v>
      </c>
      <c r="C7" s="7">
        <v>7500000.0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8" t="s">
        <v>1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8" t="s">
        <v>7</v>
      </c>
      <c r="B10" s="9">
        <f> B7 * (1 + B1/B67)</f>
        <v>101250</v>
      </c>
      <c r="C10" s="9">
        <f> C7 * (1 + B1/B67)</f>
        <v>7593750</v>
      </c>
      <c r="D10" s="10">
        <f t="shared" ref="D10:D21" si="1">SUM(B10:C10)</f>
        <v>7695000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8" t="s">
        <v>8</v>
      </c>
      <c r="B11" s="10">
        <f> B10 * (1 + B1/B67)</f>
        <v>102515.625</v>
      </c>
      <c r="C11" s="10">
        <f> C10 * (1 + B1/B67)</f>
        <v>7688671.875</v>
      </c>
      <c r="D11" s="10">
        <f t="shared" si="1"/>
        <v>7791187.5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8" t="s">
        <v>9</v>
      </c>
      <c r="B12" s="10">
        <f> B11 * (1 + B1/B67)</f>
        <v>103797.0703</v>
      </c>
      <c r="C12" s="10">
        <f> C11 * (1 + B1/B67)</f>
        <v>7784780.273</v>
      </c>
      <c r="D12" s="11">
        <f t="shared" si="1"/>
        <v>7888577.344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8" t="s">
        <v>10</v>
      </c>
      <c r="B13" s="10">
        <f> B12 * (1 + B1/B67)</f>
        <v>105094.5337</v>
      </c>
      <c r="C13" s="10">
        <f> C12 * (1 + B1/B67)</f>
        <v>7882090.027</v>
      </c>
      <c r="D13" s="10">
        <f t="shared" si="1"/>
        <v>7987184.561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8" t="s">
        <v>11</v>
      </c>
      <c r="B14" s="12">
        <f> B13 * (1 + B2/B67)</f>
        <v>107721.897</v>
      </c>
      <c r="C14" s="12">
        <f> C13 * (1 + B2/B67)</f>
        <v>8079142.278</v>
      </c>
      <c r="D14" s="10">
        <f t="shared" si="1"/>
        <v>8186864.175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8" t="s">
        <v>12</v>
      </c>
      <c r="B15" s="12">
        <f>B14*(1+(B2/B67))</f>
        <v>110414.9445</v>
      </c>
      <c r="C15" s="12">
        <f>C14*(1+(B2/B67))</f>
        <v>8281120.834</v>
      </c>
      <c r="D15" s="10">
        <f t="shared" si="1"/>
        <v>8391535.779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8" t="s">
        <v>13</v>
      </c>
      <c r="B16" s="12">
        <f>B15*(1+(B2/B67))</f>
        <v>113175.3181</v>
      </c>
      <c r="C16" s="12">
        <f>C15*(1+(B2/B67))</f>
        <v>8488148.855</v>
      </c>
      <c r="D16" s="10">
        <f t="shared" si="1"/>
        <v>8601324.173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8" t="s">
        <v>14</v>
      </c>
      <c r="B17" s="12">
        <f>B16*(1+(B2/B67))</f>
        <v>116004.701</v>
      </c>
      <c r="C17" s="12">
        <f>C16*(1+(B2/B67))</f>
        <v>8700352.577</v>
      </c>
      <c r="D17" s="10">
        <f t="shared" si="1"/>
        <v>8816357.278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8" t="s">
        <v>15</v>
      </c>
      <c r="B18" s="12">
        <f> B17 * (1 + B3/B67)</f>
        <v>120354.8773</v>
      </c>
      <c r="C18" s="12">
        <f> C17 * (1 + B3/B67)</f>
        <v>9026615.798</v>
      </c>
      <c r="D18" s="10">
        <f t="shared" si="1"/>
        <v>9146970.676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8" t="s">
        <v>16</v>
      </c>
      <c r="B19" s="12">
        <f> B18 * (1 + B3/B67)</f>
        <v>124868.1852</v>
      </c>
      <c r="C19" s="12">
        <f> C18 * (1 + B3/B67)</f>
        <v>9365113.891</v>
      </c>
      <c r="D19" s="10">
        <f t="shared" si="1"/>
        <v>9489982.076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8" t="s">
        <v>17</v>
      </c>
      <c r="B20" s="12">
        <f> B19 * (1 + B3/B67)</f>
        <v>129550.7422</v>
      </c>
      <c r="C20" s="12">
        <f> C19 * (1 + B3/B67)</f>
        <v>9716305.662</v>
      </c>
      <c r="D20" s="10">
        <f t="shared" si="1"/>
        <v>9845856.404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8" t="s">
        <v>18</v>
      </c>
      <c r="B21" s="12">
        <f>B20*(1+(B3/B67))</f>
        <v>134408.895</v>
      </c>
      <c r="C21" s="12">
        <f>C20*(1+(B3/B67))</f>
        <v>10080667.12</v>
      </c>
      <c r="D21" s="10">
        <f t="shared" si="1"/>
        <v>10215076.02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8" t="s">
        <v>5</v>
      </c>
      <c r="C22" s="8" t="s">
        <v>6</v>
      </c>
      <c r="D22" s="8" t="s">
        <v>19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3" t="s">
        <v>20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3" t="s">
        <v>21</v>
      </c>
      <c r="B25" s="14">
        <v>0.06</v>
      </c>
      <c r="C25" s="14">
        <v>0.02</v>
      </c>
      <c r="D25" s="1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3" t="s">
        <v>22</v>
      </c>
      <c r="B26" s="14">
        <v>0.14</v>
      </c>
      <c r="C26" s="14">
        <v>0.04</v>
      </c>
      <c r="D26" s="1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3" t="s">
        <v>23</v>
      </c>
      <c r="B27" s="14">
        <v>0.29</v>
      </c>
      <c r="C27" s="14">
        <v>0.11</v>
      </c>
      <c r="D27" s="1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13" t="s">
        <v>5</v>
      </c>
      <c r="C28" s="13" t="s">
        <v>6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6" t="s">
        <v>24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6" t="s">
        <v>7</v>
      </c>
      <c r="B31" s="17">
        <f> B10 * (B25/B67)</f>
        <v>1518.75</v>
      </c>
      <c r="C31" s="17">
        <f> C10 * (C25/B67)</f>
        <v>37968.75</v>
      </c>
      <c r="D31" s="18">
        <f>SUM(B31+C31)</f>
        <v>39487.5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6" t="s">
        <v>8</v>
      </c>
      <c r="B32" s="18">
        <f> B11 * (B25/B67)</f>
        <v>1537.734375</v>
      </c>
      <c r="C32" s="18">
        <f> C11 * (C25/B67)</f>
        <v>38443.35938</v>
      </c>
      <c r="D32" s="18">
        <f t="shared" ref="D32:D38" si="3"> SUM(B32:C32)</f>
        <v>39981.09375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6" t="s">
        <v>9</v>
      </c>
      <c r="B33" s="18">
        <f t="shared" ref="B33:C33" si="2"> B12 * (B25/3)</f>
        <v>2075.941406</v>
      </c>
      <c r="C33" s="18">
        <f t="shared" si="2"/>
        <v>51898.53516</v>
      </c>
      <c r="D33" s="18">
        <f t="shared" si="3"/>
        <v>53974.47656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6" t="s">
        <v>10</v>
      </c>
      <c r="B34" s="18">
        <f t="shared" ref="B34:C34" si="4"> B13 * (B25/2)</f>
        <v>3152.836011</v>
      </c>
      <c r="C34" s="18">
        <f t="shared" si="4"/>
        <v>78820.90027</v>
      </c>
      <c r="D34" s="18">
        <f t="shared" si="3"/>
        <v>81973.73628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6" t="s">
        <v>11</v>
      </c>
      <c r="B35" s="19">
        <f t="shared" ref="B35:C35" si="5"> B14 * ((B26-(B26-B25)/2)/3)</f>
        <v>3590.729901</v>
      </c>
      <c r="C35" s="19">
        <f t="shared" si="5"/>
        <v>80791.42278</v>
      </c>
      <c r="D35" s="18">
        <f t="shared" si="3"/>
        <v>84382.15268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6" t="s">
        <v>12</v>
      </c>
      <c r="B36" s="19">
        <f>B15*(B26/B67)</f>
        <v>3864.523056</v>
      </c>
      <c r="C36" s="19">
        <f>C15*(C26/B67)</f>
        <v>82811.20834</v>
      </c>
      <c r="D36" s="18">
        <f t="shared" si="3"/>
        <v>86675.7314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6" t="s">
        <v>13</v>
      </c>
      <c r="B37" s="19">
        <f>B16*(B26/3)</f>
        <v>5281.514843</v>
      </c>
      <c r="C37" s="19">
        <f>C16*(C26/3.5)</f>
        <v>97007.41549</v>
      </c>
      <c r="D37" s="18">
        <f t="shared" si="3"/>
        <v>102288.9303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6" t="s">
        <v>14</v>
      </c>
      <c r="B38" s="19">
        <f>B17*((B26+(B27-B26)/2)/B67)</f>
        <v>6235.25268</v>
      </c>
      <c r="C38" s="19">
        <f>C17*((C26+(C27-C26)/2)/B67)</f>
        <v>163131.6108</v>
      </c>
      <c r="D38" s="18">
        <f t="shared" si="3"/>
        <v>169366.8635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6" t="s">
        <v>15</v>
      </c>
      <c r="B39" s="19">
        <f>B17*((B26+(B27-B26)/1.5)/B67)</f>
        <v>6960.282061</v>
      </c>
      <c r="C39" s="19">
        <f>C17*((C26+(C27-C26)/1.5)/B67)</f>
        <v>188507.6392</v>
      </c>
      <c r="D39" s="18">
        <f t="shared" ref="D39:D41" si="6">SUM(B39:C39)</f>
        <v>195467.9212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6" t="s">
        <v>16</v>
      </c>
      <c r="B40" s="19">
        <f>B19*(B27/B67)</f>
        <v>9052.943428</v>
      </c>
      <c r="C40" s="19">
        <f>C19*(C27/B67)</f>
        <v>257540.632</v>
      </c>
      <c r="D40" s="18">
        <f t="shared" si="6"/>
        <v>266593.5754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6" t="s">
        <v>17</v>
      </c>
      <c r="B41" s="19">
        <f>B20*(B27/B67)</f>
        <v>9392.428806</v>
      </c>
      <c r="C41" s="19">
        <f>C20*(C27/B67)</f>
        <v>267198.4057</v>
      </c>
      <c r="D41" s="18">
        <f t="shared" si="6"/>
        <v>276590.8345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16" t="s">
        <v>18</v>
      </c>
      <c r="B42" s="19">
        <f>B21*(B27/B67)</f>
        <v>9744.644887</v>
      </c>
      <c r="C42" s="19">
        <f>C21*(C27/B67)</f>
        <v>277218.3459</v>
      </c>
      <c r="D42" s="18">
        <f> SUM(B42:C42)</f>
        <v>286962.9908</v>
      </c>
      <c r="E42" s="15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16" t="s">
        <v>5</v>
      </c>
      <c r="C43" s="16" t="s">
        <v>6</v>
      </c>
      <c r="D43" s="16" t="s">
        <v>19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20" t="s">
        <v>25</v>
      </c>
      <c r="B46" s="20" t="s">
        <v>26</v>
      </c>
      <c r="C46" s="20" t="s">
        <v>27</v>
      </c>
      <c r="D46" s="4"/>
      <c r="E46" s="1" t="s">
        <v>28</v>
      </c>
      <c r="F46" s="1" t="s">
        <v>27</v>
      </c>
      <c r="G46" s="1" t="s">
        <v>29</v>
      </c>
      <c r="H46" s="1" t="s">
        <v>30</v>
      </c>
      <c r="I46" s="1" t="s">
        <v>31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20" t="s">
        <v>32</v>
      </c>
      <c r="B47" s="21">
        <v>0.53</v>
      </c>
      <c r="C47" s="22">
        <v>0.0</v>
      </c>
      <c r="D47" s="4"/>
      <c r="E47" s="1" t="s">
        <v>21</v>
      </c>
      <c r="F47" s="3">
        <v>30.0</v>
      </c>
      <c r="G47" s="2">
        <v>0.09</v>
      </c>
      <c r="H47" s="2">
        <v>0.08</v>
      </c>
      <c r="I47" s="2">
        <v>0.75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20" t="s">
        <v>33</v>
      </c>
      <c r="B48" s="21">
        <v>0.36</v>
      </c>
      <c r="C48" s="22">
        <v>10.0</v>
      </c>
      <c r="D48" s="4"/>
      <c r="E48" s="1" t="s">
        <v>22</v>
      </c>
      <c r="F48" s="3">
        <v>40.0</v>
      </c>
      <c r="G48" s="2">
        <v>0.26</v>
      </c>
      <c r="H48" s="2">
        <v>0.17</v>
      </c>
      <c r="I48" s="2">
        <v>0.35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20" t="s">
        <v>34</v>
      </c>
      <c r="B49" s="21">
        <v>0.11</v>
      </c>
      <c r="C49" s="22">
        <v>15.0</v>
      </c>
      <c r="D49" s="4"/>
      <c r="E49" s="1" t="s">
        <v>23</v>
      </c>
      <c r="F49" s="3">
        <v>85.0</v>
      </c>
      <c r="G49" s="2">
        <v>0.55</v>
      </c>
      <c r="H49" s="2">
        <v>0.35</v>
      </c>
      <c r="I49" s="2">
        <v>0.1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23" t="s">
        <v>7</v>
      </c>
      <c r="B51" s="24">
        <f> C48 * ((B31+C31) * B48)</f>
        <v>142155</v>
      </c>
      <c r="C51" s="24">
        <f> C49 * ((B31+C31) * B49)</f>
        <v>65154.375</v>
      </c>
      <c r="D51" s="24">
        <f> (C47 + C95 * 3) * ((B31+C31) * B47)</f>
        <v>31392.5625</v>
      </c>
      <c r="E51" s="25">
        <f> (((B31 + C31)*D96) * C96)</f>
        <v>21718.125</v>
      </c>
      <c r="F51" s="25">
        <f> ((H70 + L70) * H67)*B67</f>
        <v>20312</v>
      </c>
      <c r="G51" s="25">
        <f> SUM(B31:C31)*I47 * F47*H47</f>
        <v>71077.5</v>
      </c>
      <c r="H51" s="25">
        <f t="shared" ref="H51:H54" si="7">0</f>
        <v>0</v>
      </c>
      <c r="I51" s="25">
        <f t="shared" ref="I51:I62" si="8">SUM(B51:H51)</f>
        <v>351809.5625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23" t="s">
        <v>8</v>
      </c>
      <c r="B52" s="25">
        <f> C48 * ((B32+C32) * B48)</f>
        <v>143931.9375</v>
      </c>
      <c r="C52" s="24">
        <f> C49 * ((B32+C32) * B49)</f>
        <v>65968.80469</v>
      </c>
      <c r="D52" s="25">
        <f> (C47 + C95 * 3) * ((B32+C32) * B47)</f>
        <v>31784.96953</v>
      </c>
      <c r="E52" s="25">
        <f> (((B31 + C31)*D96) * C96)</f>
        <v>21718.125</v>
      </c>
      <c r="F52" s="25">
        <f> ((H71 + L71) * H67)*B67</f>
        <v>21000</v>
      </c>
      <c r="G52" s="25">
        <f> SUM(B32:C32)*I47 * F47*H47</f>
        <v>71965.96875</v>
      </c>
      <c r="H52" s="25">
        <f t="shared" si="7"/>
        <v>0</v>
      </c>
      <c r="I52" s="25">
        <f t="shared" si="8"/>
        <v>356369.8055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23" t="s">
        <v>9</v>
      </c>
      <c r="B53" s="25">
        <f> C48 * ((B33+C33) * B48)</f>
        <v>194308.1156</v>
      </c>
      <c r="C53" s="25">
        <f> C49 * ((B33+C33) * B49)</f>
        <v>89057.88633</v>
      </c>
      <c r="D53" s="25">
        <f> (C47 + C95 * 3) * ((B33+C33) * B47)</f>
        <v>42909.70887</v>
      </c>
      <c r="E53" s="25">
        <f> (((B33 + C33)*D96) * C96)</f>
        <v>29685.96211</v>
      </c>
      <c r="F53" s="25">
        <f> ((H72 + L72) * H67)*B67</f>
        <v>21730</v>
      </c>
      <c r="G53" s="25">
        <f> SUM(B33:C33)*I47 * F47*H47</f>
        <v>97154.05781</v>
      </c>
      <c r="H53" s="25">
        <f t="shared" si="7"/>
        <v>0</v>
      </c>
      <c r="I53" s="25">
        <f t="shared" si="8"/>
        <v>474845.7307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23" t="s">
        <v>10</v>
      </c>
      <c r="B54" s="25">
        <f> C48 * ((B34+C34) * B48)</f>
        <v>295105.4506</v>
      </c>
      <c r="C54" s="25">
        <f> C49 * ((B34+C34) * B49)</f>
        <v>135256.6649</v>
      </c>
      <c r="D54" s="25">
        <f> (C47 + C95 * 3) * ((B34+C34) * B47)</f>
        <v>65169.12034</v>
      </c>
      <c r="E54" s="25">
        <f> (((B34 + C34)*D96) * C96)</f>
        <v>45085.55495</v>
      </c>
      <c r="F54" s="25">
        <f> ((H73 + L73) * H67)*B67</f>
        <v>22510.54</v>
      </c>
      <c r="G54" s="25">
        <f t="shared" ref="G54:G55" si="9"> SUM(B34:C34)*I47 * F47*H47</f>
        <v>147552.7253</v>
      </c>
      <c r="H54" s="25">
        <f t="shared" si="7"/>
        <v>0</v>
      </c>
      <c r="I54" s="25">
        <f t="shared" si="8"/>
        <v>710680.0561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23" t="s">
        <v>11</v>
      </c>
      <c r="B55" s="26">
        <f> C48 * ((B35+C35) * B48)</f>
        <v>303775.7496</v>
      </c>
      <c r="C55" s="26">
        <f> C49 * ((B35+C35) * B49)</f>
        <v>139230.5519</v>
      </c>
      <c r="D55" s="26">
        <f> (C47 + C95 * 3) * ((B35+C35) * B47)</f>
        <v>67083.81138</v>
      </c>
      <c r="E55" s="25">
        <f> (((B35 + C35)*D96) * C96)</f>
        <v>46410.18397</v>
      </c>
      <c r="F55" s="25">
        <f> ((H74 + L74) * H67)*B67</f>
        <v>23350.1762</v>
      </c>
      <c r="G55" s="25">
        <f t="shared" si="9"/>
        <v>200829.5234</v>
      </c>
      <c r="H55" s="25">
        <f> (((B35 + C35)*E107) * F107)</f>
        <v>12657.3229</v>
      </c>
      <c r="I55" s="25">
        <f t="shared" si="8"/>
        <v>793337.3194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23" t="s">
        <v>12</v>
      </c>
      <c r="B56" s="26">
        <f> C48 * ((B36+C36) * B48)</f>
        <v>312032.633</v>
      </c>
      <c r="C56" s="26">
        <f> C49 * ((B36+C36) * B49)</f>
        <v>143014.9568</v>
      </c>
      <c r="D56" s="26">
        <f> (C47 + C95 * 3) * ((B36+C36) * B47)</f>
        <v>68907.20646</v>
      </c>
      <c r="E56" s="25">
        <f> (((B36 + C36)*D96) * C96)</f>
        <v>47671.65227</v>
      </c>
      <c r="F56" s="25">
        <f> ((H75 + L75) * H67)*B67</f>
        <v>24261.48149</v>
      </c>
      <c r="G56" s="25">
        <f> SUM(B36:C36)*I48 * F48*H48</f>
        <v>206288.2407</v>
      </c>
      <c r="H56" s="25">
        <f> (((B36 + C36)*E107) * F107)</f>
        <v>13001.35971</v>
      </c>
      <c r="I56" s="25">
        <f t="shared" si="8"/>
        <v>815177.5305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23" t="s">
        <v>13</v>
      </c>
      <c r="B57" s="26">
        <f> C48 * ((B37+C37) * B48)</f>
        <v>368240.1492</v>
      </c>
      <c r="C57" s="26">
        <f> C49 * ((B37+C37) * B49)</f>
        <v>168776.735</v>
      </c>
      <c r="D57" s="26">
        <f> (C47 + C95 * 3) * ((B37+C37) * B47)</f>
        <v>81319.69961</v>
      </c>
      <c r="E57" s="25">
        <f> (((B37 + C37)*D96) * C96)</f>
        <v>56258.91168</v>
      </c>
      <c r="F57" s="25">
        <f> ((H76 + L76) * H67)*B67</f>
        <v>25261.04593</v>
      </c>
      <c r="G57" s="25">
        <f> SUM(B37:C37)*I48 * F48*H48</f>
        <v>243447.6542</v>
      </c>
      <c r="H57" s="25">
        <f> (((B37 + C37)*E107) * F107)</f>
        <v>15343.33955</v>
      </c>
      <c r="I57" s="25">
        <f t="shared" si="8"/>
        <v>958647.5352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23" t="s">
        <v>14</v>
      </c>
      <c r="B58" s="26">
        <f> C48 * ((B38+C38) * B48)</f>
        <v>609720.7086</v>
      </c>
      <c r="C58" s="26">
        <f> C49 * ((B38+C38) * B49)</f>
        <v>279455.3248</v>
      </c>
      <c r="D58" s="26">
        <f> (C47 + C95 * 3) * ((B38+C38) * B47)</f>
        <v>134646.6565</v>
      </c>
      <c r="E58" s="25">
        <f> (((B38 + C38)*D96) * C96)</f>
        <v>93151.77492</v>
      </c>
      <c r="F58" s="25">
        <f> ((H77 + L77) * H67)*B67</f>
        <v>26365.47731</v>
      </c>
      <c r="G58" s="25">
        <f t="shared" ref="G58:G59" si="10"> SUM(B38:C38)*I48 * F48*H48</f>
        <v>403093.1351</v>
      </c>
      <c r="H58" s="25">
        <f t="shared" ref="H58:H59" si="11"> (((B38 + C38)*E107) * F107)</f>
        <v>25405.02952</v>
      </c>
      <c r="I58" s="25">
        <f t="shared" si="8"/>
        <v>1571838.107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23" t="s">
        <v>15</v>
      </c>
      <c r="B59" s="26">
        <f> C48 * ((B39+C39) * B48)</f>
        <v>703684.5164</v>
      </c>
      <c r="C59" s="26">
        <f> C49 * ((B39+C39) * B49)</f>
        <v>322522.07</v>
      </c>
      <c r="D59" s="26">
        <f> (C47 + C95 * 3) * ((B39+C39) * B47)</f>
        <v>155396.9974</v>
      </c>
      <c r="E59" s="25">
        <f> (((B39 + C39)*D96) * C96)</f>
        <v>107507.3567</v>
      </c>
      <c r="F59" s="25">
        <f> ((H78 + L78) * H67)*B67</f>
        <v>27353.42685</v>
      </c>
      <c r="G59" s="25">
        <f t="shared" si="10"/>
        <v>581517.0656</v>
      </c>
      <c r="H59" s="25">
        <f t="shared" si="11"/>
        <v>191558.5628</v>
      </c>
      <c r="I59" s="25">
        <f t="shared" si="8"/>
        <v>2089539.996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23" t="s">
        <v>16</v>
      </c>
      <c r="B60" s="26">
        <f> C48 * ((B40+C40) * B48)</f>
        <v>959736.8715</v>
      </c>
      <c r="C60" s="26">
        <f> C49 * ((B40+C40) * B49)</f>
        <v>439879.3994</v>
      </c>
      <c r="D60" s="26">
        <f> (C47 + C95 * 3) * ((B40+C40) * B47)</f>
        <v>211941.8925</v>
      </c>
      <c r="E60" s="25">
        <f> (((B40 + C40)*D96) * C96)</f>
        <v>146626.4665</v>
      </c>
      <c r="F60" s="25">
        <f> ((H79 + L79) * H67)*B67</f>
        <v>28495.21539</v>
      </c>
      <c r="G60" s="25">
        <f> SUM(B40:C40)*I49 * F49*H49</f>
        <v>793115.8869</v>
      </c>
      <c r="H60" s="25">
        <f> (((B40 + C40)*E108) * F108)</f>
        <v>261261.7039</v>
      </c>
      <c r="I60" s="25">
        <f t="shared" si="8"/>
        <v>2841057.436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23" t="s">
        <v>17</v>
      </c>
      <c r="B61" s="26">
        <f> C48 * ((B41+C41) * B48)</f>
        <v>995727.0042</v>
      </c>
      <c r="C61" s="26">
        <f> C49 * ((B41+C41) * B49)</f>
        <v>456374.8769</v>
      </c>
      <c r="D61" s="26">
        <f> (C47 + C95 * 3) * ((B41+C41) * B47)</f>
        <v>219889.7134</v>
      </c>
      <c r="E61" s="25">
        <f> (((B41 + C41)*D96) * C96)</f>
        <v>152124.959</v>
      </c>
      <c r="F61" s="25">
        <f> ((H80 + L80) * H67)*B67</f>
        <v>29823.0397</v>
      </c>
      <c r="G61" s="25">
        <f> SUM(B41:C41)*I49 * F49*H49</f>
        <v>822857.7326</v>
      </c>
      <c r="H61" s="25">
        <f> (((B42 + C41)*E108) * F108)</f>
        <v>271404.1896</v>
      </c>
      <c r="I61" s="25">
        <f t="shared" si="8"/>
        <v>2948201.515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23" t="s">
        <v>18</v>
      </c>
      <c r="B62" s="26">
        <f> C48 * ((B42+C42) * B48)</f>
        <v>1033066.767</v>
      </c>
      <c r="C62" s="26">
        <f> C49 * ((B42+C42) * B49)</f>
        <v>473488.9348</v>
      </c>
      <c r="D62" s="26">
        <f> (C47 + C95 * 3) * ((B42+C42) * B47)</f>
        <v>228135.5777</v>
      </c>
      <c r="E62" s="25">
        <f> (((B42 + C42)*D96) * C96)</f>
        <v>157829.6449</v>
      </c>
      <c r="F62" s="25">
        <f> ((H81 + L81) * H67)*B67</f>
        <v>31389.10049</v>
      </c>
      <c r="G62" s="25">
        <f> SUM(B42:C42)*I49 * F49*H49</f>
        <v>853714.8976</v>
      </c>
      <c r="H62" s="25">
        <f> (((B42 + C42)*E108) * F108)</f>
        <v>281223.731</v>
      </c>
      <c r="I62" s="25">
        <f t="shared" si="8"/>
        <v>3058848.653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27" t="s">
        <v>33</v>
      </c>
      <c r="C63" s="27" t="s">
        <v>34</v>
      </c>
      <c r="D63" s="23" t="s">
        <v>35</v>
      </c>
      <c r="E63" s="23" t="s">
        <v>36</v>
      </c>
      <c r="F63" s="23" t="s">
        <v>37</v>
      </c>
      <c r="G63" s="23" t="s">
        <v>38</v>
      </c>
      <c r="H63" s="23" t="s">
        <v>39</v>
      </c>
      <c r="I63" s="23" t="s">
        <v>19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23" t="s">
        <v>40</v>
      </c>
      <c r="B64" s="25">
        <f> (C48 * (E99 * B48)) * B67</f>
        <v>4380203.092</v>
      </c>
      <c r="C64" s="25">
        <f> (C49 * (E99 * B49)) *B67</f>
        <v>2007593.084</v>
      </c>
      <c r="D64" s="26">
        <f> ((C49 + C97 * 3) * (E99 * B49))*B67</f>
        <v>2007593.084</v>
      </c>
      <c r="E64" s="25">
        <f> (((E99*11) / 100) * C96)*B67</f>
        <v>669197.6945</v>
      </c>
      <c r="F64" s="25">
        <f>((H81 * H82 + L81 * L82) * H67)*B67</f>
        <v>33370.3915</v>
      </c>
      <c r="G64" s="28">
        <v>2765231.0</v>
      </c>
      <c r="H64" s="29">
        <f>H62*103%</f>
        <v>289660.4429</v>
      </c>
      <c r="I64" s="25">
        <f>SUM(B64:H64)</f>
        <v>12152848.79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15"/>
      <c r="B65" s="15"/>
      <c r="C65" s="15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15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30" t="s">
        <v>41</v>
      </c>
      <c r="B67" s="30">
        <v>4.0</v>
      </c>
      <c r="C67" s="4"/>
      <c r="D67" s="4"/>
      <c r="E67" s="4"/>
      <c r="F67" s="4"/>
      <c r="G67" s="31" t="s">
        <v>42</v>
      </c>
      <c r="H67" s="31">
        <v>1.0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32" t="s">
        <v>43</v>
      </c>
      <c r="B69" s="32" t="s">
        <v>44</v>
      </c>
      <c r="C69" s="32" t="s">
        <v>43</v>
      </c>
      <c r="D69" s="4"/>
      <c r="E69" s="4"/>
      <c r="F69" s="4"/>
      <c r="G69" s="31" t="s">
        <v>45</v>
      </c>
      <c r="H69" s="4"/>
      <c r="I69" s="4"/>
      <c r="J69" s="15"/>
      <c r="K69" s="31" t="s">
        <v>46</v>
      </c>
      <c r="L69" s="15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31" t="s">
        <v>1</v>
      </c>
      <c r="G70" s="31" t="s">
        <v>7</v>
      </c>
      <c r="H70" s="33">
        <v>5000.0</v>
      </c>
      <c r="I70" s="4"/>
      <c r="J70" s="15"/>
      <c r="K70" s="31" t="s">
        <v>7</v>
      </c>
      <c r="L70" s="33">
        <v>78.0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34" t="s">
        <v>47</v>
      </c>
      <c r="B71" s="34" t="s">
        <v>48</v>
      </c>
      <c r="C71" s="34" t="s">
        <v>49</v>
      </c>
      <c r="D71" s="4"/>
      <c r="E71" s="4"/>
      <c r="F71" s="31">
        <v>1.03</v>
      </c>
      <c r="G71" s="31" t="s">
        <v>8</v>
      </c>
      <c r="H71" s="33">
        <f> H70 * F71</f>
        <v>5150</v>
      </c>
      <c r="I71" s="4"/>
      <c r="J71" s="15"/>
      <c r="K71" s="31" t="s">
        <v>8</v>
      </c>
      <c r="L71" s="33">
        <v>100.0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35" t="s">
        <v>50</v>
      </c>
      <c r="B72" s="35" t="s">
        <v>51</v>
      </c>
      <c r="C72" s="35">
        <v>2500000.0</v>
      </c>
      <c r="D72" s="4"/>
      <c r="E72" s="4"/>
      <c r="F72" s="4"/>
      <c r="G72" s="31" t="s">
        <v>9</v>
      </c>
      <c r="H72" s="36">
        <f> H71 * F71</f>
        <v>5304.5</v>
      </c>
      <c r="I72" s="4"/>
      <c r="J72" s="4"/>
      <c r="K72" s="31" t="s">
        <v>9</v>
      </c>
      <c r="L72" s="33">
        <v>128.0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35" t="s">
        <v>52</v>
      </c>
      <c r="B73" s="35" t="s">
        <v>53</v>
      </c>
      <c r="C73" s="35">
        <v>120000.0</v>
      </c>
      <c r="D73" s="4"/>
      <c r="E73" s="4"/>
      <c r="F73" s="4"/>
      <c r="G73" s="31" t="s">
        <v>10</v>
      </c>
      <c r="H73" s="36">
        <f> H72 * F71</f>
        <v>5463.635</v>
      </c>
      <c r="I73" s="4"/>
      <c r="J73" s="15"/>
      <c r="K73" s="31" t="s">
        <v>10</v>
      </c>
      <c r="L73" s="33">
        <v>164.0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35" t="s">
        <v>54</v>
      </c>
      <c r="B74" s="35" t="s">
        <v>55</v>
      </c>
      <c r="C74" s="35">
        <v>50000.0</v>
      </c>
      <c r="D74" s="4"/>
      <c r="E74" s="4"/>
      <c r="F74" s="31" t="s">
        <v>1</v>
      </c>
      <c r="G74" s="31" t="s">
        <v>11</v>
      </c>
      <c r="H74" s="36">
        <f> H73 * F75</f>
        <v>5627.54405</v>
      </c>
      <c r="I74" s="4"/>
      <c r="J74" s="15"/>
      <c r="K74" s="31" t="s">
        <v>11</v>
      </c>
      <c r="L74" s="33">
        <v>210.0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31">
        <v>1.03</v>
      </c>
      <c r="G75" s="31" t="s">
        <v>12</v>
      </c>
      <c r="H75" s="36">
        <f> H74 * F75</f>
        <v>5796.370372</v>
      </c>
      <c r="I75" s="4"/>
      <c r="J75" s="15"/>
      <c r="K75" s="31" t="s">
        <v>12</v>
      </c>
      <c r="L75" s="33">
        <v>269.0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6" t="s">
        <v>56</v>
      </c>
      <c r="B76" s="6" t="s">
        <v>48</v>
      </c>
      <c r="C76" s="6" t="s">
        <v>49</v>
      </c>
      <c r="D76" s="6" t="s">
        <v>57</v>
      </c>
      <c r="E76" s="4"/>
      <c r="F76" s="4"/>
      <c r="G76" s="31" t="s">
        <v>13</v>
      </c>
      <c r="H76" s="36">
        <f> H75 * F75</f>
        <v>5970.261483</v>
      </c>
      <c r="I76" s="4"/>
      <c r="J76" s="4"/>
      <c r="K76" s="31" t="s">
        <v>13</v>
      </c>
      <c r="L76" s="33">
        <v>345.0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7" t="s">
        <v>58</v>
      </c>
      <c r="B77" s="7" t="s">
        <v>59</v>
      </c>
      <c r="C77" s="7">
        <v>4850000.0</v>
      </c>
      <c r="D77" s="37">
        <v>0.55</v>
      </c>
      <c r="E77" s="4"/>
      <c r="F77" s="4"/>
      <c r="G77" s="31" t="s">
        <v>14</v>
      </c>
      <c r="H77" s="36">
        <f> H76 * F75</f>
        <v>6149.369327</v>
      </c>
      <c r="I77" s="4"/>
      <c r="J77" s="15"/>
      <c r="K77" s="31" t="s">
        <v>14</v>
      </c>
      <c r="L77" s="33">
        <v>442.0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7" t="s">
        <v>60</v>
      </c>
      <c r="B78" s="7" t="s">
        <v>61</v>
      </c>
      <c r="C78" s="7">
        <v>125000.0</v>
      </c>
      <c r="D78" s="37">
        <v>0.25</v>
      </c>
      <c r="E78" s="4"/>
      <c r="F78" s="31" t="s">
        <v>1</v>
      </c>
      <c r="G78" s="31" t="s">
        <v>15</v>
      </c>
      <c r="H78" s="36">
        <f> H77 * F79</f>
        <v>6272.356714</v>
      </c>
      <c r="I78" s="4"/>
      <c r="J78" s="15"/>
      <c r="K78" s="31" t="s">
        <v>15</v>
      </c>
      <c r="L78" s="33">
        <v>566.0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31">
        <v>1.02</v>
      </c>
      <c r="G79" s="31" t="s">
        <v>16</v>
      </c>
      <c r="H79" s="36">
        <f> H78 * F79</f>
        <v>6397.803848</v>
      </c>
      <c r="I79" s="4"/>
      <c r="J79" s="15"/>
      <c r="K79" s="31" t="s">
        <v>16</v>
      </c>
      <c r="L79" s="33">
        <v>726.0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15"/>
      <c r="B80" s="4"/>
      <c r="C80" s="4"/>
      <c r="D80" s="4"/>
      <c r="E80" s="4"/>
      <c r="F80" s="4"/>
      <c r="G80" s="31" t="s">
        <v>17</v>
      </c>
      <c r="H80" s="36">
        <f> H79 * F79</f>
        <v>6525.759925</v>
      </c>
      <c r="I80" s="4"/>
      <c r="J80" s="4"/>
      <c r="K80" s="31" t="s">
        <v>17</v>
      </c>
      <c r="L80" s="33">
        <v>930.0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23" t="s">
        <v>62</v>
      </c>
      <c r="B81" s="23" t="s">
        <v>48</v>
      </c>
      <c r="C81" s="23" t="s">
        <v>49</v>
      </c>
      <c r="D81" s="4"/>
      <c r="E81" s="4"/>
      <c r="F81" s="4"/>
      <c r="G81" s="31" t="s">
        <v>18</v>
      </c>
      <c r="H81" s="36">
        <f> H80 * F79</f>
        <v>6656.275123</v>
      </c>
      <c r="I81" s="4"/>
      <c r="J81" s="4"/>
      <c r="K81" s="31" t="s">
        <v>18</v>
      </c>
      <c r="L81" s="33">
        <v>1191.0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28" t="s">
        <v>63</v>
      </c>
      <c r="B82" s="28" t="s">
        <v>64</v>
      </c>
      <c r="C82" s="28">
        <v>500000.0</v>
      </c>
      <c r="D82" s="28" t="s">
        <v>65</v>
      </c>
      <c r="E82" s="4"/>
      <c r="F82" s="15"/>
      <c r="G82" s="31" t="s">
        <v>66</v>
      </c>
      <c r="H82" s="38">
        <f>101%</f>
        <v>1.01</v>
      </c>
      <c r="I82" s="4"/>
      <c r="J82" s="4"/>
      <c r="K82" s="31" t="s">
        <v>67</v>
      </c>
      <c r="L82" s="38">
        <v>1.36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28" t="s">
        <v>68</v>
      </c>
      <c r="B83" s="28" t="s">
        <v>69</v>
      </c>
      <c r="C83" s="28">
        <v>25000.0</v>
      </c>
      <c r="D83" s="28" t="s">
        <v>70</v>
      </c>
      <c r="E83" s="15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20" t="s">
        <v>71</v>
      </c>
      <c r="B85" s="20" t="s">
        <v>48</v>
      </c>
      <c r="C85" s="20" t="s">
        <v>72</v>
      </c>
      <c r="D85" s="20" t="s">
        <v>73</v>
      </c>
      <c r="E85" s="20" t="s">
        <v>74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22" t="s">
        <v>75</v>
      </c>
      <c r="B86" s="22" t="s">
        <v>76</v>
      </c>
      <c r="C86" s="22">
        <f> 300000 + 70000</f>
        <v>370000</v>
      </c>
      <c r="D86" s="39">
        <v>0.2</v>
      </c>
      <c r="E86" s="22" t="s">
        <v>77</v>
      </c>
      <c r="F86" s="15"/>
      <c r="G86" s="40" t="s">
        <v>78</v>
      </c>
      <c r="H86" s="41" t="s">
        <v>79</v>
      </c>
      <c r="I86" s="4"/>
      <c r="J86" s="40" t="s">
        <v>80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22" t="s">
        <v>81</v>
      </c>
      <c r="B87" s="22" t="s">
        <v>82</v>
      </c>
      <c r="C87" s="22">
        <f> 50000</f>
        <v>50000</v>
      </c>
      <c r="D87" s="39">
        <v>0.2</v>
      </c>
      <c r="E87" s="22" t="s">
        <v>77</v>
      </c>
      <c r="F87" s="4"/>
      <c r="G87" s="42" t="s">
        <v>7</v>
      </c>
      <c r="H87" s="43">
        <f> C73/4 + (C77/4)/4 + C78/4 + (C82/2)/4 + (C86 * D86)/4 + (C87*D87)/4 + E91 + E92 + B99</f>
        <v>1297790</v>
      </c>
      <c r="I87" s="4"/>
      <c r="J87" s="44">
        <f t="shared" ref="J87:J98" si="12"> I51 - H87</f>
        <v>-945980.4375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2" t="s">
        <v>8</v>
      </c>
      <c r="H88" s="43">
        <f> C73/4 + (C77/2)/4 + C78/4 + (C82/2)/4 + (C86 * D86)/4 + (C87*D87)/4 + E91 + E92 + B100</f>
        <v>1600915</v>
      </c>
      <c r="I88" s="4"/>
      <c r="J88" s="44">
        <f t="shared" si="12"/>
        <v>-1244545.195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1" t="s">
        <v>83</v>
      </c>
      <c r="B89" s="4"/>
      <c r="C89" s="4"/>
      <c r="D89" s="4"/>
      <c r="E89" s="4"/>
      <c r="F89" s="4"/>
      <c r="G89" s="42" t="s">
        <v>9</v>
      </c>
      <c r="H89" s="43">
        <f>  C73/4  + C77/4 + C78/4 + (C82/2)/4 +(C86 * D86)/4 + (C87*D87)/4 + E91 + E92 + B101</f>
        <v>2207165</v>
      </c>
      <c r="I89" s="4"/>
      <c r="J89" s="44">
        <f t="shared" si="12"/>
        <v>-1732319.269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1" t="s">
        <v>84</v>
      </c>
      <c r="B90" s="1" t="s">
        <v>85</v>
      </c>
      <c r="C90" s="1" t="s">
        <v>74</v>
      </c>
      <c r="D90" s="1" t="s">
        <v>86</v>
      </c>
      <c r="E90" s="1" t="s">
        <v>87</v>
      </c>
      <c r="F90" s="4"/>
      <c r="G90" s="42" t="s">
        <v>10</v>
      </c>
      <c r="H90" s="43">
        <f> C73/4 + C77/4 + C78/4 + (C82/2)/4 + (C86 * D86)/4 + (C87*D87)/4 + E91 + E92 + B102</f>
        <v>2207165</v>
      </c>
      <c r="I90" s="4"/>
      <c r="J90" s="44">
        <f t="shared" si="12"/>
        <v>-1496484.944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3" t="s">
        <v>88</v>
      </c>
      <c r="B91" s="3">
        <v>50000.0</v>
      </c>
      <c r="C91" s="3" t="s">
        <v>77</v>
      </c>
      <c r="D91" s="45">
        <v>0.3333</v>
      </c>
      <c r="E91" s="3">
        <f t="shared" ref="E91:E92" si="13"> B91 * D91</f>
        <v>16665</v>
      </c>
      <c r="F91" s="4"/>
      <c r="G91" s="42" t="s">
        <v>11</v>
      </c>
      <c r="H91" s="43">
        <f> C73/4 + (C77*D77)/4 + C78/4 + C82/4 + C83/4 + (C86 * D86)/4 + (C87*D87)/4 + E91 + E92 + B103</f>
        <v>1731218.204</v>
      </c>
      <c r="I91" s="4"/>
      <c r="J91" s="44">
        <f t="shared" si="12"/>
        <v>-937880.8843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3" t="s">
        <v>50</v>
      </c>
      <c r="B92" s="3">
        <f>C72</f>
        <v>2500000</v>
      </c>
      <c r="C92" s="3" t="s">
        <v>77</v>
      </c>
      <c r="D92" s="45">
        <v>0.3333</v>
      </c>
      <c r="E92" s="3">
        <f t="shared" si="13"/>
        <v>833250</v>
      </c>
      <c r="F92" s="4"/>
      <c r="G92" s="42" t="s">
        <v>12</v>
      </c>
      <c r="H92" s="43">
        <f> C73/4 + (C77*D77)/4 + C78/4 + C82/4 + C83/4 + (C86 * D86)/4 + (C87*D87)/4 + E91 + E92 + B104</f>
        <v>1731243.433</v>
      </c>
      <c r="I92" s="6" t="s">
        <v>89</v>
      </c>
      <c r="J92" s="44">
        <f t="shared" si="12"/>
        <v>-916065.9025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15"/>
      <c r="B93" s="4"/>
      <c r="C93" s="4"/>
      <c r="D93" s="4"/>
      <c r="E93" s="4"/>
      <c r="F93" s="4"/>
      <c r="G93" s="42" t="s">
        <v>13</v>
      </c>
      <c r="H93" s="43">
        <f> C73/4 + (C77*D77)/4 + C78/4 + C82/4 + C83/4 + (C86 * D86)/4 + (C87*D87)/4 + E91 + E92 + B105</f>
        <v>1731415.178</v>
      </c>
      <c r="I93" s="4"/>
      <c r="J93" s="44">
        <f t="shared" si="12"/>
        <v>-772767.643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6" t="s">
        <v>90</v>
      </c>
      <c r="B94" s="46" t="s">
        <v>91</v>
      </c>
      <c r="C94" s="46" t="s">
        <v>92</v>
      </c>
      <c r="D94" s="4"/>
      <c r="E94" s="4"/>
      <c r="F94" s="4"/>
      <c r="G94" s="42" t="s">
        <v>14</v>
      </c>
      <c r="H94" s="43">
        <f> C73/4 + (C77*D77)/4 + C78/4 + C82/4 + C83/4 + (C86 * D86)/4 + (C87*D87)/4 + E91 + E92 + B106</f>
        <v>1732153.035</v>
      </c>
      <c r="I94" s="4"/>
      <c r="J94" s="44">
        <f t="shared" si="12"/>
        <v>-160314.9288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7" t="s">
        <v>93</v>
      </c>
      <c r="B95" s="47" t="s">
        <v>94</v>
      </c>
      <c r="C95" s="47">
        <v>0.5</v>
      </c>
      <c r="D95" s="46" t="s">
        <v>95</v>
      </c>
      <c r="E95" s="4"/>
      <c r="F95" s="4"/>
      <c r="G95" s="42" t="s">
        <v>15</v>
      </c>
      <c r="H95" s="43">
        <f> C73/4 + (C77*D78)/4 + C78/4 + C82/4 + C83/4 + (C86 * D86)/4 + (C87*D87)/4 + E91 + E92 + B107</f>
        <v>1368690.147</v>
      </c>
      <c r="I95" s="4"/>
      <c r="J95" s="44">
        <f t="shared" si="12"/>
        <v>720849.8486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7" t="s">
        <v>96</v>
      </c>
      <c r="B96" s="47" t="s">
        <v>97</v>
      </c>
      <c r="C96" s="47">
        <v>5.0</v>
      </c>
      <c r="D96" s="48">
        <v>0.11</v>
      </c>
      <c r="E96" s="4"/>
      <c r="F96" s="4"/>
      <c r="G96" s="42" t="s">
        <v>16</v>
      </c>
      <c r="H96" s="43">
        <f> C73/4 + (C77*D78)/4 + C78/4 + C82/4 + C83/4 + (C86 * D86)/4 + (C87*D87)/4 + E91 + E92 + B108</f>
        <v>1369472.529</v>
      </c>
      <c r="I96" s="4"/>
      <c r="J96" s="44">
        <f t="shared" si="12"/>
        <v>1471584.907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2" t="s">
        <v>17</v>
      </c>
      <c r="H97" s="43">
        <f> C73/4 + (C77*D78)/4 + C78/4 + C82/4 + C83/4 + (C86 * D86)/4 + (C87*D87)/4 + E91 + E92 + B109</f>
        <v>1369582.499</v>
      </c>
      <c r="I97" s="4"/>
      <c r="J97" s="44">
        <f t="shared" si="12"/>
        <v>1578619.016</v>
      </c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9" t="s">
        <v>98</v>
      </c>
      <c r="B98" s="49">
        <v>10.0</v>
      </c>
      <c r="C98" s="4"/>
      <c r="D98" s="50" t="s">
        <v>66</v>
      </c>
      <c r="E98" s="4"/>
      <c r="F98" s="4"/>
      <c r="G98" s="42" t="s">
        <v>18</v>
      </c>
      <c r="H98" s="43">
        <f> C73/4 + (C77*D78)/4 + C78/4 + C82/4 + C83/4 + (C86 * D86)/4 + (C87*D87)/4 + E91 + E92 + B110</f>
        <v>1369696.593</v>
      </c>
      <c r="I98" s="4"/>
      <c r="J98" s="44">
        <f t="shared" si="12"/>
        <v>1689152.06</v>
      </c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31" t="s">
        <v>7</v>
      </c>
      <c r="B99" s="36">
        <f t="shared" ref="B99:B102" si="14">0</f>
        <v>0</v>
      </c>
      <c r="C99" s="4"/>
      <c r="D99" s="50" t="s">
        <v>99</v>
      </c>
      <c r="E99" s="51">
        <f> SUM(B42:C42) * 106%</f>
        <v>304180.7702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31" t="s">
        <v>8</v>
      </c>
      <c r="B100" s="36">
        <f t="shared" si="14"/>
        <v>0</v>
      </c>
      <c r="C100" s="4"/>
      <c r="D100" s="50" t="s">
        <v>100</v>
      </c>
      <c r="E100" s="51">
        <f> H102 * 98%</f>
        <v>5367892.933</v>
      </c>
      <c r="F100" s="4"/>
      <c r="G100" s="40" t="s">
        <v>21</v>
      </c>
      <c r="H100" s="43">
        <f> SUM(H87:H90)</f>
        <v>7313035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31" t="s">
        <v>9</v>
      </c>
      <c r="B101" s="52">
        <f t="shared" si="14"/>
        <v>0</v>
      </c>
      <c r="C101" s="4"/>
      <c r="D101" s="4"/>
      <c r="E101" s="4"/>
      <c r="F101" s="4"/>
      <c r="G101" s="40" t="s">
        <v>22</v>
      </c>
      <c r="H101" s="43">
        <f>SUM(H91:H94)</f>
        <v>6926029.85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31" t="s">
        <v>10</v>
      </c>
      <c r="B102" s="36">
        <f t="shared" si="14"/>
        <v>0</v>
      </c>
      <c r="C102" s="4"/>
      <c r="D102" s="4"/>
      <c r="E102" s="4"/>
      <c r="F102" s="4"/>
      <c r="G102" s="40" t="s">
        <v>23</v>
      </c>
      <c r="H102" s="43">
        <f>SUM(H95:H98)</f>
        <v>5477441.769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31" t="s">
        <v>11</v>
      </c>
      <c r="B103" s="36">
        <f> (B35 + C35)*B49* B111</f>
        <v>928.2036794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31" t="s">
        <v>12</v>
      </c>
      <c r="B104" s="36">
        <f> (B36 + C36)*B49* B111</f>
        <v>953.4330454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31" t="s">
        <v>13</v>
      </c>
      <c r="B105" s="36">
        <f> (B37 + C37)*B49* B111</f>
        <v>1125.178234</v>
      </c>
      <c r="C105" s="4"/>
      <c r="D105" s="53" t="s">
        <v>101</v>
      </c>
      <c r="E105" s="53" t="s">
        <v>102</v>
      </c>
      <c r="F105" s="53" t="s">
        <v>103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31" t="s">
        <v>14</v>
      </c>
      <c r="B106" s="36">
        <f> (B38 + C38)*B49* B111</f>
        <v>1863.035498</v>
      </c>
      <c r="C106" s="4"/>
      <c r="D106" s="20" t="s">
        <v>21</v>
      </c>
      <c r="E106" s="20">
        <v>0.0</v>
      </c>
      <c r="F106" s="54">
        <v>0.0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31" t="s">
        <v>15</v>
      </c>
      <c r="B107" s="36">
        <f> (B39 + C39)*B49* B111</f>
        <v>2150.147133</v>
      </c>
      <c r="C107" s="4"/>
      <c r="D107" s="20" t="s">
        <v>22</v>
      </c>
      <c r="E107" s="20">
        <v>5.0</v>
      </c>
      <c r="F107" s="54">
        <v>0.03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31" t="s">
        <v>16</v>
      </c>
      <c r="B108" s="36">
        <f> (B40 + C40)*B49* B111</f>
        <v>2932.52933</v>
      </c>
      <c r="C108" s="4"/>
      <c r="D108" s="20" t="s">
        <v>23</v>
      </c>
      <c r="E108" s="20">
        <v>7.0</v>
      </c>
      <c r="F108" s="54">
        <v>0.14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31" t="s">
        <v>17</v>
      </c>
      <c r="B109" s="36">
        <f> (B41 + C41)*B49* B111</f>
        <v>3042.49918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31" t="s">
        <v>18</v>
      </c>
      <c r="B110" s="36">
        <f> ((B42 + C42)*B49)* B111</f>
        <v>3156.592899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9" t="s">
        <v>104</v>
      </c>
      <c r="B111" s="55">
        <v>0.1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1" t="s">
        <v>105</v>
      </c>
      <c r="C114" s="1" t="s">
        <v>106</v>
      </c>
      <c r="D114" s="1" t="s">
        <v>107</v>
      </c>
      <c r="E114" s="4"/>
      <c r="F114" s="1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1" t="s">
        <v>21</v>
      </c>
      <c r="B115" s="56">
        <f t="shared" ref="B115:B117" si="15">H100</f>
        <v>7313035</v>
      </c>
      <c r="C115" s="56">
        <f>SUM(I51:I54)</f>
        <v>1893705.155</v>
      </c>
      <c r="D115" s="56">
        <f t="shared" ref="D115:D124" si="16"> C115 - B115</f>
        <v>-5419329.845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1" t="s">
        <v>22</v>
      </c>
      <c r="B116" s="56">
        <f t="shared" si="15"/>
        <v>6926029.85</v>
      </c>
      <c r="C116" s="56">
        <f>SUM(I55:I58)</f>
        <v>4139000.492</v>
      </c>
      <c r="D116" s="56">
        <f t="shared" si="16"/>
        <v>-2787029.359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1" t="s">
        <v>23</v>
      </c>
      <c r="B117" s="56">
        <f t="shared" si="15"/>
        <v>5477441.769</v>
      </c>
      <c r="C117" s="56">
        <f>SUM(I59:I62)</f>
        <v>10937647.6</v>
      </c>
      <c r="D117" s="56">
        <f t="shared" si="16"/>
        <v>5460205.832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1" t="s">
        <v>108</v>
      </c>
      <c r="B118" s="56">
        <f> H102 * 102%</f>
        <v>5586990.604</v>
      </c>
      <c r="C118" s="56">
        <f>I64*102%</f>
        <v>12395905.76</v>
      </c>
      <c r="D118" s="56">
        <f t="shared" si="16"/>
        <v>6808915.16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1" t="s">
        <v>109</v>
      </c>
      <c r="B119" s="56">
        <f> H102 * 95%</f>
        <v>5203569.68</v>
      </c>
      <c r="C119" s="56">
        <f>I64*98%</f>
        <v>11909791.81</v>
      </c>
      <c r="D119" s="56">
        <f t="shared" si="16"/>
        <v>6706222.132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1" t="s">
        <v>110</v>
      </c>
      <c r="B120" s="56">
        <f> H102 * 99%</f>
        <v>5422667.351</v>
      </c>
      <c r="C120" s="56">
        <f>I64*106%</f>
        <v>12882019.71</v>
      </c>
      <c r="D120" s="56">
        <f t="shared" si="16"/>
        <v>7459352.364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1" t="s">
        <v>111</v>
      </c>
      <c r="B121" s="56">
        <f> H102 * 97%</f>
        <v>5313118.515</v>
      </c>
      <c r="C121" s="56">
        <f>I64*109%</f>
        <v>13246605.18</v>
      </c>
      <c r="D121" s="56">
        <f t="shared" si="16"/>
        <v>7933486.663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1" t="s">
        <v>112</v>
      </c>
      <c r="B122" s="56">
        <f> H102 * 101%</f>
        <v>5532216.186</v>
      </c>
      <c r="C122" s="56">
        <f>I64*111%</f>
        <v>13489662.15</v>
      </c>
      <c r="D122" s="56">
        <f t="shared" si="16"/>
        <v>7957445.968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1" t="s">
        <v>113</v>
      </c>
      <c r="B123" s="56">
        <f> H102 *100.5%</f>
        <v>5504828.977</v>
      </c>
      <c r="C123" s="56">
        <f>I64*109%</f>
        <v>13246605.18</v>
      </c>
      <c r="D123" s="56">
        <f t="shared" si="16"/>
        <v>7741776.201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1" t="s">
        <v>114</v>
      </c>
      <c r="B124" s="56">
        <f> H102 * 98.5%</f>
        <v>5395280.142</v>
      </c>
      <c r="C124" s="56">
        <f>I64*116%</f>
        <v>14097304.59</v>
      </c>
      <c r="D124" s="56">
        <f t="shared" si="16"/>
        <v>8702024.452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