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Agus" sheetId="3" r:id="rId6"/>
    <sheet state="visible" name="Definitiva" sheetId="4" r:id="rId7"/>
  </sheets>
  <definedNames/>
  <calcPr/>
</workbook>
</file>

<file path=xl/sharedStrings.xml><?xml version="1.0" encoding="utf-8"?>
<sst xmlns="http://schemas.openxmlformats.org/spreadsheetml/2006/main" count="255" uniqueCount="70">
  <si>
    <t>1° PASO: Buscar relación N2/N1 para que el control trabaje en el medio.</t>
  </si>
  <si>
    <t>Vin_medio</t>
  </si>
  <si>
    <t>V</t>
  </si>
  <si>
    <t>Iin_media</t>
  </si>
  <si>
    <t>A</t>
  </si>
  <si>
    <t>Vout_medio</t>
  </si>
  <si>
    <t>Iout_media</t>
  </si>
  <si>
    <t>factor_pico</t>
  </si>
  <si>
    <t>Asenoidal</t>
  </si>
  <si>
    <t>P_out_target</t>
  </si>
  <si>
    <t>W</t>
  </si>
  <si>
    <t>N2/N1 = V2/V1</t>
  </si>
  <si>
    <t>f_switching</t>
  </si>
  <si>
    <t>Hz</t>
  </si>
  <si>
    <t>2° PASO:  Dimensionar N1 y N2 por corriente</t>
  </si>
  <si>
    <t>Núcleo</t>
  </si>
  <si>
    <t>Aw</t>
  </si>
  <si>
    <t>mm^2</t>
  </si>
  <si>
    <t>fv</t>
  </si>
  <si>
    <t>k1</t>
  </si>
  <si>
    <t>% de área al primario</t>
  </si>
  <si>
    <t>k2</t>
  </si>
  <si>
    <t>% de área del secundario</t>
  </si>
  <si>
    <t>A1</t>
  </si>
  <si>
    <t>A2</t>
  </si>
  <si>
    <t>Conductores</t>
  </si>
  <si>
    <t>D_primario</t>
  </si>
  <si>
    <t>mm</t>
  </si>
  <si>
    <t>S_skin_primario</t>
  </si>
  <si>
    <t>J_primario</t>
  </si>
  <si>
    <t>A/mm^2</t>
  </si>
  <si>
    <t>2 a 4 A/mm^2</t>
  </si>
  <si>
    <t>N_cond_prim</t>
  </si>
  <si>
    <t>Número de conductores apareados</t>
  </si>
  <si>
    <t>D_secundario</t>
  </si>
  <si>
    <t>S_skin_sec</t>
  </si>
  <si>
    <t>J_sec</t>
  </si>
  <si>
    <t>N_cond_sec</t>
  </si>
  <si>
    <t>Sección de conductores equivalentes</t>
  </si>
  <si>
    <t>S_total_pr</t>
  </si>
  <si>
    <t>Teniendo en cuenta que es un fleje (peor caso)</t>
  </si>
  <si>
    <t>S_total_sec</t>
  </si>
  <si>
    <t>Capacidad de carrete</t>
  </si>
  <si>
    <t>N1_max</t>
  </si>
  <si>
    <t>vueltas</t>
  </si>
  <si>
    <t>=&gt;</t>
  </si>
  <si>
    <t>N2</t>
  </si>
  <si>
    <t>N2_max</t>
  </si>
  <si>
    <t>N1</t>
  </si>
  <si>
    <t>3° PASO: Verificación por saturación del núcleo</t>
  </si>
  <si>
    <t>Bsat</t>
  </si>
  <si>
    <t>mT</t>
  </si>
  <si>
    <t>@10kHz y 100°C (peor caso)</t>
  </si>
  <si>
    <t>Amin</t>
  </si>
  <si>
    <t>AL</t>
  </si>
  <si>
    <t>nH</t>
  </si>
  <si>
    <t>B_AC</t>
  </si>
  <si>
    <t>B_DC</t>
  </si>
  <si>
    <t>B_max</t>
  </si>
  <si>
    <t>4º PASO: cálculo de L</t>
  </si>
  <si>
    <t>Corriente Entrada considerando fuente ideal y D.</t>
  </si>
  <si>
    <t>Dmax</t>
  </si>
  <si>
    <t>D/(1-D)</t>
  </si>
  <si>
    <t>N1/N2 =</t>
  </si>
  <si>
    <t>relacion</t>
  </si>
  <si>
    <t>L_prim</t>
  </si>
  <si>
    <t>factor para c</t>
  </si>
  <si>
    <t>C =</t>
  </si>
  <si>
    <t>nF</t>
  </si>
  <si>
    <t>L_sec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</si>
</sst>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rgb="FF11A9CC"/>
      <name val="Inconsolata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3" fontId="2" numFmtId="2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0" fillId="3" fontId="2" numFmtId="165" xfId="0" applyFont="1" applyNumberFormat="1"/>
    <xf borderId="0" fillId="4" fontId="1" numFmtId="0" xfId="0" applyAlignment="1" applyFill="1" applyFont="1">
      <alignment readingOrder="0"/>
    </xf>
    <xf borderId="0" fillId="4" fontId="2" numFmtId="0" xfId="0" applyFont="1"/>
    <xf borderId="0" fillId="3" fontId="2" numFmtId="166" xfId="0" applyFont="1" applyNumberFormat="1"/>
    <xf borderId="0" fillId="5" fontId="3" numFmtId="0" xfId="0" applyAlignment="1" applyFill="1" applyFont="1">
      <alignment readingOrder="0"/>
    </xf>
    <xf borderId="0" fillId="0" fontId="2" numFmtId="0" xfId="0" applyFont="1"/>
    <xf quotePrefix="1" borderId="0" fillId="3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2" numFmtId="2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466725</xdr:colOff>
      <xdr:row>8</xdr:row>
      <xdr:rowOff>76200</xdr:rowOff>
    </xdr:from>
    <xdr:ext cx="4514850" cy="18859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0</xdr:row>
      <xdr:rowOff>133350</xdr:rowOff>
    </xdr:from>
    <xdr:ext cx="4343400" cy="14573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18</xdr:row>
      <xdr:rowOff>47625</xdr:rowOff>
    </xdr:from>
    <xdr:ext cx="8039100" cy="2190750"/>
    <xdr:pic>
      <xdr:nvPicPr>
        <xdr:cNvPr id="0" name="image3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>
        <f>2*B4/PI()</f>
        <v>140.0563499</v>
      </c>
      <c r="C2" s="3" t="s">
        <v>2</v>
      </c>
      <c r="D2" s="3" t="s">
        <v>3</v>
      </c>
      <c r="E2" s="5">
        <f>E4/B2</f>
        <v>0.1927795492</v>
      </c>
      <c r="F2" s="3" t="s">
        <v>4</v>
      </c>
      <c r="G2" s="6"/>
      <c r="H2" s="6"/>
    </row>
    <row r="3">
      <c r="A3" s="3" t="s">
        <v>5</v>
      </c>
      <c r="B3" s="3">
        <v>9.0</v>
      </c>
      <c r="C3" s="3" t="s">
        <v>2</v>
      </c>
      <c r="D3" s="3" t="s">
        <v>6</v>
      </c>
      <c r="E3" s="3">
        <f>(E4/B3)*H3</f>
        <v>4.5</v>
      </c>
      <c r="F3" s="3" t="s">
        <v>4</v>
      </c>
      <c r="G3" s="3" t="s">
        <v>7</v>
      </c>
      <c r="H3" s="3">
        <v>1.5</v>
      </c>
    </row>
    <row r="4">
      <c r="A4" s="3" t="s">
        <v>8</v>
      </c>
      <c r="B4" s="3">
        <v>220.0</v>
      </c>
      <c r="C4" s="3" t="s">
        <v>2</v>
      </c>
      <c r="D4" s="3" t="s">
        <v>9</v>
      </c>
      <c r="E4" s="3">
        <v>27.0</v>
      </c>
      <c r="F4" s="3" t="s">
        <v>10</v>
      </c>
      <c r="G4" s="6"/>
      <c r="H4" s="6"/>
    </row>
    <row r="5">
      <c r="A5" s="3" t="s">
        <v>11</v>
      </c>
      <c r="B5" s="7">
        <f>B3/B2</f>
        <v>0.06425984973</v>
      </c>
      <c r="C5" s="6"/>
      <c r="D5" s="3" t="s">
        <v>12</v>
      </c>
      <c r="E5" s="3">
        <v>132000.0</v>
      </c>
      <c r="F5" s="3" t="s">
        <v>13</v>
      </c>
      <c r="G5" s="6"/>
      <c r="H5" s="6"/>
    </row>
    <row r="6">
      <c r="A6" s="1" t="s">
        <v>14</v>
      </c>
      <c r="B6" s="2"/>
      <c r="C6" s="2"/>
      <c r="D6" s="2"/>
      <c r="E6" s="2"/>
      <c r="F6" s="2"/>
      <c r="G6" s="2"/>
      <c r="H6" s="2"/>
    </row>
    <row r="7">
      <c r="A7" s="8" t="s">
        <v>15</v>
      </c>
      <c r="B7" s="9"/>
      <c r="C7" s="9"/>
      <c r="D7" s="9"/>
      <c r="E7" s="9"/>
      <c r="F7" s="9"/>
      <c r="G7" s="9"/>
      <c r="H7" s="9"/>
    </row>
    <row r="8">
      <c r="A8" s="3" t="s">
        <v>16</v>
      </c>
      <c r="B8" s="3">
        <v>172.0</v>
      </c>
      <c r="C8" s="3" t="s">
        <v>17</v>
      </c>
      <c r="D8" s="6"/>
      <c r="E8" s="6"/>
      <c r="F8" s="6"/>
      <c r="G8" s="6"/>
      <c r="H8" s="6"/>
    </row>
    <row r="9">
      <c r="A9" s="3" t="s">
        <v>18</v>
      </c>
      <c r="B9" s="3">
        <v>0.3</v>
      </c>
      <c r="C9" s="6"/>
      <c r="D9" s="6"/>
      <c r="E9" s="6"/>
      <c r="F9" s="6"/>
      <c r="G9" s="6"/>
      <c r="H9" s="6"/>
    </row>
    <row r="10">
      <c r="A10" s="3" t="s">
        <v>19</v>
      </c>
      <c r="B10" s="3">
        <v>0.5</v>
      </c>
      <c r="C10" s="6"/>
      <c r="D10" s="3" t="s">
        <v>20</v>
      </c>
      <c r="E10" s="6"/>
      <c r="F10" s="6"/>
      <c r="G10" s="6"/>
      <c r="H10" s="6"/>
    </row>
    <row r="11">
      <c r="A11" s="3" t="s">
        <v>21</v>
      </c>
      <c r="B11" s="3">
        <v>0.5</v>
      </c>
      <c r="C11" s="6"/>
      <c r="D11" s="3" t="s">
        <v>22</v>
      </c>
      <c r="E11" s="6"/>
      <c r="F11" s="6"/>
      <c r="G11" s="6"/>
      <c r="H11" s="6"/>
    </row>
    <row r="12">
      <c r="A12" s="3" t="s">
        <v>23</v>
      </c>
      <c r="B12" s="6">
        <f>B8*B9*B10</f>
        <v>25.8</v>
      </c>
      <c r="C12" s="3" t="s">
        <v>17</v>
      </c>
      <c r="D12" s="6"/>
      <c r="E12" s="6"/>
      <c r="F12" s="6"/>
      <c r="G12" s="6"/>
      <c r="H12" s="6"/>
    </row>
    <row r="13">
      <c r="A13" s="3" t="s">
        <v>24</v>
      </c>
      <c r="B13" s="6">
        <f>B8*B9*B11</f>
        <v>25.8</v>
      </c>
      <c r="C13" s="3" t="s">
        <v>17</v>
      </c>
      <c r="D13" s="6"/>
      <c r="E13" s="6"/>
      <c r="F13" s="6"/>
      <c r="G13" s="6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8" t="s">
        <v>25</v>
      </c>
      <c r="B15" s="9"/>
      <c r="C15" s="9"/>
      <c r="D15" s="9"/>
      <c r="E15" s="9"/>
      <c r="F15" s="9"/>
      <c r="G15" s="9"/>
      <c r="H15" s="9"/>
    </row>
    <row r="16">
      <c r="A16" s="3" t="s">
        <v>26</v>
      </c>
      <c r="B16" s="3">
        <v>0.6</v>
      </c>
      <c r="C16" s="3" t="s">
        <v>27</v>
      </c>
      <c r="D16" s="6"/>
      <c r="E16" s="6"/>
      <c r="F16" s="6"/>
      <c r="G16" s="6"/>
      <c r="H16" s="6"/>
    </row>
    <row r="17">
      <c r="A17" s="3" t="s">
        <v>28</v>
      </c>
      <c r="B17" s="10">
        <f>pi()*((B16*B16/4)-(66*66/E5))</f>
        <v>0.1790707813</v>
      </c>
      <c r="C17" s="3" t="s">
        <v>17</v>
      </c>
      <c r="D17" s="6"/>
      <c r="E17" s="6"/>
      <c r="F17" s="6"/>
      <c r="G17" s="6"/>
      <c r="H17" s="6"/>
    </row>
    <row r="18">
      <c r="A18" s="3" t="s">
        <v>29</v>
      </c>
      <c r="B18" s="3">
        <v>4.0</v>
      </c>
      <c r="C18" s="3" t="s">
        <v>30</v>
      </c>
      <c r="D18" s="3" t="s">
        <v>31</v>
      </c>
      <c r="E18" s="6"/>
      <c r="F18" s="6"/>
      <c r="G18" s="6"/>
      <c r="H18" s="6"/>
    </row>
    <row r="19">
      <c r="A19" s="3" t="s">
        <v>32</v>
      </c>
      <c r="B19" s="6">
        <f>ROUNDUP(E2/(B18*B17))</f>
        <v>1</v>
      </c>
      <c r="C19" s="11">
        <f>E2/(B18*B17)</f>
        <v>0.269138756</v>
      </c>
      <c r="D19" s="3" t="s">
        <v>33</v>
      </c>
      <c r="E19" s="6"/>
      <c r="F19" s="6"/>
      <c r="G19" s="6"/>
      <c r="H19" s="6"/>
    </row>
    <row r="20">
      <c r="A20" s="6"/>
      <c r="B20" s="6"/>
      <c r="C20" s="6"/>
      <c r="D20" s="6"/>
      <c r="E20" s="6"/>
      <c r="F20" s="6"/>
      <c r="G20" s="6"/>
      <c r="H20" s="6"/>
    </row>
    <row r="21">
      <c r="A21" s="3" t="s">
        <v>34</v>
      </c>
      <c r="B21" s="3">
        <v>0.6</v>
      </c>
      <c r="C21" s="3" t="s">
        <v>27</v>
      </c>
      <c r="D21" s="6"/>
      <c r="E21" s="6"/>
      <c r="F21" s="6"/>
      <c r="G21" s="6"/>
      <c r="H21" s="6"/>
    </row>
    <row r="22">
      <c r="A22" s="3" t="s">
        <v>35</v>
      </c>
      <c r="B22" s="10">
        <f>pi()*((B21*B21/4)-(66*66/E5))</f>
        <v>0.1790707813</v>
      </c>
      <c r="C22" s="3" t="s">
        <v>17</v>
      </c>
      <c r="D22" s="6"/>
      <c r="E22" s="6"/>
      <c r="F22" s="6"/>
      <c r="G22" s="6"/>
      <c r="H22" s="6"/>
    </row>
    <row r="23">
      <c r="A23" s="3" t="s">
        <v>36</v>
      </c>
      <c r="B23" s="3">
        <v>4.0</v>
      </c>
      <c r="C23" s="3" t="s">
        <v>30</v>
      </c>
      <c r="D23" s="6"/>
      <c r="E23" s="6"/>
      <c r="F23" s="6"/>
      <c r="G23" s="6"/>
      <c r="H23" s="6"/>
    </row>
    <row r="24">
      <c r="A24" s="3" t="s">
        <v>37</v>
      </c>
      <c r="B24" s="6">
        <f>ROUNDUP(E3/(B23*B22))</f>
        <v>7</v>
      </c>
      <c r="C24" s="11">
        <f>E3/(B23*B22)</f>
        <v>6.282431964</v>
      </c>
      <c r="D24" s="3" t="s">
        <v>33</v>
      </c>
      <c r="E24" s="6"/>
      <c r="F24" s="6"/>
      <c r="G24" s="6"/>
      <c r="H24" s="6"/>
    </row>
    <row r="25">
      <c r="A25" s="6"/>
      <c r="B25" s="6"/>
      <c r="C25" s="6"/>
      <c r="D25" s="6"/>
      <c r="E25" s="6"/>
      <c r="F25" s="6"/>
      <c r="G25" s="6"/>
      <c r="H25" s="6"/>
    </row>
    <row r="26">
      <c r="A26" s="8" t="s">
        <v>38</v>
      </c>
      <c r="B26" s="9"/>
      <c r="C26" s="9"/>
      <c r="D26" s="9"/>
      <c r="E26" s="9"/>
      <c r="F26" s="9"/>
      <c r="G26" s="9"/>
      <c r="H26" s="9"/>
    </row>
    <row r="27">
      <c r="A27" s="3" t="s">
        <v>39</v>
      </c>
      <c r="B27" s="6">
        <f>B16*B16*B19</f>
        <v>0.36</v>
      </c>
      <c r="C27" s="3" t="s">
        <v>17</v>
      </c>
      <c r="D27" s="3" t="s">
        <v>40</v>
      </c>
      <c r="E27" s="6"/>
      <c r="F27" s="6"/>
      <c r="G27" s="6"/>
      <c r="H27" s="6"/>
    </row>
    <row r="28">
      <c r="A28" s="3" t="s">
        <v>41</v>
      </c>
      <c r="B28" s="6">
        <f>B21*B21*B24</f>
        <v>2.52</v>
      </c>
      <c r="C28" s="3" t="s">
        <v>17</v>
      </c>
      <c r="D28" s="6"/>
      <c r="E28" s="6"/>
      <c r="F28" s="6"/>
      <c r="G28" s="6"/>
      <c r="H28" s="6"/>
    </row>
    <row r="29">
      <c r="A29" s="6"/>
      <c r="B29" s="6"/>
      <c r="C29" s="6"/>
      <c r="D29" s="6"/>
      <c r="E29" s="6"/>
      <c r="F29" s="6"/>
      <c r="G29" s="6"/>
      <c r="H29" s="6"/>
    </row>
    <row r="30">
      <c r="A30" s="8" t="s">
        <v>42</v>
      </c>
      <c r="B30" s="9"/>
      <c r="C30" s="9"/>
      <c r="D30" s="9"/>
      <c r="E30" s="9"/>
      <c r="F30" s="9"/>
      <c r="G30" s="9"/>
      <c r="H30" s="9"/>
    </row>
    <row r="31">
      <c r="A31" s="3" t="s">
        <v>43</v>
      </c>
      <c r="B31" s="6">
        <f t="shared" ref="B31:B32" si="1">ROUNDDOWN(B12/B27)</f>
        <v>71</v>
      </c>
      <c r="C31" s="12">
        <f t="shared" ref="C31:C32" si="2">B12/B27</f>
        <v>71.66666667</v>
      </c>
      <c r="D31" s="3" t="s">
        <v>44</v>
      </c>
      <c r="E31" s="13" t="s">
        <v>45</v>
      </c>
      <c r="F31" s="3" t="s">
        <v>46</v>
      </c>
      <c r="G31" s="7">
        <f>B31*B5</f>
        <v>4.562449331</v>
      </c>
      <c r="H31" s="6"/>
    </row>
    <row r="32">
      <c r="A32" s="3" t="s">
        <v>47</v>
      </c>
      <c r="B32" s="6">
        <f t="shared" si="1"/>
        <v>10</v>
      </c>
      <c r="C32" s="12">
        <f t="shared" si="2"/>
        <v>10.23809524</v>
      </c>
      <c r="D32" s="3" t="s">
        <v>44</v>
      </c>
      <c r="E32" s="13" t="s">
        <v>45</v>
      </c>
      <c r="F32" s="3" t="s">
        <v>48</v>
      </c>
      <c r="G32" s="7">
        <f>B32/B5</f>
        <v>155.6181666</v>
      </c>
      <c r="H32" s="6"/>
    </row>
    <row r="33">
      <c r="A33" s="1" t="s">
        <v>49</v>
      </c>
      <c r="B33" s="1"/>
      <c r="C33" s="1"/>
      <c r="D33" s="1"/>
      <c r="E33" s="1"/>
      <c r="F33" s="1"/>
      <c r="G33" s="1"/>
      <c r="H33" s="1"/>
    </row>
    <row r="34">
      <c r="A34" s="14" t="s">
        <v>15</v>
      </c>
      <c r="B34" s="6"/>
      <c r="C34" s="6"/>
      <c r="D34" s="6"/>
      <c r="E34" s="6"/>
      <c r="F34" s="6"/>
      <c r="G34" s="6"/>
      <c r="H34" s="6"/>
    </row>
    <row r="35">
      <c r="A35" s="3" t="s">
        <v>50</v>
      </c>
      <c r="B35" s="3">
        <v>390.0</v>
      </c>
      <c r="C35" s="3" t="s">
        <v>51</v>
      </c>
      <c r="D35" s="13" t="s">
        <v>52</v>
      </c>
      <c r="E35" s="6"/>
      <c r="F35" s="6"/>
      <c r="G35" s="6"/>
      <c r="H35" s="6"/>
    </row>
    <row r="36">
      <c r="A36" s="3" t="s">
        <v>53</v>
      </c>
      <c r="B36" s="3">
        <v>229.0</v>
      </c>
      <c r="C36" s="3" t="s">
        <v>17</v>
      </c>
      <c r="D36" s="6"/>
      <c r="E36" s="6"/>
      <c r="F36" s="6"/>
      <c r="G36" s="6"/>
      <c r="H36" s="6"/>
    </row>
    <row r="37">
      <c r="A37" s="3" t="s">
        <v>54</v>
      </c>
      <c r="B37" s="3">
        <v>5200.0</v>
      </c>
      <c r="C37" s="3" t="s">
        <v>55</v>
      </c>
      <c r="D37" s="6"/>
      <c r="E37" s="6"/>
      <c r="F37" s="6"/>
      <c r="G37" s="6"/>
      <c r="H37" s="6"/>
    </row>
    <row r="38">
      <c r="A38" s="6"/>
      <c r="B38" s="6"/>
      <c r="C38" s="6"/>
      <c r="D38" s="6"/>
      <c r="E38" s="6"/>
      <c r="F38" s="6"/>
      <c r="G38" s="6"/>
      <c r="H38" s="6"/>
    </row>
    <row r="39">
      <c r="A39" s="3" t="s">
        <v>56</v>
      </c>
      <c r="B39" s="15">
        <f>0.5*B2*(1/E5)/(B31*B36/1000000)*1000</f>
        <v>32.62909631</v>
      </c>
      <c r="C39" s="3" t="s">
        <v>51</v>
      </c>
      <c r="D39" s="6"/>
      <c r="E39" s="6"/>
      <c r="F39" s="6"/>
      <c r="G39" s="6"/>
      <c r="H39" s="6"/>
    </row>
    <row r="40">
      <c r="A40" s="3" t="s">
        <v>57</v>
      </c>
      <c r="B40" s="15">
        <f>(B31*E2*B37*(10^-9)/(B36*10^-6))*1000</f>
        <v>310.8044086</v>
      </c>
      <c r="C40" s="3" t="s">
        <v>51</v>
      </c>
      <c r="D40" s="6"/>
      <c r="E40" s="6"/>
      <c r="F40" s="6"/>
      <c r="G40" s="6"/>
      <c r="H40" s="6"/>
      <c r="J40" s="16"/>
    </row>
    <row r="41">
      <c r="A41" s="3" t="s">
        <v>58</v>
      </c>
      <c r="B41" s="15">
        <f>B40+B39</f>
        <v>343.4335049</v>
      </c>
      <c r="C41" s="3" t="s">
        <v>51</v>
      </c>
      <c r="D41" s="12" t="str">
        <f>IF(B41&gt;B35,"SATURA","OK?")</f>
        <v>OK?</v>
      </c>
      <c r="E41" s="6"/>
      <c r="F41" s="6"/>
      <c r="G41" s="6"/>
      <c r="H41" s="6"/>
    </row>
    <row r="42">
      <c r="A42" s="1" t="s">
        <v>59</v>
      </c>
      <c r="B42" s="2"/>
      <c r="C42" s="2"/>
      <c r="D42" s="2"/>
      <c r="E42" s="2"/>
      <c r="F42" s="2"/>
      <c r="G42" s="2"/>
      <c r="H42" s="2"/>
    </row>
  </sheetData>
  <conditionalFormatting sqref="D41">
    <cfRule type="containsText" dxfId="0" priority="1" operator="containsText" text="OK">
      <formula>NOT(ISERROR(SEARCH(("OK"),(D41))))</formula>
    </cfRule>
  </conditionalFormatting>
  <conditionalFormatting sqref="D41">
    <cfRule type="notContainsText" dxfId="1" priority="2" operator="notContains" text="OK">
      <formula>ISERROR(SEARCH(("OK"),(D41)))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>
        <v>311.0</v>
      </c>
      <c r="C2" s="3" t="s">
        <v>2</v>
      </c>
      <c r="D2" s="3" t="s">
        <v>3</v>
      </c>
      <c r="E2" s="5">
        <f>E4/B2</f>
        <v>0.06430868167</v>
      </c>
      <c r="F2" s="3" t="s">
        <v>4</v>
      </c>
      <c r="G2" s="6"/>
      <c r="H2" s="6"/>
    </row>
    <row r="3">
      <c r="A3" s="3" t="s">
        <v>5</v>
      </c>
      <c r="B3" s="3">
        <v>9.0</v>
      </c>
      <c r="C3" s="3" t="s">
        <v>2</v>
      </c>
      <c r="D3" s="3" t="s">
        <v>6</v>
      </c>
      <c r="E3" s="3">
        <f>(E4/B3)*H3</f>
        <v>2.222222222</v>
      </c>
      <c r="F3" s="3" t="s">
        <v>4</v>
      </c>
      <c r="G3" s="3" t="s">
        <v>7</v>
      </c>
      <c r="H3" s="3">
        <v>1.0</v>
      </c>
    </row>
    <row r="4">
      <c r="A4" s="3" t="s">
        <v>8</v>
      </c>
      <c r="B4" s="3">
        <v>220.0</v>
      </c>
      <c r="C4" s="3" t="s">
        <v>2</v>
      </c>
      <c r="D4" s="3" t="s">
        <v>9</v>
      </c>
      <c r="E4" s="3">
        <v>20.0</v>
      </c>
      <c r="F4" s="3" t="s">
        <v>10</v>
      </c>
      <c r="G4" s="6"/>
      <c r="H4" s="6"/>
      <c r="J4" s="17" t="s">
        <v>3</v>
      </c>
      <c r="K4" s="12">
        <f>B5*E3*D6</f>
        <v>0.06430868167</v>
      </c>
      <c r="L4" s="17" t="s">
        <v>4</v>
      </c>
      <c r="M4" s="17" t="s">
        <v>60</v>
      </c>
    </row>
    <row r="5">
      <c r="A5" s="3" t="s">
        <v>11</v>
      </c>
      <c r="B5" s="7">
        <f>B3/B2/D6</f>
        <v>0.04340836013</v>
      </c>
      <c r="C5" s="6"/>
      <c r="D5" s="3" t="s">
        <v>12</v>
      </c>
      <c r="E5" s="3">
        <v>132000.0</v>
      </c>
      <c r="F5" s="3" t="s">
        <v>13</v>
      </c>
      <c r="G5" s="6"/>
      <c r="H5" s="6"/>
    </row>
    <row r="6">
      <c r="A6" s="3" t="s">
        <v>61</v>
      </c>
      <c r="B6" s="3">
        <v>0.4</v>
      </c>
      <c r="C6" s="3" t="s">
        <v>62</v>
      </c>
      <c r="D6" s="6">
        <f>B6/(1-B6)</f>
        <v>0.6666666667</v>
      </c>
      <c r="E6" s="6"/>
      <c r="F6" s="3" t="s">
        <v>63</v>
      </c>
      <c r="G6" s="6">
        <f>1/B5</f>
        <v>23.03703704</v>
      </c>
      <c r="H6" s="6"/>
    </row>
    <row r="7">
      <c r="A7" s="1" t="s">
        <v>14</v>
      </c>
      <c r="B7" s="2"/>
      <c r="C7" s="2"/>
      <c r="D7" s="2"/>
      <c r="E7" s="2"/>
      <c r="F7" s="2"/>
      <c r="G7" s="2"/>
      <c r="H7" s="2"/>
    </row>
    <row r="8">
      <c r="A8" s="8" t="s">
        <v>15</v>
      </c>
      <c r="B8" s="9"/>
      <c r="C8" s="9"/>
      <c r="D8" s="9"/>
      <c r="E8" s="9"/>
      <c r="F8" s="9"/>
      <c r="G8" s="9"/>
      <c r="H8" s="9"/>
    </row>
    <row r="9">
      <c r="A9" s="3" t="s">
        <v>16</v>
      </c>
      <c r="B9" s="3">
        <v>172.0</v>
      </c>
      <c r="C9" s="3" t="s">
        <v>17</v>
      </c>
      <c r="D9" s="6"/>
      <c r="E9" s="6"/>
      <c r="F9" s="6"/>
      <c r="G9" s="6"/>
      <c r="H9" s="6"/>
    </row>
    <row r="10">
      <c r="A10" s="3" t="s">
        <v>18</v>
      </c>
      <c r="B10" s="3">
        <v>0.3</v>
      </c>
      <c r="C10" s="6"/>
      <c r="D10" s="6"/>
      <c r="E10" s="6"/>
      <c r="F10" s="6"/>
      <c r="G10" s="6"/>
      <c r="H10" s="6"/>
    </row>
    <row r="11">
      <c r="A11" s="3" t="s">
        <v>19</v>
      </c>
      <c r="B11" s="3">
        <v>0.7</v>
      </c>
      <c r="C11" s="6"/>
      <c r="D11" s="3" t="s">
        <v>20</v>
      </c>
      <c r="E11" s="6"/>
      <c r="F11" s="6"/>
      <c r="G11" s="6"/>
      <c r="H11" s="6"/>
    </row>
    <row r="12">
      <c r="A12" s="3" t="s">
        <v>21</v>
      </c>
      <c r="B12" s="3">
        <v>0.3</v>
      </c>
      <c r="C12" s="6"/>
      <c r="D12" s="3" t="s">
        <v>22</v>
      </c>
      <c r="E12" s="6"/>
      <c r="F12" s="6"/>
      <c r="G12" s="6"/>
      <c r="H12" s="6"/>
    </row>
    <row r="13">
      <c r="A13" s="3" t="s">
        <v>23</v>
      </c>
      <c r="B13" s="6">
        <f>B9*B10*B11</f>
        <v>36.12</v>
      </c>
      <c r="C13" s="3" t="s">
        <v>17</v>
      </c>
      <c r="D13" s="6"/>
      <c r="E13" s="6"/>
      <c r="F13" s="6"/>
      <c r="G13" s="6"/>
      <c r="H13" s="6"/>
    </row>
    <row r="14">
      <c r="A14" s="3" t="s">
        <v>24</v>
      </c>
      <c r="B14" s="6">
        <f>B9*B10*B12</f>
        <v>15.48</v>
      </c>
      <c r="C14" s="3" t="s">
        <v>17</v>
      </c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  <row r="16">
      <c r="A16" s="8" t="s">
        <v>25</v>
      </c>
      <c r="B16" s="9"/>
      <c r="C16" s="9"/>
      <c r="D16" s="9"/>
      <c r="E16" s="9"/>
      <c r="F16" s="9"/>
      <c r="G16" s="9"/>
      <c r="H16" s="9"/>
    </row>
    <row r="17">
      <c r="A17" s="3" t="s">
        <v>26</v>
      </c>
      <c r="B17" s="3">
        <v>0.6</v>
      </c>
      <c r="C17" s="3" t="s">
        <v>27</v>
      </c>
      <c r="D17" s="6"/>
      <c r="E17" s="6"/>
      <c r="F17" s="6"/>
      <c r="G17" s="6"/>
      <c r="H17" s="6"/>
    </row>
    <row r="18">
      <c r="A18" s="3" t="s">
        <v>28</v>
      </c>
      <c r="B18" s="10">
        <f>pi()*((B17*B17/4)-(66*66/E5))</f>
        <v>0.1790707813</v>
      </c>
      <c r="C18" s="3" t="s">
        <v>17</v>
      </c>
      <c r="D18" s="6"/>
      <c r="E18" s="6"/>
      <c r="F18" s="6"/>
      <c r="G18" s="6"/>
      <c r="H18" s="6"/>
    </row>
    <row r="19">
      <c r="A19" s="3" t="s">
        <v>29</v>
      </c>
      <c r="B19" s="3">
        <v>4.0</v>
      </c>
      <c r="C19" s="3" t="s">
        <v>30</v>
      </c>
      <c r="D19" s="3" t="s">
        <v>31</v>
      </c>
      <c r="E19" s="6"/>
      <c r="F19" s="6"/>
      <c r="G19" s="6"/>
      <c r="H19" s="6"/>
    </row>
    <row r="20">
      <c r="A20" s="3" t="s">
        <v>32</v>
      </c>
      <c r="B20" s="6">
        <f>ROUNDUP(E2/(B19*B18))</f>
        <v>1</v>
      </c>
      <c r="C20" s="11">
        <f>E2/(B19*B18)</f>
        <v>0.08978109274</v>
      </c>
      <c r="D20" s="3" t="s">
        <v>33</v>
      </c>
      <c r="E20" s="6"/>
      <c r="F20" s="6"/>
      <c r="G20" s="6"/>
      <c r="H20" s="6"/>
    </row>
    <row r="21">
      <c r="A21" s="6"/>
      <c r="B21" s="6"/>
      <c r="C21" s="6"/>
      <c r="D21" s="6"/>
      <c r="E21" s="6"/>
      <c r="F21" s="6"/>
      <c r="G21" s="6"/>
      <c r="H21" s="6"/>
    </row>
    <row r="22">
      <c r="A22" s="3" t="s">
        <v>34</v>
      </c>
      <c r="B22" s="3">
        <v>0.6</v>
      </c>
      <c r="C22" s="3" t="s">
        <v>27</v>
      </c>
      <c r="D22" s="6"/>
      <c r="E22" s="6"/>
      <c r="F22" s="6"/>
      <c r="G22" s="6"/>
      <c r="H22" s="6"/>
    </row>
    <row r="23">
      <c r="A23" s="3" t="s">
        <v>35</v>
      </c>
      <c r="B23" s="10">
        <f>pi()*((B22*B22/4)-(66*66/E5))</f>
        <v>0.1790707813</v>
      </c>
      <c r="C23" s="3" t="s">
        <v>17</v>
      </c>
      <c r="D23" s="6"/>
      <c r="E23" s="6"/>
      <c r="F23" s="6"/>
      <c r="G23" s="6"/>
      <c r="H23" s="6"/>
    </row>
    <row r="24">
      <c r="A24" s="3" t="s">
        <v>36</v>
      </c>
      <c r="B24" s="3">
        <v>4.0</v>
      </c>
      <c r="C24" s="3" t="s">
        <v>30</v>
      </c>
      <c r="D24" s="6"/>
      <c r="E24" s="6"/>
      <c r="F24" s="6"/>
      <c r="G24" s="6"/>
      <c r="H24" s="6"/>
    </row>
    <row r="25">
      <c r="A25" s="3" t="s">
        <v>37</v>
      </c>
      <c r="B25" s="6">
        <f>ROUNDUP(E3/(B24*B23))</f>
        <v>4</v>
      </c>
      <c r="C25" s="11">
        <f>E3/(B24*B23)</f>
        <v>3.102435538</v>
      </c>
      <c r="D25" s="3" t="s">
        <v>33</v>
      </c>
      <c r="E25" s="6"/>
      <c r="F25" s="6"/>
      <c r="G25" s="6"/>
      <c r="H25" s="6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8" t="s">
        <v>38</v>
      </c>
      <c r="B27" s="9"/>
      <c r="C27" s="9"/>
      <c r="D27" s="9"/>
      <c r="E27" s="9"/>
      <c r="F27" s="9"/>
      <c r="G27" s="9"/>
      <c r="H27" s="9"/>
    </row>
    <row r="28">
      <c r="A28" s="3" t="s">
        <v>39</v>
      </c>
      <c r="B28" s="6">
        <f>B17*B17*B20</f>
        <v>0.36</v>
      </c>
      <c r="C28" s="3" t="s">
        <v>17</v>
      </c>
      <c r="D28" s="3" t="s">
        <v>40</v>
      </c>
      <c r="E28" s="6"/>
      <c r="F28" s="6"/>
      <c r="G28" s="6"/>
      <c r="H28" s="6"/>
    </row>
    <row r="29">
      <c r="A29" s="3" t="s">
        <v>41</v>
      </c>
      <c r="B29" s="6">
        <f>B22*B22*B25</f>
        <v>1.44</v>
      </c>
      <c r="C29" s="3" t="s">
        <v>17</v>
      </c>
      <c r="D29" s="6"/>
      <c r="E29" s="6"/>
      <c r="F29" s="6"/>
      <c r="G29" s="6"/>
      <c r="H29" s="6"/>
    </row>
    <row r="30">
      <c r="A30" s="6"/>
      <c r="B30" s="6"/>
      <c r="C30" s="6"/>
      <c r="D30" s="6"/>
      <c r="E30" s="6"/>
      <c r="F30" s="6"/>
      <c r="G30" s="6"/>
      <c r="H30" s="6"/>
    </row>
    <row r="31">
      <c r="A31" s="8" t="s">
        <v>42</v>
      </c>
      <c r="B31" s="9"/>
      <c r="C31" s="9"/>
      <c r="D31" s="9"/>
      <c r="E31" s="9"/>
      <c r="F31" s="9"/>
      <c r="G31" s="9"/>
      <c r="H31" s="9"/>
    </row>
    <row r="32">
      <c r="A32" s="3" t="s">
        <v>43</v>
      </c>
      <c r="B32" s="3">
        <v>46.0</v>
      </c>
      <c r="C32" s="12">
        <f t="shared" ref="C32:C33" si="1">B13/B28</f>
        <v>100.3333333</v>
      </c>
      <c r="D32" s="3" t="s">
        <v>44</v>
      </c>
      <c r="E32" s="13" t="s">
        <v>45</v>
      </c>
      <c r="F32" s="3" t="s">
        <v>46</v>
      </c>
      <c r="G32" s="7">
        <f>B32*B5</f>
        <v>1.996784566</v>
      </c>
      <c r="H32" s="6"/>
      <c r="I32" s="17" t="s">
        <v>64</v>
      </c>
      <c r="J32" s="12">
        <f>G33/G32</f>
        <v>115.3706686</v>
      </c>
    </row>
    <row r="33">
      <c r="A33" s="3" t="s">
        <v>47</v>
      </c>
      <c r="B33" s="6">
        <f>ROUNDDOWN(B14/B29)</f>
        <v>10</v>
      </c>
      <c r="C33" s="12">
        <f t="shared" si="1"/>
        <v>10.75</v>
      </c>
      <c r="D33" s="3" t="s">
        <v>44</v>
      </c>
      <c r="E33" s="13" t="s">
        <v>45</v>
      </c>
      <c r="F33" s="3" t="s">
        <v>48</v>
      </c>
      <c r="G33" s="7">
        <f>B33/B5</f>
        <v>230.3703704</v>
      </c>
      <c r="H33" s="6"/>
      <c r="J33" s="12">
        <f>65*B5</f>
        <v>2.821543408</v>
      </c>
    </row>
    <row r="34">
      <c r="A34" s="1" t="s">
        <v>49</v>
      </c>
      <c r="B34" s="1"/>
      <c r="C34" s="1"/>
      <c r="D34" s="1"/>
      <c r="E34" s="1"/>
      <c r="F34" s="1"/>
      <c r="G34" s="1"/>
      <c r="H34" s="1"/>
    </row>
    <row r="35">
      <c r="A35" s="14" t="s">
        <v>15</v>
      </c>
      <c r="B35" s="6"/>
      <c r="C35" s="6"/>
      <c r="D35" s="6"/>
      <c r="E35" s="6"/>
      <c r="F35" s="6"/>
      <c r="G35" s="6"/>
      <c r="H35" s="6"/>
    </row>
    <row r="36">
      <c r="A36" s="3" t="s">
        <v>50</v>
      </c>
      <c r="B36" s="3">
        <v>390.0</v>
      </c>
      <c r="C36" s="3" t="s">
        <v>51</v>
      </c>
      <c r="D36" s="13" t="s">
        <v>52</v>
      </c>
      <c r="E36" s="6"/>
      <c r="F36" s="6"/>
      <c r="G36" s="6"/>
      <c r="H36" s="6"/>
    </row>
    <row r="37">
      <c r="A37" s="3" t="s">
        <v>53</v>
      </c>
      <c r="B37" s="3">
        <v>229.0</v>
      </c>
      <c r="C37" s="3" t="s">
        <v>17</v>
      </c>
      <c r="D37" s="6"/>
      <c r="E37" s="6"/>
      <c r="F37" s="6"/>
      <c r="G37" s="6"/>
      <c r="H37" s="6"/>
    </row>
    <row r="38">
      <c r="A38" s="3" t="s">
        <v>54</v>
      </c>
      <c r="B38" s="3">
        <f>5200</f>
        <v>5200</v>
      </c>
      <c r="C38" s="3" t="s">
        <v>55</v>
      </c>
      <c r="D38" s="6"/>
      <c r="E38" s="6"/>
      <c r="F38" s="6"/>
      <c r="G38" s="6"/>
      <c r="H38" s="6"/>
    </row>
    <row r="39">
      <c r="A39" s="6"/>
      <c r="B39" s="6"/>
      <c r="C39" s="6"/>
      <c r="D39" s="6"/>
      <c r="E39" s="6"/>
      <c r="F39" s="6"/>
      <c r="G39" s="6"/>
      <c r="H39" s="6"/>
    </row>
    <row r="40">
      <c r="A40" s="3" t="s">
        <v>56</v>
      </c>
      <c r="B40" s="15">
        <f>0.5*((B2*B6*(1/E5))/(B32*B37/1000000)*1000)</f>
        <v>44.73249679</v>
      </c>
      <c r="C40" s="3" t="s">
        <v>51</v>
      </c>
      <c r="D40" s="6"/>
      <c r="E40" s="6"/>
      <c r="F40" s="6"/>
      <c r="G40" s="6"/>
      <c r="H40" s="6"/>
    </row>
    <row r="41">
      <c r="A41" s="3" t="s">
        <v>57</v>
      </c>
      <c r="B41" s="15">
        <f>(B32*E2*B38*(10^-9)/(B37*10^-6))*1000</f>
        <v>67.17308583</v>
      </c>
      <c r="C41" s="3" t="s">
        <v>51</v>
      </c>
      <c r="D41" s="6"/>
      <c r="E41" s="6"/>
      <c r="F41" s="6"/>
      <c r="G41" s="6"/>
      <c r="H41" s="6"/>
    </row>
    <row r="42">
      <c r="A42" s="3" t="s">
        <v>58</v>
      </c>
      <c r="B42" s="15">
        <f>B41+B40</f>
        <v>111.9055826</v>
      </c>
      <c r="C42" s="3" t="s">
        <v>51</v>
      </c>
      <c r="D42" s="12" t="str">
        <f>IF(B42&gt;B36,"SATURA","OK?")</f>
        <v>OK?</v>
      </c>
      <c r="E42" s="6"/>
      <c r="F42" s="6"/>
      <c r="G42" s="6"/>
      <c r="H42" s="6"/>
    </row>
    <row r="43">
      <c r="A43" s="1" t="s">
        <v>59</v>
      </c>
      <c r="B43" s="2"/>
      <c r="C43" s="2"/>
      <c r="D43" s="2"/>
      <c r="E43" s="2"/>
      <c r="F43" s="2"/>
      <c r="G43" s="2"/>
      <c r="H43" s="2"/>
    </row>
    <row r="44">
      <c r="A44" s="17" t="s">
        <v>65</v>
      </c>
      <c r="B44" s="12">
        <f>B32*B32*B38*(10^-9)</f>
        <v>0.0110032</v>
      </c>
      <c r="C44" s="17" t="s">
        <v>66</v>
      </c>
      <c r="D44" s="12">
        <f>(E4/B2)^2/B2^2</f>
        <v>0.0000000427581036</v>
      </c>
      <c r="E44" s="17" t="s">
        <v>67</v>
      </c>
      <c r="F44" s="12">
        <f>B44*D44*1000000000</f>
        <v>0.4704759655</v>
      </c>
      <c r="G44" s="17" t="s">
        <v>68</v>
      </c>
    </row>
    <row r="45">
      <c r="A45" s="17" t="s">
        <v>69</v>
      </c>
      <c r="B45" s="12">
        <f>G32*G32*B38*(10^-9)</f>
        <v>0.00002073317273</v>
      </c>
    </row>
  </sheetData>
  <conditionalFormatting sqref="D42">
    <cfRule type="containsText" dxfId="0" priority="1" operator="containsText" text="OK">
      <formula>NOT(ISERROR(SEARCH(("OK"),(D42))))</formula>
    </cfRule>
  </conditionalFormatting>
  <conditionalFormatting sqref="D42">
    <cfRule type="notContainsText" dxfId="1" priority="2" operator="notContains" text="OK">
      <formula>ISERROR(SEARCH(("OK"),(D42)))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>
        <f>B4*SQRT(2)*0.95</f>
        <v>295.5706345</v>
      </c>
      <c r="C2" s="3" t="s">
        <v>2</v>
      </c>
      <c r="D2" s="3" t="s">
        <v>3</v>
      </c>
      <c r="E2" s="5">
        <f>E4*1.15/B2</f>
        <v>0.07781557879</v>
      </c>
      <c r="F2" s="3" t="s">
        <v>4</v>
      </c>
      <c r="G2" s="6"/>
      <c r="H2" s="6"/>
    </row>
    <row r="3">
      <c r="A3" s="3" t="s">
        <v>5</v>
      </c>
      <c r="B3" s="3">
        <v>9.0</v>
      </c>
      <c r="C3" s="3" t="s">
        <v>2</v>
      </c>
      <c r="D3" s="3" t="s">
        <v>6</v>
      </c>
      <c r="E3" s="3">
        <f>(E4/B3)*H3</f>
        <v>2.222222222</v>
      </c>
      <c r="F3" s="3" t="s">
        <v>4</v>
      </c>
      <c r="G3" s="3" t="s">
        <v>7</v>
      </c>
      <c r="H3" s="3">
        <v>1.0</v>
      </c>
    </row>
    <row r="4">
      <c r="A4" s="3" t="s">
        <v>8</v>
      </c>
      <c r="B4" s="3">
        <v>220.0</v>
      </c>
      <c r="C4" s="3" t="s">
        <v>2</v>
      </c>
      <c r="D4" s="3" t="s">
        <v>9</v>
      </c>
      <c r="E4" s="3">
        <v>20.0</v>
      </c>
      <c r="F4" s="3" t="s">
        <v>10</v>
      </c>
      <c r="G4" s="6"/>
      <c r="H4" s="6"/>
    </row>
    <row r="5">
      <c r="A5" s="3" t="s">
        <v>11</v>
      </c>
      <c r="B5" s="7">
        <f>B3/B2</f>
        <v>0.03044957431</v>
      </c>
      <c r="C5" s="6"/>
      <c r="D5" s="3" t="s">
        <v>12</v>
      </c>
      <c r="E5" s="3">
        <v>132000.0</v>
      </c>
      <c r="F5" s="3" t="s">
        <v>13</v>
      </c>
      <c r="G5" s="6"/>
      <c r="H5" s="6"/>
      <c r="J5" s="18">
        <f>B5*E3*(1-B6)</f>
        <v>0.03383286034</v>
      </c>
      <c r="K5" s="12">
        <f>J5*B2</f>
        <v>10</v>
      </c>
    </row>
    <row r="6">
      <c r="A6" s="3" t="s">
        <v>61</v>
      </c>
      <c r="B6" s="3">
        <v>0.5</v>
      </c>
      <c r="C6" s="3" t="s">
        <v>62</v>
      </c>
      <c r="D6" s="6">
        <f>B6/(1-B6)</f>
        <v>1</v>
      </c>
      <c r="E6" s="6"/>
      <c r="F6" s="6"/>
      <c r="G6" s="6"/>
      <c r="H6" s="6"/>
    </row>
    <row r="7">
      <c r="A7" s="1" t="s">
        <v>14</v>
      </c>
      <c r="B7" s="2"/>
      <c r="C7" s="2"/>
      <c r="D7" s="2"/>
      <c r="E7" s="2"/>
      <c r="F7" s="2"/>
      <c r="G7" s="2"/>
      <c r="H7" s="2"/>
    </row>
    <row r="8">
      <c r="A8" s="8" t="s">
        <v>15</v>
      </c>
      <c r="B8" s="9"/>
      <c r="C8" s="9"/>
      <c r="D8" s="9"/>
      <c r="E8" s="9"/>
      <c r="F8" s="9"/>
      <c r="G8" s="9"/>
      <c r="H8" s="9"/>
    </row>
    <row r="9">
      <c r="A9" s="3" t="s">
        <v>16</v>
      </c>
      <c r="B9" s="3">
        <v>172.0</v>
      </c>
      <c r="C9" s="3" t="s">
        <v>17</v>
      </c>
      <c r="D9" s="6"/>
      <c r="E9" s="6"/>
      <c r="F9" s="6"/>
      <c r="G9" s="6"/>
      <c r="H9" s="6"/>
    </row>
    <row r="10">
      <c r="A10" s="3" t="s">
        <v>18</v>
      </c>
      <c r="B10" s="3">
        <v>0.3</v>
      </c>
      <c r="C10" s="6"/>
      <c r="D10" s="6"/>
      <c r="E10" s="6"/>
      <c r="F10" s="6"/>
      <c r="G10" s="6"/>
      <c r="H10" s="6"/>
    </row>
    <row r="11">
      <c r="A11" s="3" t="s">
        <v>19</v>
      </c>
      <c r="B11" s="3">
        <v>0.7</v>
      </c>
      <c r="C11" s="6"/>
      <c r="D11" s="3" t="s">
        <v>20</v>
      </c>
      <c r="E11" s="6"/>
      <c r="F11" s="6"/>
      <c r="G11" s="6"/>
      <c r="H11" s="6"/>
    </row>
    <row r="12">
      <c r="A12" s="3" t="s">
        <v>21</v>
      </c>
      <c r="B12" s="3">
        <v>0.3</v>
      </c>
      <c r="C12" s="6"/>
      <c r="D12" s="3" t="s">
        <v>22</v>
      </c>
      <c r="E12" s="6"/>
      <c r="F12" s="6"/>
      <c r="G12" s="6"/>
      <c r="H12" s="6"/>
    </row>
    <row r="13">
      <c r="A13" s="3" t="s">
        <v>23</v>
      </c>
      <c r="B13" s="6">
        <f>B9*B10*B11</f>
        <v>36.12</v>
      </c>
      <c r="C13" s="3" t="s">
        <v>17</v>
      </c>
      <c r="D13" s="6"/>
      <c r="E13" s="6"/>
      <c r="F13" s="6"/>
      <c r="G13" s="6"/>
      <c r="H13" s="6"/>
    </row>
    <row r="14">
      <c r="A14" s="3" t="s">
        <v>24</v>
      </c>
      <c r="B14" s="6">
        <f>B9*B10*B12</f>
        <v>15.48</v>
      </c>
      <c r="C14" s="3" t="s">
        <v>17</v>
      </c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  <row r="16">
      <c r="A16" s="8" t="s">
        <v>25</v>
      </c>
      <c r="B16" s="9"/>
      <c r="C16" s="9"/>
      <c r="D16" s="9"/>
      <c r="E16" s="9"/>
      <c r="F16" s="9"/>
      <c r="G16" s="9"/>
      <c r="H16" s="9"/>
    </row>
    <row r="17">
      <c r="A17" s="3" t="s">
        <v>26</v>
      </c>
      <c r="B17" s="3">
        <v>0.6</v>
      </c>
      <c r="C17" s="3" t="s">
        <v>27</v>
      </c>
      <c r="D17" s="6"/>
      <c r="E17" s="6"/>
      <c r="F17" s="6"/>
      <c r="G17" s="6"/>
      <c r="H17" s="6"/>
    </row>
    <row r="18">
      <c r="A18" s="3" t="s">
        <v>28</v>
      </c>
      <c r="B18" s="10">
        <f>pi()*((B17*B17/4)-(66*66/E5))</f>
        <v>0.1790707813</v>
      </c>
      <c r="C18" s="3" t="s">
        <v>17</v>
      </c>
      <c r="D18" s="6"/>
      <c r="E18" s="6"/>
      <c r="F18" s="6"/>
      <c r="G18" s="6"/>
      <c r="H18" s="6"/>
    </row>
    <row r="19">
      <c r="A19" s="3" t="s">
        <v>29</v>
      </c>
      <c r="B19" s="3">
        <v>4.0</v>
      </c>
      <c r="C19" s="3" t="s">
        <v>30</v>
      </c>
      <c r="D19" s="3" t="s">
        <v>31</v>
      </c>
      <c r="E19" s="6"/>
      <c r="F19" s="6"/>
      <c r="G19" s="6"/>
      <c r="H19" s="6"/>
    </row>
    <row r="20">
      <c r="A20" s="3" t="s">
        <v>32</v>
      </c>
      <c r="B20" s="6">
        <f>ROUNDUP(E2/(B19*B18))</f>
        <v>1</v>
      </c>
      <c r="C20" s="11">
        <f>E2/(B19*B18)</f>
        <v>0.1086380177</v>
      </c>
      <c r="D20" s="3" t="s">
        <v>33</v>
      </c>
      <c r="E20" s="6"/>
      <c r="F20" s="6"/>
      <c r="G20" s="6"/>
      <c r="H20" s="6"/>
    </row>
    <row r="21">
      <c r="A21" s="6"/>
      <c r="B21" s="6"/>
      <c r="C21" s="6"/>
      <c r="D21" s="6"/>
      <c r="E21" s="6"/>
      <c r="F21" s="6"/>
      <c r="G21" s="6"/>
      <c r="H21" s="6"/>
    </row>
    <row r="22">
      <c r="A22" s="3" t="s">
        <v>34</v>
      </c>
      <c r="B22" s="3">
        <v>0.6</v>
      </c>
      <c r="C22" s="3" t="s">
        <v>27</v>
      </c>
      <c r="D22" s="6"/>
      <c r="E22" s="6"/>
      <c r="F22" s="6"/>
      <c r="G22" s="6"/>
      <c r="H22" s="6"/>
    </row>
    <row r="23">
      <c r="A23" s="3" t="s">
        <v>35</v>
      </c>
      <c r="B23" s="10">
        <f>pi()*((B22*B22/4)-(66*66/E5))</f>
        <v>0.1790707813</v>
      </c>
      <c r="C23" s="3" t="s">
        <v>17</v>
      </c>
      <c r="D23" s="6"/>
      <c r="E23" s="6"/>
      <c r="F23" s="6"/>
      <c r="G23" s="6"/>
      <c r="H23" s="6"/>
    </row>
    <row r="24">
      <c r="A24" s="3" t="s">
        <v>36</v>
      </c>
      <c r="B24" s="3">
        <v>4.0</v>
      </c>
      <c r="C24" s="3" t="s">
        <v>30</v>
      </c>
      <c r="D24" s="6"/>
      <c r="E24" s="6"/>
      <c r="F24" s="6"/>
      <c r="G24" s="6"/>
      <c r="H24" s="6"/>
    </row>
    <row r="25">
      <c r="A25" s="3" t="s">
        <v>37</v>
      </c>
      <c r="B25" s="6">
        <f>ROUNDUP(E3/(B24*B23))</f>
        <v>4</v>
      </c>
      <c r="C25" s="11">
        <f>E3/(B24*B23)</f>
        <v>3.102435538</v>
      </c>
      <c r="D25" s="3" t="s">
        <v>33</v>
      </c>
      <c r="E25" s="6"/>
      <c r="F25" s="6"/>
      <c r="G25" s="6"/>
      <c r="H25" s="6"/>
    </row>
    <row r="26">
      <c r="A26" s="6"/>
      <c r="B26" s="6"/>
      <c r="C26" s="6"/>
      <c r="D26" s="6"/>
      <c r="E26" s="6"/>
      <c r="F26" s="6"/>
      <c r="G26" s="6"/>
      <c r="H26" s="6"/>
    </row>
    <row r="27">
      <c r="A27" s="8" t="s">
        <v>38</v>
      </c>
      <c r="B27" s="9"/>
      <c r="C27" s="9"/>
      <c r="D27" s="9"/>
      <c r="E27" s="9"/>
      <c r="F27" s="9"/>
      <c r="G27" s="9"/>
      <c r="H27" s="9"/>
    </row>
    <row r="28">
      <c r="A28" s="3" t="s">
        <v>39</v>
      </c>
      <c r="B28" s="6">
        <f>B17*B17*B20</f>
        <v>0.36</v>
      </c>
      <c r="C28" s="3" t="s">
        <v>17</v>
      </c>
      <c r="D28" s="3" t="s">
        <v>40</v>
      </c>
      <c r="E28" s="6"/>
      <c r="F28" s="6"/>
      <c r="G28" s="6"/>
      <c r="H28" s="6"/>
    </row>
    <row r="29">
      <c r="A29" s="3" t="s">
        <v>41</v>
      </c>
      <c r="B29" s="6">
        <f>B22*B22*B25</f>
        <v>1.44</v>
      </c>
      <c r="C29" s="3" t="s">
        <v>17</v>
      </c>
      <c r="D29" s="6"/>
      <c r="E29" s="6"/>
      <c r="F29" s="6"/>
      <c r="G29" s="6"/>
      <c r="H29" s="6"/>
    </row>
    <row r="30">
      <c r="A30" s="6"/>
      <c r="B30" s="6"/>
      <c r="C30" s="6"/>
      <c r="D30" s="6"/>
      <c r="E30" s="6"/>
      <c r="F30" s="6"/>
      <c r="G30" s="6"/>
      <c r="H30" s="6"/>
    </row>
    <row r="31">
      <c r="A31" s="8" t="s">
        <v>42</v>
      </c>
      <c r="B31" s="9"/>
      <c r="C31" s="9"/>
      <c r="D31" s="9"/>
      <c r="E31" s="9"/>
      <c r="F31" s="9"/>
      <c r="G31" s="9"/>
      <c r="H31" s="9"/>
    </row>
    <row r="32">
      <c r="A32" s="3" t="s">
        <v>43</v>
      </c>
      <c r="B32" s="6">
        <f t="shared" ref="B32:B33" si="1">ROUNDDOWN(B13/B28)</f>
        <v>100</v>
      </c>
      <c r="C32" s="12">
        <f t="shared" ref="C32:C33" si="2">B13/B28</f>
        <v>100.3333333</v>
      </c>
      <c r="D32" s="3" t="s">
        <v>44</v>
      </c>
      <c r="E32" s="13" t="s">
        <v>45</v>
      </c>
      <c r="F32" s="3" t="s">
        <v>46</v>
      </c>
      <c r="G32" s="7">
        <f>B32*B5</f>
        <v>3.044957431</v>
      </c>
      <c r="H32" s="6"/>
    </row>
    <row r="33">
      <c r="A33" s="3" t="s">
        <v>47</v>
      </c>
      <c r="B33" s="6">
        <f t="shared" si="1"/>
        <v>10</v>
      </c>
      <c r="C33" s="12">
        <f t="shared" si="2"/>
        <v>10.75</v>
      </c>
      <c r="D33" s="3" t="s">
        <v>44</v>
      </c>
      <c r="E33" s="13" t="s">
        <v>45</v>
      </c>
      <c r="F33" s="3" t="s">
        <v>48</v>
      </c>
      <c r="G33" s="7">
        <f>B33/B5</f>
        <v>328.4118162</v>
      </c>
      <c r="H33" s="6"/>
    </row>
    <row r="34">
      <c r="A34" s="1" t="s">
        <v>49</v>
      </c>
      <c r="B34" s="1"/>
      <c r="C34" s="1"/>
      <c r="D34" s="1"/>
      <c r="E34" s="1"/>
      <c r="F34" s="1"/>
      <c r="G34" s="1"/>
      <c r="H34" s="1"/>
    </row>
    <row r="35">
      <c r="A35" s="14" t="s">
        <v>15</v>
      </c>
      <c r="B35" s="6"/>
      <c r="C35" s="6"/>
      <c r="D35" s="6"/>
      <c r="E35" s="6"/>
      <c r="F35" s="6"/>
      <c r="G35" s="6"/>
      <c r="H35" s="6"/>
    </row>
    <row r="36">
      <c r="A36" s="3" t="s">
        <v>50</v>
      </c>
      <c r="B36" s="3">
        <v>390.0</v>
      </c>
      <c r="C36" s="3" t="s">
        <v>51</v>
      </c>
      <c r="D36" s="13" t="s">
        <v>52</v>
      </c>
      <c r="E36" s="6"/>
      <c r="F36" s="6"/>
      <c r="G36" s="6"/>
      <c r="H36" s="6"/>
    </row>
    <row r="37">
      <c r="A37" s="3" t="s">
        <v>53</v>
      </c>
      <c r="B37" s="3">
        <v>229.0</v>
      </c>
      <c r="C37" s="3" t="s">
        <v>17</v>
      </c>
      <c r="D37" s="6"/>
      <c r="E37" s="6"/>
      <c r="F37" s="6"/>
      <c r="G37" s="6"/>
      <c r="H37" s="6"/>
    </row>
    <row r="38">
      <c r="A38" s="3" t="s">
        <v>54</v>
      </c>
      <c r="B38" s="3">
        <v>3300.0</v>
      </c>
      <c r="C38" s="3" t="s">
        <v>55</v>
      </c>
      <c r="D38" s="6"/>
      <c r="E38" s="6"/>
      <c r="F38" s="6"/>
      <c r="G38" s="6"/>
      <c r="H38" s="6"/>
    </row>
    <row r="39">
      <c r="A39" s="6"/>
      <c r="B39" s="6"/>
      <c r="C39" s="6"/>
      <c r="D39" s="6"/>
      <c r="E39" s="6"/>
      <c r="F39" s="6"/>
      <c r="G39" s="6"/>
      <c r="H39" s="6"/>
    </row>
    <row r="40">
      <c r="A40" s="3" t="s">
        <v>56</v>
      </c>
      <c r="B40" s="15">
        <f>0.5*((B2*(1/E5))/(B32*B37/1000000)*1000)</f>
        <v>48.89020685</v>
      </c>
      <c r="C40" s="3" t="s">
        <v>51</v>
      </c>
      <c r="D40" s="6"/>
      <c r="E40" s="6"/>
      <c r="F40" s="6"/>
      <c r="G40" s="6"/>
      <c r="H40" s="6"/>
    </row>
    <row r="41">
      <c r="A41" s="3" t="s">
        <v>57</v>
      </c>
      <c r="B41" s="15">
        <f>(B32*E2*B38*(10^-9)/(B37*10^-6))*1000</f>
        <v>112.1359869</v>
      </c>
      <c r="C41" s="3" t="s">
        <v>51</v>
      </c>
      <c r="D41" s="6"/>
      <c r="E41" s="6"/>
      <c r="F41" s="6"/>
      <c r="G41" s="6"/>
      <c r="H41" s="6"/>
    </row>
    <row r="42">
      <c r="A42" s="3" t="s">
        <v>58</v>
      </c>
      <c r="B42" s="15">
        <f>B41+B40</f>
        <v>161.0261938</v>
      </c>
      <c r="C42" s="3" t="s">
        <v>51</v>
      </c>
      <c r="D42" s="12" t="str">
        <f>IF(B42&gt;B36,"SATURA","OK?")</f>
        <v>OK?</v>
      </c>
      <c r="E42" s="6"/>
      <c r="F42" s="6"/>
      <c r="G42" s="6"/>
      <c r="H42" s="6"/>
    </row>
    <row r="43">
      <c r="A43" s="1" t="s">
        <v>59</v>
      </c>
      <c r="B43" s="2"/>
      <c r="C43" s="2"/>
      <c r="D43" s="2"/>
      <c r="E43" s="2"/>
      <c r="F43" s="2"/>
      <c r="G43" s="2"/>
      <c r="H43" s="2"/>
    </row>
    <row r="44">
      <c r="A44" s="17" t="s">
        <v>65</v>
      </c>
      <c r="B44" s="12">
        <f>B32*B32*B38*(10^-9)</f>
        <v>0.033</v>
      </c>
      <c r="C44" s="17" t="s">
        <v>66</v>
      </c>
      <c r="D44" s="12">
        <f>(E4/B2)^2/B2^2</f>
        <v>0.00000005241008397</v>
      </c>
      <c r="E44" s="17" t="s">
        <v>67</v>
      </c>
      <c r="F44" s="12">
        <f>B44*D44*1000000000</f>
        <v>1.729532771</v>
      </c>
      <c r="G44" s="17" t="s">
        <v>68</v>
      </c>
    </row>
  </sheetData>
  <conditionalFormatting sqref="D42">
    <cfRule type="containsText" dxfId="0" priority="1" operator="containsText" text="OK">
      <formula>NOT(ISERROR(SEARCH(("OK"),(D42))))</formula>
    </cfRule>
  </conditionalFormatting>
  <conditionalFormatting sqref="D42">
    <cfRule type="notContainsText" dxfId="1" priority="2" operator="notContains" text="OK">
      <formula>ISERROR(SEARCH(("OK"),(D42)))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