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 activeTab="1"/>
  </bookViews>
  <sheets>
    <sheet name="OFERTA" sheetId="11" r:id="rId1"/>
    <sheet name="Costo" sheetId="5" r:id="rId2"/>
    <sheet name="Materiales" sheetId="7" r:id="rId3"/>
    <sheet name="MO" sheetId="9" r:id="rId4"/>
    <sheet name="Rubros" sheetId="10" r:id="rId5"/>
  </sheets>
  <definedNames>
    <definedName name="_xlnm.Print_Area" localSheetId="1">Costo!$B$2:$H$73</definedName>
    <definedName name="_xlnm.Print_Area" localSheetId="3">MO!$B$2:$E$48</definedName>
    <definedName name="_xlnm.Print_Area" localSheetId="0">OFERTA!$B$2:$H$73</definedName>
  </definedNames>
  <calcPr calcId="152511"/>
</workbook>
</file>

<file path=xl/calcChain.xml><?xml version="1.0" encoding="utf-8"?>
<calcChain xmlns="http://schemas.openxmlformats.org/spreadsheetml/2006/main">
  <c r="F67" i="11" l="1"/>
  <c r="F66" i="11"/>
  <c r="F65" i="11"/>
  <c r="F64" i="11"/>
  <c r="F63" i="11"/>
  <c r="F62" i="11"/>
  <c r="G62" i="11" s="1"/>
  <c r="F53" i="11"/>
  <c r="G53" i="11" s="1"/>
  <c r="F52" i="11"/>
  <c r="G52" i="11" s="1"/>
  <c r="F47" i="11"/>
  <c r="F46" i="11"/>
  <c r="G46" i="11" s="1"/>
  <c r="F35" i="11"/>
  <c r="F34" i="11"/>
  <c r="G34" i="11" s="1"/>
  <c r="F33" i="11"/>
  <c r="G33" i="11" s="1"/>
  <c r="F32" i="11"/>
  <c r="G32" i="11" s="1"/>
  <c r="F31" i="11"/>
  <c r="F30" i="11"/>
  <c r="G30" i="11" s="1"/>
  <c r="F29" i="11"/>
  <c r="F28" i="11"/>
  <c r="F27" i="11"/>
  <c r="G27" i="11" s="1"/>
  <c r="G68" i="11"/>
  <c r="E66" i="11"/>
  <c r="G63" i="11"/>
  <c r="E60" i="11"/>
  <c r="E59" i="11"/>
  <c r="E58" i="11"/>
  <c r="E50" i="11"/>
  <c r="E49" i="11"/>
  <c r="G47" i="11"/>
  <c r="E44" i="11"/>
  <c r="E45" i="11" s="1"/>
  <c r="E56" i="11" s="1"/>
  <c r="E39" i="11"/>
  <c r="E41" i="11" s="1"/>
  <c r="E65" i="11" s="1"/>
  <c r="G65" i="11" s="1"/>
  <c r="E38" i="11"/>
  <c r="E67" i="11" s="1"/>
  <c r="G67" i="11" s="1"/>
  <c r="E36" i="11"/>
  <c r="E40" i="11" s="1"/>
  <c r="G35" i="11"/>
  <c r="G31" i="11"/>
  <c r="E31" i="11"/>
  <c r="G29" i="11"/>
  <c r="G28" i="11"/>
  <c r="E24" i="11"/>
  <c r="E23" i="11"/>
  <c r="E22" i="11"/>
  <c r="E20" i="11"/>
  <c r="E19" i="11" s="1"/>
  <c r="E18" i="11"/>
  <c r="E17" i="11"/>
  <c r="E16" i="11"/>
  <c r="E15" i="11"/>
  <c r="E14" i="11"/>
  <c r="E13" i="11"/>
  <c r="G12" i="11"/>
  <c r="G68" i="5"/>
  <c r="G63" i="5"/>
  <c r="G62" i="5"/>
  <c r="G53" i="5"/>
  <c r="G52" i="5"/>
  <c r="G47" i="5"/>
  <c r="G46" i="5"/>
  <c r="G35" i="5"/>
  <c r="G34" i="5"/>
  <c r="G33" i="5"/>
  <c r="G32" i="5"/>
  <c r="G30" i="5"/>
  <c r="G29" i="5"/>
  <c r="G28" i="5"/>
  <c r="G27" i="5"/>
  <c r="G12" i="5"/>
  <c r="H34" i="11" l="1"/>
  <c r="G66" i="11"/>
  <c r="E64" i="11"/>
  <c r="G64" i="11" s="1"/>
  <c r="E42" i="11"/>
  <c r="E160" i="10"/>
  <c r="E159" i="10"/>
  <c r="E158" i="10"/>
  <c r="E157" i="10"/>
  <c r="F161" i="10"/>
  <c r="G161" i="10" s="1"/>
  <c r="F160" i="10"/>
  <c r="G160" i="10" s="1"/>
  <c r="F159" i="10"/>
  <c r="G159" i="10" s="1"/>
  <c r="F158" i="10"/>
  <c r="F157" i="10"/>
  <c r="C24" i="9"/>
  <c r="C154" i="10" s="1"/>
  <c r="E39" i="5"/>
  <c r="E41" i="5" s="1"/>
  <c r="E38" i="5"/>
  <c r="H68" i="11" l="1"/>
  <c r="G158" i="10"/>
  <c r="G157" i="10"/>
  <c r="G162" i="10" s="1"/>
  <c r="F39" i="5" s="1"/>
  <c r="F39" i="11" s="1"/>
  <c r="G39" i="11" s="1"/>
  <c r="E60" i="5"/>
  <c r="E59" i="5"/>
  <c r="E66" i="5"/>
  <c r="G66" i="5" s="1"/>
  <c r="E50" i="5"/>
  <c r="E49" i="5"/>
  <c r="E36" i="5"/>
  <c r="E40" i="5" s="1"/>
  <c r="E24" i="5"/>
  <c r="E23" i="5"/>
  <c r="E22" i="5"/>
  <c r="E20" i="5"/>
  <c r="E19" i="5" s="1"/>
  <c r="E18" i="5"/>
  <c r="E17" i="5"/>
  <c r="E16" i="5"/>
  <c r="E15" i="5"/>
  <c r="E13" i="5"/>
  <c r="E14" i="5"/>
  <c r="G39" i="5" l="1"/>
  <c r="F348" i="10" l="1"/>
  <c r="G348" i="10" s="1"/>
  <c r="F347" i="10"/>
  <c r="G347" i="10" s="1"/>
  <c r="F350" i="10"/>
  <c r="G350" i="10" s="1"/>
  <c r="C344" i="10"/>
  <c r="F349" i="10"/>
  <c r="G349" i="10" s="1"/>
  <c r="D35" i="7"/>
  <c r="F336" i="10" s="1"/>
  <c r="G336" i="10" s="1"/>
  <c r="G340" i="10"/>
  <c r="F339" i="10"/>
  <c r="G339" i="10" s="1"/>
  <c r="F338" i="10"/>
  <c r="F337" i="10"/>
  <c r="G337" i="10" s="1"/>
  <c r="F341" i="10"/>
  <c r="G341" i="10" s="1"/>
  <c r="C333" i="10"/>
  <c r="G338" i="10"/>
  <c r="F330" i="10"/>
  <c r="G330" i="10" s="1"/>
  <c r="C322" i="10"/>
  <c r="F329" i="10"/>
  <c r="G329" i="10" s="1"/>
  <c r="F328" i="10"/>
  <c r="E328" i="10"/>
  <c r="F327" i="10"/>
  <c r="F326" i="10"/>
  <c r="E326" i="10"/>
  <c r="F325" i="10"/>
  <c r="E325" i="10"/>
  <c r="E327" i="10" s="1"/>
  <c r="F319" i="10"/>
  <c r="G319" i="10" s="1"/>
  <c r="C312" i="10"/>
  <c r="G318" i="10"/>
  <c r="F317" i="10"/>
  <c r="G317" i="10" s="1"/>
  <c r="F316" i="10"/>
  <c r="G316" i="10" s="1"/>
  <c r="F315" i="10"/>
  <c r="G315" i="10" s="1"/>
  <c r="E308" i="10"/>
  <c r="E307" i="10"/>
  <c r="E306" i="10"/>
  <c r="E305" i="10"/>
  <c r="F309" i="10"/>
  <c r="G309" i="10" s="1"/>
  <c r="C302" i="10"/>
  <c r="G308" i="10"/>
  <c r="F307" i="10"/>
  <c r="G307" i="10" s="1"/>
  <c r="F306" i="10"/>
  <c r="F305" i="10"/>
  <c r="F297" i="10"/>
  <c r="F296" i="10"/>
  <c r="G296" i="10" s="1"/>
  <c r="F295" i="10"/>
  <c r="F299" i="10"/>
  <c r="G299" i="10" s="1"/>
  <c r="C292" i="10"/>
  <c r="G298" i="10"/>
  <c r="G305" i="10" l="1"/>
  <c r="G306" i="10"/>
  <c r="G325" i="10"/>
  <c r="G326" i="10"/>
  <c r="G351" i="10"/>
  <c r="F61" i="5" s="1"/>
  <c r="G328" i="10"/>
  <c r="G342" i="10"/>
  <c r="F60" i="5" s="1"/>
  <c r="G327" i="10"/>
  <c r="G320" i="10"/>
  <c r="F58" i="5" s="1"/>
  <c r="F58" i="11" s="1"/>
  <c r="G58" i="11" s="1"/>
  <c r="G310" i="10"/>
  <c r="F57" i="5" s="1"/>
  <c r="G297" i="10"/>
  <c r="G295" i="10"/>
  <c r="F289" i="10"/>
  <c r="G289" i="10" s="1"/>
  <c r="C282" i="10"/>
  <c r="G288" i="10"/>
  <c r="F287" i="10"/>
  <c r="F286" i="10"/>
  <c r="E286" i="10"/>
  <c r="F285" i="10"/>
  <c r="E285" i="10"/>
  <c r="E287" i="10" s="1"/>
  <c r="G287" i="10" s="1"/>
  <c r="F279" i="10"/>
  <c r="G279" i="10" s="1"/>
  <c r="C271" i="10"/>
  <c r="B271" i="10"/>
  <c r="B282" i="10" s="1"/>
  <c r="B292" i="10" s="1"/>
  <c r="B302" i="10" s="1"/>
  <c r="B312" i="10" s="1"/>
  <c r="B322" i="10" s="1"/>
  <c r="B333" i="10" s="1"/>
  <c r="B344" i="10" s="1"/>
  <c r="F278" i="10"/>
  <c r="G278" i="10" s="1"/>
  <c r="F277" i="10"/>
  <c r="E277" i="10"/>
  <c r="F276" i="10"/>
  <c r="F275" i="10"/>
  <c r="E275" i="10"/>
  <c r="F274" i="10"/>
  <c r="E274" i="10"/>
  <c r="E276" i="10" s="1"/>
  <c r="G276" i="10" s="1"/>
  <c r="E264" i="10"/>
  <c r="E263" i="10"/>
  <c r="E265" i="10" s="1"/>
  <c r="E266" i="10"/>
  <c r="F267" i="10"/>
  <c r="G267" i="10" s="1"/>
  <c r="F266" i="10"/>
  <c r="G266" i="10" s="1"/>
  <c r="F265" i="10"/>
  <c r="F264" i="10"/>
  <c r="F263" i="10"/>
  <c r="F268" i="10"/>
  <c r="G268" i="10" s="1"/>
  <c r="C260" i="10"/>
  <c r="B258" i="10"/>
  <c r="F254" i="10"/>
  <c r="G254" i="10" s="1"/>
  <c r="F253" i="10"/>
  <c r="G253" i="10" s="1"/>
  <c r="F255" i="10"/>
  <c r="G255" i="10" s="1"/>
  <c r="C250" i="10"/>
  <c r="F246" i="10"/>
  <c r="G246" i="10" s="1"/>
  <c r="F247" i="10"/>
  <c r="G247" i="10" s="1"/>
  <c r="C243" i="10"/>
  <c r="F240" i="10"/>
  <c r="G240" i="10" s="1"/>
  <c r="C233" i="10"/>
  <c r="B233" i="10"/>
  <c r="B243" i="10" s="1"/>
  <c r="B250" i="10" s="1"/>
  <c r="F239" i="10"/>
  <c r="G239" i="10" s="1"/>
  <c r="F238" i="10"/>
  <c r="G238" i="10" s="1"/>
  <c r="F237" i="10"/>
  <c r="G237" i="10" s="1"/>
  <c r="F236" i="10"/>
  <c r="G236" i="10" s="1"/>
  <c r="F226" i="10"/>
  <c r="G226" i="10" s="1"/>
  <c r="F230" i="10"/>
  <c r="G230" i="10" s="1"/>
  <c r="C223" i="10"/>
  <c r="B221" i="10"/>
  <c r="F229" i="10"/>
  <c r="G229" i="10" s="1"/>
  <c r="F228" i="10"/>
  <c r="G228" i="10" s="1"/>
  <c r="F227" i="10"/>
  <c r="G227" i="10" s="1"/>
  <c r="F217" i="10"/>
  <c r="G217" i="10" s="1"/>
  <c r="F218" i="10"/>
  <c r="G218" i="10" s="1"/>
  <c r="C212" i="10"/>
  <c r="F216" i="10"/>
  <c r="G216" i="10" s="1"/>
  <c r="F215" i="10"/>
  <c r="G215" i="10" s="1"/>
  <c r="F209" i="10"/>
  <c r="G209" i="10" s="1"/>
  <c r="C202" i="10"/>
  <c r="F208" i="10"/>
  <c r="G208" i="10" s="1"/>
  <c r="F207" i="10"/>
  <c r="G207" i="10" s="1"/>
  <c r="F206" i="10"/>
  <c r="G206" i="10" s="1"/>
  <c r="F205" i="10"/>
  <c r="G205" i="10" s="1"/>
  <c r="F198" i="10"/>
  <c r="G60" i="5" l="1"/>
  <c r="F60" i="11"/>
  <c r="G60" i="11" s="1"/>
  <c r="G57" i="5"/>
  <c r="F57" i="11"/>
  <c r="G57" i="11" s="1"/>
  <c r="G61" i="5"/>
  <c r="F61" i="11"/>
  <c r="G61" i="11" s="1"/>
  <c r="G300" i="10"/>
  <c r="F56" i="5" s="1"/>
  <c r="F56" i="11" s="1"/>
  <c r="G56" i="11" s="1"/>
  <c r="G331" i="10"/>
  <c r="F59" i="5" s="1"/>
  <c r="G275" i="10"/>
  <c r="G264" i="10"/>
  <c r="G265" i="10"/>
  <c r="G277" i="10"/>
  <c r="G286" i="10"/>
  <c r="G285" i="10"/>
  <c r="G274" i="10"/>
  <c r="G263" i="10"/>
  <c r="G256" i="10"/>
  <c r="F51" i="5" s="1"/>
  <c r="G248" i="10"/>
  <c r="F50" i="5" s="1"/>
  <c r="G241" i="10"/>
  <c r="F49" i="5" s="1"/>
  <c r="G231" i="10"/>
  <c r="F48" i="5" s="1"/>
  <c r="G219" i="10"/>
  <c r="F45" i="5" s="1"/>
  <c r="F45" i="11" s="1"/>
  <c r="G45" i="11" s="1"/>
  <c r="G210" i="10"/>
  <c r="F44" i="5" s="1"/>
  <c r="F44" i="11" s="1"/>
  <c r="G44" i="11" s="1"/>
  <c r="G48" i="5" l="1"/>
  <c r="F48" i="11"/>
  <c r="G48" i="11" s="1"/>
  <c r="G49" i="5"/>
  <c r="F49" i="11"/>
  <c r="G49" i="11" s="1"/>
  <c r="G59" i="5"/>
  <c r="F59" i="11"/>
  <c r="G59" i="11" s="1"/>
  <c r="G50" i="5"/>
  <c r="F50" i="11"/>
  <c r="G50" i="11" s="1"/>
  <c r="G51" i="5"/>
  <c r="F51" i="11"/>
  <c r="G51" i="11" s="1"/>
  <c r="G269" i="10"/>
  <c r="F54" i="5" s="1"/>
  <c r="G290" i="10"/>
  <c r="G280" i="10"/>
  <c r="F55" i="5" s="1"/>
  <c r="F199" i="10"/>
  <c r="G199" i="10" s="1"/>
  <c r="C192" i="10"/>
  <c r="G198" i="10"/>
  <c r="F197" i="10"/>
  <c r="G197" i="10" s="1"/>
  <c r="F196" i="10"/>
  <c r="G196" i="10" s="1"/>
  <c r="F195" i="10"/>
  <c r="G195" i="10" s="1"/>
  <c r="F187" i="10"/>
  <c r="G187" i="10" s="1"/>
  <c r="F189" i="10"/>
  <c r="G189" i="10" s="1"/>
  <c r="C183" i="10"/>
  <c r="F188" i="10"/>
  <c r="G188" i="10" s="1"/>
  <c r="F186" i="10"/>
  <c r="G186" i="10" s="1"/>
  <c r="F179" i="10"/>
  <c r="G179" i="10" s="1"/>
  <c r="F180" i="10"/>
  <c r="G180" i="10" s="1"/>
  <c r="C173" i="10"/>
  <c r="F178" i="10"/>
  <c r="G178" i="10" s="1"/>
  <c r="F177" i="10"/>
  <c r="G177" i="10" s="1"/>
  <c r="F176" i="10"/>
  <c r="G176" i="10" s="1"/>
  <c r="F170" i="10"/>
  <c r="G170" i="10" s="1"/>
  <c r="C164" i="10"/>
  <c r="F169" i="10"/>
  <c r="G169" i="10" s="1"/>
  <c r="F168" i="10"/>
  <c r="G168" i="10" s="1"/>
  <c r="F167" i="10"/>
  <c r="G167" i="10" s="1"/>
  <c r="F147" i="10"/>
  <c r="G147" i="10" s="1"/>
  <c r="F151" i="10"/>
  <c r="G151" i="10" s="1"/>
  <c r="C144" i="10"/>
  <c r="F150" i="10"/>
  <c r="G150" i="10" s="1"/>
  <c r="F149" i="10"/>
  <c r="G149" i="10" s="1"/>
  <c r="F148" i="10"/>
  <c r="G148" i="10" s="1"/>
  <c r="F141" i="10"/>
  <c r="G141" i="10" s="1"/>
  <c r="C134" i="10"/>
  <c r="B134" i="10"/>
  <c r="B144" i="10" s="1"/>
  <c r="F140" i="10"/>
  <c r="G140" i="10" s="1"/>
  <c r="F139" i="10"/>
  <c r="G139" i="10" s="1"/>
  <c r="F138" i="10"/>
  <c r="G138" i="10" s="1"/>
  <c r="F137" i="10"/>
  <c r="G137" i="10" s="1"/>
  <c r="F131" i="10"/>
  <c r="C124" i="10"/>
  <c r="B122" i="10"/>
  <c r="B2" i="10"/>
  <c r="G131" i="10"/>
  <c r="F130" i="10"/>
  <c r="G130" i="10" s="1"/>
  <c r="F129" i="10"/>
  <c r="G129" i="10" s="1"/>
  <c r="F128" i="10"/>
  <c r="G128" i="10" s="1"/>
  <c r="F127" i="10"/>
  <c r="G127" i="10" s="1"/>
  <c r="E116" i="10"/>
  <c r="E117" i="10" s="1"/>
  <c r="F119" i="10"/>
  <c r="G119" i="10" s="1"/>
  <c r="C113" i="10"/>
  <c r="F118" i="10"/>
  <c r="F117" i="10"/>
  <c r="F116" i="10"/>
  <c r="E107" i="10"/>
  <c r="E108" i="10" s="1"/>
  <c r="F110" i="10"/>
  <c r="G110" i="10" s="1"/>
  <c r="C104" i="10"/>
  <c r="F109" i="10"/>
  <c r="F108" i="10"/>
  <c r="F107" i="10"/>
  <c r="E98" i="10"/>
  <c r="E99" i="10" s="1"/>
  <c r="F101" i="10"/>
  <c r="G101" i="10" s="1"/>
  <c r="C95" i="10"/>
  <c r="F100" i="10"/>
  <c r="F99" i="10"/>
  <c r="F98" i="10"/>
  <c r="E89" i="10"/>
  <c r="F92" i="10"/>
  <c r="C86" i="10"/>
  <c r="G92" i="10"/>
  <c r="F91" i="10"/>
  <c r="F90" i="10"/>
  <c r="E90" i="10"/>
  <c r="F89" i="10"/>
  <c r="E91" i="10"/>
  <c r="E80" i="10"/>
  <c r="E81" i="10" s="1"/>
  <c r="F83" i="10"/>
  <c r="G83" i="10" s="1"/>
  <c r="C77" i="10"/>
  <c r="F82" i="10"/>
  <c r="F81" i="10"/>
  <c r="F80" i="10"/>
  <c r="G80" i="10" s="1"/>
  <c r="F74" i="10"/>
  <c r="G74" i="10" s="1"/>
  <c r="C68" i="10"/>
  <c r="F73" i="10"/>
  <c r="E73" i="10"/>
  <c r="F72" i="10"/>
  <c r="G72" i="10" s="1"/>
  <c r="F71" i="10"/>
  <c r="G71" i="10" s="1"/>
  <c r="E62" i="10"/>
  <c r="E63" i="10" s="1"/>
  <c r="F65" i="10"/>
  <c r="G65" i="10" s="1"/>
  <c r="C59" i="10"/>
  <c r="F64" i="10"/>
  <c r="F63" i="10"/>
  <c r="F62" i="10"/>
  <c r="F56" i="10"/>
  <c r="G56" i="10" s="1"/>
  <c r="E55" i="10"/>
  <c r="C50" i="10"/>
  <c r="F55" i="10"/>
  <c r="F54" i="10"/>
  <c r="G54" i="10" s="1"/>
  <c r="F53" i="10"/>
  <c r="G53" i="10" s="1"/>
  <c r="F19" i="5"/>
  <c r="F18" i="5"/>
  <c r="F46" i="10"/>
  <c r="F45" i="10"/>
  <c r="F44" i="10"/>
  <c r="G44" i="10" s="1"/>
  <c r="F43" i="10"/>
  <c r="F47" i="10"/>
  <c r="G47" i="10" s="1"/>
  <c r="C40" i="10"/>
  <c r="G45" i="10"/>
  <c r="E34" i="10"/>
  <c r="E36" i="10" s="1"/>
  <c r="E35" i="10"/>
  <c r="F37" i="10"/>
  <c r="G37" i="10" s="1"/>
  <c r="C31" i="10"/>
  <c r="F36" i="10"/>
  <c r="F35" i="10"/>
  <c r="F34" i="10"/>
  <c r="E26" i="10"/>
  <c r="E25" i="10"/>
  <c r="F28" i="10"/>
  <c r="G28" i="10" s="1"/>
  <c r="C22" i="10"/>
  <c r="F27" i="10"/>
  <c r="F26" i="10"/>
  <c r="F25" i="10"/>
  <c r="E8" i="10"/>
  <c r="F17" i="10"/>
  <c r="H52" i="11" l="1"/>
  <c r="G54" i="5"/>
  <c r="F54" i="11"/>
  <c r="G54" i="11" s="1"/>
  <c r="G18" i="5"/>
  <c r="F18" i="11"/>
  <c r="G18" i="11" s="1"/>
  <c r="G55" i="5"/>
  <c r="F55" i="11"/>
  <c r="G55" i="11" s="1"/>
  <c r="H62" i="11" s="1"/>
  <c r="G19" i="5"/>
  <c r="F19" i="11"/>
  <c r="G19" i="11" s="1"/>
  <c r="G107" i="10"/>
  <c r="G62" i="10"/>
  <c r="B154" i="10"/>
  <c r="B164" i="10" s="1"/>
  <c r="B173" i="10" s="1"/>
  <c r="B183" i="10" s="1"/>
  <c r="B192" i="10" s="1"/>
  <c r="B202" i="10" s="1"/>
  <c r="B212" i="10" s="1"/>
  <c r="E109" i="10"/>
  <c r="G109" i="10" s="1"/>
  <c r="G171" i="10"/>
  <c r="F40" i="5" s="1"/>
  <c r="G34" i="10"/>
  <c r="G63" i="10"/>
  <c r="G35" i="10"/>
  <c r="E82" i="10"/>
  <c r="G200" i="10"/>
  <c r="F43" i="5" s="1"/>
  <c r="G190" i="10"/>
  <c r="F42" i="5" s="1"/>
  <c r="F42" i="11" s="1"/>
  <c r="G42" i="11" s="1"/>
  <c r="G181" i="10"/>
  <c r="F41" i="5" s="1"/>
  <c r="G90" i="10"/>
  <c r="G152" i="10"/>
  <c r="F38" i="5" s="1"/>
  <c r="G142" i="10"/>
  <c r="F37" i="5" s="1"/>
  <c r="G81" i="10"/>
  <c r="G73" i="10"/>
  <c r="G75" i="10" s="1"/>
  <c r="G108" i="10"/>
  <c r="G132" i="10"/>
  <c r="F36" i="5" s="1"/>
  <c r="G117" i="10"/>
  <c r="G116" i="10"/>
  <c r="E118" i="10"/>
  <c r="G118" i="10" s="1"/>
  <c r="G99" i="10"/>
  <c r="G98" i="10"/>
  <c r="E100" i="10"/>
  <c r="G100" i="10" s="1"/>
  <c r="G89" i="10"/>
  <c r="G91" i="10"/>
  <c r="G82" i="10"/>
  <c r="E64" i="10"/>
  <c r="G64" i="10" s="1"/>
  <c r="G55" i="10"/>
  <c r="G57" i="10" s="1"/>
  <c r="F20" i="5" s="1"/>
  <c r="G46" i="10"/>
  <c r="G43" i="10"/>
  <c r="G36" i="10"/>
  <c r="G26" i="10"/>
  <c r="G25" i="10"/>
  <c r="E27" i="10"/>
  <c r="G27" i="10" s="1"/>
  <c r="G41" i="5" l="1"/>
  <c r="F41" i="11"/>
  <c r="G41" i="11" s="1"/>
  <c r="G36" i="5"/>
  <c r="F36" i="11"/>
  <c r="G36" i="11" s="1"/>
  <c r="G37" i="5"/>
  <c r="F37" i="11"/>
  <c r="G37" i="11" s="1"/>
  <c r="G20" i="5"/>
  <c r="F20" i="11"/>
  <c r="G20" i="11" s="1"/>
  <c r="G38" i="5"/>
  <c r="F38" i="11"/>
  <c r="G38" i="11" s="1"/>
  <c r="G43" i="5"/>
  <c r="F43" i="11"/>
  <c r="G43" i="11" s="1"/>
  <c r="G40" i="5"/>
  <c r="F40" i="11"/>
  <c r="G40" i="11" s="1"/>
  <c r="G38" i="10"/>
  <c r="F16" i="5" s="1"/>
  <c r="G66" i="10"/>
  <c r="F21" i="5" s="1"/>
  <c r="G48" i="10"/>
  <c r="F17" i="5" s="1"/>
  <c r="G84" i="10"/>
  <c r="F22" i="5" s="1"/>
  <c r="G111" i="10"/>
  <c r="F25" i="5" s="1"/>
  <c r="G120" i="10"/>
  <c r="F26" i="5" s="1"/>
  <c r="G93" i="10"/>
  <c r="F23" i="5" s="1"/>
  <c r="G102" i="10"/>
  <c r="F24" i="5" s="1"/>
  <c r="G29" i="10"/>
  <c r="F15" i="5" s="1"/>
  <c r="H46" i="11" l="1"/>
  <c r="G15" i="5"/>
  <c r="F15" i="11"/>
  <c r="G15" i="11" s="1"/>
  <c r="G25" i="5"/>
  <c r="F25" i="11"/>
  <c r="G25" i="11" s="1"/>
  <c r="G16" i="5"/>
  <c r="F16" i="11"/>
  <c r="G16" i="11" s="1"/>
  <c r="G26" i="5"/>
  <c r="F26" i="11"/>
  <c r="G26" i="11" s="1"/>
  <c r="G24" i="5"/>
  <c r="F24" i="11"/>
  <c r="G24" i="11" s="1"/>
  <c r="G21" i="5"/>
  <c r="F21" i="11"/>
  <c r="G21" i="11" s="1"/>
  <c r="G22" i="5"/>
  <c r="F22" i="11"/>
  <c r="G22" i="11" s="1"/>
  <c r="G23" i="5"/>
  <c r="F23" i="11"/>
  <c r="G23" i="11" s="1"/>
  <c r="G17" i="5"/>
  <c r="F17" i="11"/>
  <c r="G17" i="11" s="1"/>
  <c r="F8" i="10"/>
  <c r="G8" i="10" l="1"/>
  <c r="F19" i="10"/>
  <c r="G19" i="10" s="1"/>
  <c r="C13" i="10"/>
  <c r="C4" i="10"/>
  <c r="B13" i="10"/>
  <c r="B22" i="10" s="1"/>
  <c r="B31" i="10" s="1"/>
  <c r="B40" i="10" s="1"/>
  <c r="B50" i="10" s="1"/>
  <c r="B59" i="10" s="1"/>
  <c r="B68" i="10" s="1"/>
  <c r="B77" i="10" s="1"/>
  <c r="B86" i="10" s="1"/>
  <c r="B95" i="10" s="1"/>
  <c r="B104" i="10" s="1"/>
  <c r="B113" i="10" s="1"/>
  <c r="F18" i="10"/>
  <c r="F16" i="10"/>
  <c r="E16" i="10"/>
  <c r="E17" i="10" s="1"/>
  <c r="G17" i="10" s="1"/>
  <c r="E7" i="10"/>
  <c r="E9" i="10" s="1"/>
  <c r="F9" i="10"/>
  <c r="F7" i="10"/>
  <c r="F10" i="10"/>
  <c r="G10" i="10" s="1"/>
  <c r="G7" i="10" l="1"/>
  <c r="G16" i="10"/>
  <c r="G9" i="10"/>
  <c r="G11" i="10" s="1"/>
  <c r="F13" i="5" s="1"/>
  <c r="E18" i="10"/>
  <c r="G18" i="10" s="1"/>
  <c r="G20" i="10" s="1"/>
  <c r="F14" i="5" s="1"/>
  <c r="G14" i="5" l="1"/>
  <c r="F14" i="11"/>
  <c r="G14" i="11" s="1"/>
  <c r="G13" i="5"/>
  <c r="F13" i="11"/>
  <c r="G13" i="11" s="1"/>
  <c r="E44" i="5"/>
  <c r="E58" i="5"/>
  <c r="E42" i="5"/>
  <c r="G42" i="5" s="1"/>
  <c r="E67" i="5"/>
  <c r="G67" i="5" s="1"/>
  <c r="E64" i="5"/>
  <c r="G64" i="5" s="1"/>
  <c r="E65" i="5"/>
  <c r="G65" i="5" s="1"/>
  <c r="E31" i="5"/>
  <c r="H27" i="11" l="1"/>
  <c r="H71" i="11" s="1"/>
  <c r="G31" i="5"/>
  <c r="E45" i="5"/>
  <c r="G44" i="5"/>
  <c r="G58" i="5"/>
  <c r="E56" i="5" l="1"/>
  <c r="G45" i="5"/>
  <c r="G56" i="5" l="1"/>
  <c r="H62" i="5" l="1"/>
  <c r="H27" i="5"/>
  <c r="H68" i="5"/>
  <c r="H52" i="5"/>
  <c r="H34" i="5"/>
  <c r="H46" i="5"/>
  <c r="H71" i="5" l="1"/>
</calcChain>
</file>

<file path=xl/sharedStrings.xml><?xml version="1.0" encoding="utf-8"?>
<sst xmlns="http://schemas.openxmlformats.org/spreadsheetml/2006/main" count="1130" uniqueCount="191">
  <si>
    <t>ITEM</t>
  </si>
  <si>
    <t>DESCRIPCIÓN</t>
  </si>
  <si>
    <t>UND</t>
  </si>
  <si>
    <t>CANT.</t>
  </si>
  <si>
    <t>P. UNIT.</t>
  </si>
  <si>
    <t>P. TOTAL</t>
  </si>
  <si>
    <t xml:space="preserve"> </t>
  </si>
  <si>
    <t>TOTAL GUARANIES (I.V.A. INCLUÍDO)</t>
  </si>
  <si>
    <t xml:space="preserve">TOTALES  </t>
  </si>
  <si>
    <t>P/BLOQUES</t>
  </si>
  <si>
    <t>un</t>
  </si>
  <si>
    <t>3.1</t>
  </si>
  <si>
    <t>4.1</t>
  </si>
  <si>
    <t>5.1</t>
  </si>
  <si>
    <t>5.2</t>
  </si>
  <si>
    <t>6.1</t>
  </si>
  <si>
    <t>7.1</t>
  </si>
  <si>
    <t>A</t>
  </si>
  <si>
    <t>3.2</t>
  </si>
  <si>
    <t>3.3</t>
  </si>
  <si>
    <t>3.4</t>
  </si>
  <si>
    <t>5.3</t>
  </si>
  <si>
    <t>5.4</t>
  </si>
  <si>
    <t>ml</t>
  </si>
  <si>
    <t>m2</t>
  </si>
  <si>
    <t>Albañilería</t>
  </si>
  <si>
    <t>Envarillado de paredes</t>
  </si>
  <si>
    <t>3.5</t>
  </si>
  <si>
    <t>3.6</t>
  </si>
  <si>
    <t>3.7</t>
  </si>
  <si>
    <t>6.3</t>
  </si>
  <si>
    <t>m3</t>
  </si>
  <si>
    <t>Estructuras de hormigón armado</t>
  </si>
  <si>
    <t>Cubiertas</t>
  </si>
  <si>
    <t>5.5</t>
  </si>
  <si>
    <t>5.6</t>
  </si>
  <si>
    <t>8.1</t>
  </si>
  <si>
    <t>9.1</t>
  </si>
  <si>
    <t>Ménsulas de hormigón armado para apoyo de cubierta</t>
  </si>
  <si>
    <t>9.2</t>
  </si>
  <si>
    <t>9.3</t>
  </si>
  <si>
    <t>4.2</t>
  </si>
  <si>
    <t>5.7</t>
  </si>
  <si>
    <t>6.2</t>
  </si>
  <si>
    <t>6.4</t>
  </si>
  <si>
    <t>3.8</t>
  </si>
  <si>
    <t>7.2</t>
  </si>
  <si>
    <t>7.3</t>
  </si>
  <si>
    <t>7.4</t>
  </si>
  <si>
    <t>7.5</t>
  </si>
  <si>
    <t>7.6</t>
  </si>
  <si>
    <t>8.2</t>
  </si>
  <si>
    <t>8.3</t>
  </si>
  <si>
    <t>8.4</t>
  </si>
  <si>
    <t>3.9</t>
  </si>
  <si>
    <t>3.10</t>
  </si>
  <si>
    <t>3.11</t>
  </si>
  <si>
    <t>Pinturas</t>
  </si>
  <si>
    <t>5.8</t>
  </si>
  <si>
    <t xml:space="preserve">Extractores eólicos de 24", modelo turbinado reforzado, instalado sobre chapa trapezoidal. Incluye la perforación, colocación, nivelación y aislación en la base. </t>
  </si>
  <si>
    <t>DEPÓSITO MAHASA</t>
  </si>
  <si>
    <t>TOTAL</t>
  </si>
  <si>
    <t>Pantalla de pilotes tipo strauss de 30 cm de diámetro</t>
  </si>
  <si>
    <t>Pilotes perforados de 40 cm de diámetro</t>
  </si>
  <si>
    <t>Cabezales de HºAº</t>
  </si>
  <si>
    <t>Vigas de fundación de HºAº de 30x50</t>
  </si>
  <si>
    <t>Pilares de HºAº de 35x70</t>
  </si>
  <si>
    <t>Pilares de HºAº de 25x45</t>
  </si>
  <si>
    <t>Pilotes perforados de 50 cm de diámetro</t>
  </si>
  <si>
    <t>Vigas de HºAº de 20x50</t>
  </si>
  <si>
    <t>Viga de coronamiento</t>
  </si>
  <si>
    <t>Desmochado de pilotes</t>
  </si>
  <si>
    <t>Excavación de fundaciones</t>
  </si>
  <si>
    <t>3.12</t>
  </si>
  <si>
    <t>3.13</t>
  </si>
  <si>
    <t>3.14</t>
  </si>
  <si>
    <t>Estructuras de cabriadas y correas de chapa metálica doblada, cobertura a dos aguas con chapas metálicas trapezoidales tipo "sandwich" con relleno de poliuretano expandido como aislamiento térmico-acústico, acabado inferior prepintado. Depósito</t>
  </si>
  <si>
    <t>Estructuras de cabriadas y correas de chapa metálica doblada, cobertura a dos aguas con chapas metálicas trapezoidales tipo "sandwich" con relleno de poliuretano expandido como aislamiento térmico-acústico, acabado inferior prepintado. Área de carga y descarga</t>
  </si>
  <si>
    <t>4.3</t>
  </si>
  <si>
    <t>4.4</t>
  </si>
  <si>
    <t>Mampostería de ladrillos comunes de 20 cm</t>
  </si>
  <si>
    <t>Revoque interior filtrado a 2 capas</t>
  </si>
  <si>
    <t>Contrapiso de cascotes sobre terreno compactado</t>
  </si>
  <si>
    <t>Carpeta de regularización para asiento de pisos</t>
  </si>
  <si>
    <t>Mampostería de ladrillos comunes de 15 cm</t>
  </si>
  <si>
    <t>Revoque exterior con hidrófugo filtrado a 2 capas</t>
  </si>
  <si>
    <t>Aislaciones</t>
  </si>
  <si>
    <t>Aislación horizontal de 0,15</t>
  </si>
  <si>
    <t>Aislación horizontal de 0,20</t>
  </si>
  <si>
    <t xml:space="preserve">Aislación vertical </t>
  </si>
  <si>
    <t>Estructuras de cabriadas y correas de chapa metálica doblada, cobertura con chapas metálicas trapezoidales, aislamiento térmico con mantos celulares tipo Isolant. Portero</t>
  </si>
  <si>
    <t>4.5</t>
  </si>
  <si>
    <t>Estructuras de cabriadas y correas de chapa metálica doblada, cobertura con chapas metálicas trapezoidales. Visera depósito</t>
  </si>
  <si>
    <t>Pintura sintética de aberturas metálicas</t>
  </si>
  <si>
    <t>Mampostería de ladrillos comunes de 20 cm a la vista</t>
  </si>
  <si>
    <t>Abertura metálica de caños y chapa plegada de 0,80x2,10</t>
  </si>
  <si>
    <t>Puerta cortafuegos de 0,90x2,10 con barra antipánico</t>
  </si>
  <si>
    <t>Abertura metálica de caños y chapa plegada de 1,90x2,50. Cargado de batería</t>
  </si>
  <si>
    <t>3.15</t>
  </si>
  <si>
    <t>Calafateado entre pilotes</t>
  </si>
  <si>
    <t>3.16</t>
  </si>
  <si>
    <t>Pisos y revestimientos</t>
  </si>
  <si>
    <t>Piso de HºAº con barrera de vapor y endurecedor. Depósito</t>
  </si>
  <si>
    <t>Piso de HºAº con barrera de vapor y endurecedor. Área de carga y descarga</t>
  </si>
  <si>
    <t>Piso cerámico</t>
  </si>
  <si>
    <t>Zócalo cerámico de 10 cm</t>
  </si>
  <si>
    <t>Azulejado cerámico en SSHH</t>
  </si>
  <si>
    <t>Isla de refuerzo para racks (Incluye insertos)</t>
  </si>
  <si>
    <t>Foso de HºAº para docks de carga/descarga</t>
  </si>
  <si>
    <t>9.4</t>
  </si>
  <si>
    <t>Tabique de HºAº</t>
  </si>
  <si>
    <t>7.7</t>
  </si>
  <si>
    <t>Empedrado</t>
  </si>
  <si>
    <t>7.8</t>
  </si>
  <si>
    <t xml:space="preserve">Piso de HºAº con barrera de vapor para camineros exterior (Incluye escalones) </t>
  </si>
  <si>
    <t>Contrapiso de cascotes sobre terreno compactado. Vereda</t>
  </si>
  <si>
    <t>Vereda de granito reconstituido antideslizante</t>
  </si>
  <si>
    <t>7.9</t>
  </si>
  <si>
    <t>Aislación de SSHH sobre terreno natural</t>
  </si>
  <si>
    <t>Ítem</t>
  </si>
  <si>
    <t>UN</t>
  </si>
  <si>
    <t>Precio unitario (gs)</t>
  </si>
  <si>
    <t xml:space="preserve">Cemento </t>
  </si>
  <si>
    <t>Kg</t>
  </si>
  <si>
    <t xml:space="preserve">Arena </t>
  </si>
  <si>
    <t>Cal</t>
  </si>
  <si>
    <t>kg</t>
  </si>
  <si>
    <t>Ladrillejo</t>
  </si>
  <si>
    <t>Un</t>
  </si>
  <si>
    <t>Triturada</t>
  </si>
  <si>
    <t>tn</t>
  </si>
  <si>
    <t>Cascote</t>
  </si>
  <si>
    <t>Tejas de 1ra</t>
  </si>
  <si>
    <t>Tejuelones</t>
  </si>
  <si>
    <t>Ladrillo Comun</t>
  </si>
  <si>
    <t>Ladrillo Comun semiprensado para visto</t>
  </si>
  <si>
    <t>Piedra bruta</t>
  </si>
  <si>
    <t>Alfalto liq.</t>
  </si>
  <si>
    <t>lt</t>
  </si>
  <si>
    <t>Cemento grout</t>
  </si>
  <si>
    <t>Varillas</t>
  </si>
  <si>
    <t>Clavos</t>
  </si>
  <si>
    <t>Alambre de atar</t>
  </si>
  <si>
    <t>Alambre de trinca</t>
  </si>
  <si>
    <t>Statofix</t>
  </si>
  <si>
    <t>Membrana 4mm con Aluminio</t>
  </si>
  <si>
    <t>Bidim</t>
  </si>
  <si>
    <t>Impacril</t>
  </si>
  <si>
    <t>Hormigón elaborado de 250 kg/cm2</t>
  </si>
  <si>
    <t>Hormigón elaborado de 300 kg/cm2</t>
  </si>
  <si>
    <t>Hormigón elaborado de 350 kg/cm2</t>
  </si>
  <si>
    <t>Mezcla adhesiva para cerámicos</t>
  </si>
  <si>
    <t>Pastina</t>
  </si>
  <si>
    <t>Limitador roundex de 30 mm</t>
  </si>
  <si>
    <t>Pavidur</t>
  </si>
  <si>
    <t>Aislapol de 200 micrones</t>
  </si>
  <si>
    <t>Materiales</t>
  </si>
  <si>
    <t>Abertura metálica de caños y chapa plegada de 3,15x6,00. Acceso montacargas</t>
  </si>
  <si>
    <t>RUBRO</t>
  </si>
  <si>
    <t>PREC. UNITARIO</t>
  </si>
  <si>
    <t>PREC. TOTAL</t>
  </si>
  <si>
    <t>Mano de obra</t>
  </si>
  <si>
    <t>Clavos y alambres</t>
  </si>
  <si>
    <t>Ladrillos comunes</t>
  </si>
  <si>
    <t>Cemento</t>
  </si>
  <si>
    <t>Arena lavada</t>
  </si>
  <si>
    <t>Ladrillos semiprensados para visto</t>
  </si>
  <si>
    <t>Cascotes</t>
  </si>
  <si>
    <t>Asfaltín</t>
  </si>
  <si>
    <t>lts</t>
  </si>
  <si>
    <t>Descal 2C</t>
  </si>
  <si>
    <t>Aislapol</t>
  </si>
  <si>
    <t>Anclajes</t>
  </si>
  <si>
    <t>Separadores</t>
  </si>
  <si>
    <t>paq</t>
  </si>
  <si>
    <t>Encerado</t>
  </si>
  <si>
    <t>Baldosa de granito reconstituido</t>
  </si>
  <si>
    <t>Piedra bruta para empedrado</t>
  </si>
  <si>
    <t>Ripio de piedra</t>
  </si>
  <si>
    <t>Pintura interior al látex con enduido</t>
  </si>
  <si>
    <t>Pinturas exteriores al látex de paredes revocadas con enduido</t>
  </si>
  <si>
    <t>Excavación de fundaciones (cabezales)</t>
  </si>
  <si>
    <t>Viga de coronamiento (incluye excavación)</t>
  </si>
  <si>
    <t>5.9</t>
  </si>
  <si>
    <t>5.10</t>
  </si>
  <si>
    <t>Muralla exterior con pilastras (Visto 1 cara)</t>
  </si>
  <si>
    <t>Tratamiento siliconado de paredes vistas</t>
  </si>
  <si>
    <t xml:space="preserve">OBRA: </t>
  </si>
  <si>
    <t>Beneficio</t>
  </si>
  <si>
    <t xml:space="preserve">FECHA: </t>
  </si>
  <si>
    <t>FECHA: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</si>
</sst>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(* #,##0_);_(* \(#,##0\);_(* &quot;-&quot;_);_(@_)"/>
    <numFmt numFmtId="165" formatCode="_(* #,##0.00_);_(* \(#,##0.00\);_(* &quot;-&quot;??_);_(@_)"/>
    <numFmt numFmtId="166" formatCode="_(* #,##0_);_(* \(#,##0\);_(* &quot;-&quot;??_);_(@_)"/>
    <numFmt numFmtId="167" formatCode="_ [$€]\ * #,##0.00_ ;_ [$€]\ * \-#,##0.00_ ;_ [$€]\ * &quot;-&quot;??_ ;_ @_ "/>
    <numFmt numFmtId="168" formatCode="0\ &quot;gs/USD&quot;"/>
    <numFmt numFmtId="170" formatCode="0.000"/>
  </numFmts>
  <fonts count="3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b/>
      <sz val="12"/>
      <name val="Arial"/>
      <family val="2"/>
    </font>
    <font>
      <b/>
      <sz val="14"/>
      <color indexed="8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2"/>
      <color theme="4"/>
      <name val="Arial"/>
      <family val="2"/>
    </font>
    <font>
      <sz val="11"/>
      <color theme="4"/>
      <name val="Arial"/>
      <family val="2"/>
    </font>
    <font>
      <sz val="10"/>
      <color theme="4"/>
      <name val="Arial"/>
      <family val="2"/>
    </font>
    <font>
      <b/>
      <sz val="18"/>
      <color theme="4"/>
      <name val="Arial"/>
      <family val="2"/>
    </font>
    <font>
      <sz val="10"/>
      <name val="Arial"/>
      <family val="2"/>
    </font>
    <font>
      <b/>
      <sz val="16"/>
      <color indexed="8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70C0"/>
      <name val="Arial"/>
      <family val="2"/>
    </font>
    <font>
      <sz val="12"/>
      <color rgb="FF0070C0"/>
      <name val="Arial"/>
      <family val="2"/>
    </font>
    <font>
      <sz val="12"/>
      <color rgb="FFFF0000"/>
      <name val="Arial"/>
      <family val="2"/>
    </font>
    <font>
      <sz val="11"/>
      <color rgb="FFFF0000"/>
      <name val="Calibri"/>
      <family val="2"/>
      <scheme val="minor"/>
    </font>
    <font>
      <strike/>
      <sz val="12"/>
      <color indexed="8"/>
      <name val="Arial"/>
      <family val="2"/>
    </font>
    <font>
      <b/>
      <strike/>
      <sz val="12"/>
      <name val="Arial"/>
      <family val="2"/>
    </font>
    <font>
      <b/>
      <strike/>
      <sz val="12"/>
      <color indexed="8"/>
      <name val="Arial"/>
      <family val="2"/>
    </font>
    <font>
      <strike/>
      <sz val="12"/>
      <name val="Arial"/>
      <family val="2"/>
    </font>
    <font>
      <sz val="11"/>
      <color theme="1"/>
      <name val="Calibri"/>
      <family val="2"/>
    </font>
    <font>
      <b/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8"/>
      </left>
      <right style="thin">
        <color indexed="64"/>
      </right>
      <top style="medium">
        <color indexed="64"/>
      </top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18" fillId="0" borderId="0" applyNumberFormat="0" applyFill="0" applyBorder="0" applyAlignment="0" applyProtection="0"/>
    <xf numFmtId="165" fontId="21" fillId="0" borderId="0" applyFont="0" applyFill="0" applyBorder="0" applyAlignment="0" applyProtection="0"/>
    <xf numFmtId="167" fontId="21" fillId="0" borderId="0"/>
    <xf numFmtId="164" fontId="1" fillId="0" borderId="0" applyFont="0" applyFill="0" applyBorder="0" applyAlignment="0" applyProtection="0"/>
    <xf numFmtId="165" fontId="21" fillId="0" borderId="0" applyFont="0" applyFill="0" applyBorder="0" applyAlignment="0" applyProtection="0"/>
  </cellStyleXfs>
  <cellXfs count="168">
    <xf numFmtId="0" fontId="0" fillId="0" borderId="0" xfId="0"/>
    <xf numFmtId="0" fontId="1" fillId="0" borderId="0" xfId="1"/>
    <xf numFmtId="0" fontId="6" fillId="0" borderId="0" xfId="1" applyFont="1" applyAlignment="1">
      <alignment horizontal="left"/>
    </xf>
    <xf numFmtId="0" fontId="7" fillId="0" borderId="0" xfId="1" applyFont="1"/>
    <xf numFmtId="0" fontId="6" fillId="2" borderId="1" xfId="1" applyFont="1" applyFill="1" applyBorder="1" applyAlignment="1">
      <alignment horizontal="center"/>
    </xf>
    <xf numFmtId="0" fontId="7" fillId="2" borderId="2" xfId="1" applyFont="1" applyFill="1" applyBorder="1"/>
    <xf numFmtId="0" fontId="7" fillId="2" borderId="2" xfId="1" applyFont="1" applyFill="1" applyBorder="1" applyAlignment="1">
      <alignment horizontal="center"/>
    </xf>
    <xf numFmtId="0" fontId="3" fillId="2" borderId="2" xfId="1" applyFont="1" applyFill="1" applyBorder="1"/>
    <xf numFmtId="0" fontId="6" fillId="2" borderId="3" xfId="1" applyFont="1" applyFill="1" applyBorder="1" applyAlignment="1">
      <alignment horizontal="center"/>
    </xf>
    <xf numFmtId="0" fontId="6" fillId="2" borderId="4" xfId="1" applyFont="1" applyFill="1" applyBorder="1" applyAlignment="1">
      <alignment horizontal="center"/>
    </xf>
    <xf numFmtId="0" fontId="7" fillId="0" borderId="0" xfId="1" applyFont="1" applyAlignment="1">
      <alignment horizontal="center"/>
    </xf>
    <xf numFmtId="0" fontId="8" fillId="2" borderId="2" xfId="1" applyFont="1" applyFill="1" applyBorder="1" applyAlignment="1">
      <alignment horizontal="center"/>
    </xf>
    <xf numFmtId="0" fontId="9" fillId="2" borderId="4" xfId="1" applyFont="1" applyFill="1" applyBorder="1" applyAlignment="1">
      <alignment horizontal="center"/>
    </xf>
    <xf numFmtId="0" fontId="3" fillId="2" borderId="6" xfId="1" applyFont="1" applyFill="1" applyBorder="1"/>
    <xf numFmtId="0" fontId="6" fillId="2" borderId="7" xfId="1" applyFont="1" applyFill="1" applyBorder="1" applyAlignment="1">
      <alignment horizontal="center"/>
    </xf>
    <xf numFmtId="0" fontId="2" fillId="0" borderId="0" xfId="1" applyFont="1" applyBorder="1"/>
    <xf numFmtId="0" fontId="6" fillId="3" borderId="1" xfId="1" applyFont="1" applyFill="1" applyBorder="1" applyAlignment="1">
      <alignment horizontal="center"/>
    </xf>
    <xf numFmtId="0" fontId="1" fillId="4" borderId="5" xfId="1" applyFill="1" applyBorder="1"/>
    <xf numFmtId="0" fontId="2" fillId="4" borderId="5" xfId="1" applyFont="1" applyFill="1" applyBorder="1"/>
    <xf numFmtId="0" fontId="5" fillId="4" borderId="5" xfId="1" applyFont="1" applyFill="1" applyBorder="1"/>
    <xf numFmtId="0" fontId="6" fillId="3" borderId="3" xfId="1" applyFont="1" applyFill="1" applyBorder="1" applyAlignment="1">
      <alignment horizontal="center"/>
    </xf>
    <xf numFmtId="0" fontId="1" fillId="4" borderId="8" xfId="1" applyFill="1" applyBorder="1" applyAlignment="1">
      <alignment vertical="center"/>
    </xf>
    <xf numFmtId="0" fontId="10" fillId="4" borderId="9" xfId="1" applyFont="1" applyFill="1" applyBorder="1" applyAlignment="1">
      <alignment vertical="center"/>
    </xf>
    <xf numFmtId="0" fontId="2" fillId="4" borderId="9" xfId="1" applyFont="1" applyFill="1" applyBorder="1" applyAlignment="1">
      <alignment vertical="center"/>
    </xf>
    <xf numFmtId="0" fontId="5" fillId="4" borderId="9" xfId="1" applyFont="1" applyFill="1" applyBorder="1" applyAlignment="1">
      <alignment vertical="center"/>
    </xf>
    <xf numFmtId="0" fontId="1" fillId="4" borderId="9" xfId="1" applyFill="1" applyBorder="1" applyAlignment="1">
      <alignment vertical="center"/>
    </xf>
    <xf numFmtId="0" fontId="4" fillId="4" borderId="9" xfId="1" applyFont="1" applyFill="1" applyBorder="1" applyAlignment="1">
      <alignment vertical="center"/>
    </xf>
    <xf numFmtId="0" fontId="7" fillId="0" borderId="0" xfId="1" applyFont="1" applyBorder="1"/>
    <xf numFmtId="0" fontId="7" fillId="0" borderId="0" xfId="1" applyFont="1" applyBorder="1" applyAlignment="1">
      <alignment horizontal="center"/>
    </xf>
    <xf numFmtId="0" fontId="11" fillId="3" borderId="0" xfId="1" applyFont="1" applyFill="1" applyBorder="1" applyAlignment="1"/>
    <xf numFmtId="0" fontId="11" fillId="3" borderId="0" xfId="1" applyFont="1" applyFill="1" applyBorder="1" applyAlignment="1">
      <alignment horizontal="center"/>
    </xf>
    <xf numFmtId="0" fontId="12" fillId="4" borderId="0" xfId="1" applyFont="1" applyFill="1" applyBorder="1" applyAlignment="1"/>
    <xf numFmtId="0" fontId="13" fillId="4" borderId="0" xfId="1" applyFont="1" applyFill="1" applyBorder="1" applyAlignment="1"/>
    <xf numFmtId="0" fontId="14" fillId="0" borderId="10" xfId="1" applyFont="1" applyBorder="1" applyAlignment="1">
      <alignment vertical="top" wrapText="1"/>
    </xf>
    <xf numFmtId="0" fontId="15" fillId="0" borderId="10" xfId="1" applyFont="1" applyBorder="1"/>
    <xf numFmtId="0" fontId="14" fillId="0" borderId="10" xfId="1" applyFont="1" applyBorder="1" applyAlignment="1">
      <alignment horizontal="center"/>
    </xf>
    <xf numFmtId="0" fontId="16" fillId="0" borderId="10" xfId="1" applyFont="1" applyBorder="1"/>
    <xf numFmtId="0" fontId="14" fillId="0" borderId="0" xfId="1" applyFont="1" applyBorder="1" applyAlignment="1">
      <alignment vertical="top" wrapText="1"/>
    </xf>
    <xf numFmtId="0" fontId="15" fillId="0" borderId="0" xfId="1" applyFont="1" applyBorder="1"/>
    <xf numFmtId="0" fontId="14" fillId="0" borderId="0" xfId="1" applyFont="1" applyBorder="1" applyAlignment="1">
      <alignment horizontal="center"/>
    </xf>
    <xf numFmtId="0" fontId="16" fillId="0" borderId="0" xfId="1" applyFont="1" applyBorder="1"/>
    <xf numFmtId="0" fontId="1" fillId="4" borderId="5" xfId="1" applyFill="1" applyBorder="1" applyAlignment="1">
      <alignment horizontal="right"/>
    </xf>
    <xf numFmtId="0" fontId="17" fillId="0" borderId="10" xfId="1" applyFont="1" applyBorder="1"/>
    <xf numFmtId="0" fontId="17" fillId="0" borderId="0" xfId="1" applyFont="1" applyBorder="1"/>
    <xf numFmtId="0" fontId="1" fillId="4" borderId="11" xfId="1" applyFill="1" applyBorder="1" applyAlignment="1"/>
    <xf numFmtId="3" fontId="13" fillId="4" borderId="12" xfId="1" applyNumberFormat="1" applyFont="1" applyFill="1" applyBorder="1" applyAlignment="1"/>
    <xf numFmtId="0" fontId="1" fillId="4" borderId="13" xfId="1" applyFill="1" applyBorder="1" applyAlignment="1"/>
    <xf numFmtId="0" fontId="6" fillId="2" borderId="11" xfId="1" applyFont="1" applyFill="1" applyBorder="1" applyAlignment="1">
      <alignment horizontal="center"/>
    </xf>
    <xf numFmtId="0" fontId="6" fillId="2" borderId="12" xfId="1" applyFont="1" applyFill="1" applyBorder="1" applyAlignment="1">
      <alignment horizontal="center"/>
    </xf>
    <xf numFmtId="0" fontId="16" fillId="0" borderId="10" xfId="1" applyFont="1" applyFill="1" applyBorder="1"/>
    <xf numFmtId="0" fontId="16" fillId="0" borderId="0" xfId="1" applyFont="1" applyFill="1" applyBorder="1"/>
    <xf numFmtId="0" fontId="0" fillId="0" borderId="0" xfId="0" applyFill="1"/>
    <xf numFmtId="0" fontId="0" fillId="0" borderId="0" xfId="0" applyAlignment="1">
      <alignment vertical="center"/>
    </xf>
    <xf numFmtId="0" fontId="1" fillId="0" borderId="0" xfId="1" applyAlignment="1">
      <alignment wrapText="1"/>
    </xf>
    <xf numFmtId="0" fontId="19" fillId="0" borderId="0" xfId="1" applyFont="1" applyBorder="1" applyAlignment="1">
      <alignment horizontal="left"/>
    </xf>
    <xf numFmtId="0" fontId="20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9" fillId="0" borderId="0" xfId="1" applyFont="1" applyFill="1" applyBorder="1" applyAlignment="1">
      <alignment horizontal="center" vertical="center"/>
    </xf>
    <xf numFmtId="0" fontId="27" fillId="0" borderId="0" xfId="1" applyFont="1" applyFill="1" applyBorder="1" applyAlignment="1">
      <alignment horizontal="left" vertical="center"/>
    </xf>
    <xf numFmtId="2" fontId="29" fillId="0" borderId="0" xfId="1" applyNumberFormat="1" applyFont="1" applyFill="1" applyBorder="1" applyAlignment="1">
      <alignment horizontal="center" vertical="center"/>
    </xf>
    <xf numFmtId="3" fontId="29" fillId="0" borderId="0" xfId="1" applyNumberFormat="1" applyFont="1" applyFill="1" applyBorder="1" applyAlignment="1">
      <alignment vertical="center"/>
    </xf>
    <xf numFmtId="3" fontId="26" fillId="0" borderId="0" xfId="1" applyNumberFormat="1" applyFont="1" applyFill="1" applyBorder="1" applyAlignment="1">
      <alignment vertical="center"/>
    </xf>
    <xf numFmtId="3" fontId="28" fillId="0" borderId="0" xfId="1" applyNumberFormat="1" applyFont="1" applyFill="1" applyBorder="1" applyAlignment="1">
      <alignment vertical="center"/>
    </xf>
    <xf numFmtId="0" fontId="6" fillId="2" borderId="8" xfId="1" applyFont="1" applyFill="1" applyBorder="1" applyAlignment="1">
      <alignment horizontal="center"/>
    </xf>
    <xf numFmtId="0" fontId="6" fillId="2" borderId="16" xfId="1" applyFont="1" applyFill="1" applyBorder="1" applyAlignment="1">
      <alignment horizontal="center"/>
    </xf>
    <xf numFmtId="0" fontId="9" fillId="2" borderId="16" xfId="1" applyFont="1" applyFill="1" applyBorder="1" applyAlignment="1">
      <alignment horizontal="center"/>
    </xf>
    <xf numFmtId="0" fontId="6" fillId="2" borderId="17" xfId="1" applyFont="1" applyFill="1" applyBorder="1" applyAlignment="1">
      <alignment horizontal="center"/>
    </xf>
    <xf numFmtId="0" fontId="6" fillId="2" borderId="14" xfId="1" applyFont="1" applyFill="1" applyBorder="1" applyAlignment="1">
      <alignment horizontal="center"/>
    </xf>
    <xf numFmtId="166" fontId="0" fillId="0" borderId="0" xfId="3" applyNumberFormat="1" applyFont="1"/>
    <xf numFmtId="166" fontId="0" fillId="0" borderId="0" xfId="3" applyNumberFormat="1" applyFont="1" applyAlignment="1">
      <alignment vertical="center"/>
    </xf>
    <xf numFmtId="0" fontId="10" fillId="5" borderId="23" xfId="1" applyFont="1" applyFill="1" applyBorder="1" applyAlignment="1">
      <alignment horizontal="center" vertical="center"/>
    </xf>
    <xf numFmtId="0" fontId="10" fillId="0" borderId="18" xfId="1" applyFont="1" applyFill="1" applyBorder="1" applyAlignment="1">
      <alignment horizontal="center" vertical="center"/>
    </xf>
    <xf numFmtId="0" fontId="10" fillId="0" borderId="18" xfId="1" applyFont="1" applyFill="1" applyBorder="1" applyAlignment="1">
      <alignment vertical="center" wrapText="1"/>
    </xf>
    <xf numFmtId="3" fontId="5" fillId="0" borderId="18" xfId="1" applyNumberFormat="1" applyFont="1" applyFill="1" applyBorder="1" applyAlignment="1">
      <alignment vertical="center"/>
    </xf>
    <xf numFmtId="3" fontId="6" fillId="0" borderId="18" xfId="1" applyNumberFormat="1" applyFont="1" applyFill="1" applyBorder="1" applyAlignment="1">
      <alignment vertical="center"/>
    </xf>
    <xf numFmtId="165" fontId="10" fillId="0" borderId="18" xfId="3" applyNumberFormat="1" applyFont="1" applyFill="1" applyBorder="1" applyAlignment="1">
      <alignment vertical="center"/>
    </xf>
    <xf numFmtId="0" fontId="10" fillId="5" borderId="26" xfId="1" applyFont="1" applyFill="1" applyBorder="1" applyAlignment="1">
      <alignment vertical="center"/>
    </xf>
    <xf numFmtId="0" fontId="22" fillId="5" borderId="27" xfId="1" applyFont="1" applyFill="1" applyBorder="1" applyAlignment="1">
      <alignment horizontal="center" vertical="center"/>
    </xf>
    <xf numFmtId="3" fontId="23" fillId="5" borderId="27" xfId="1" applyNumberFormat="1" applyFont="1" applyFill="1" applyBorder="1" applyAlignment="1">
      <alignment vertical="center"/>
    </xf>
    <xf numFmtId="3" fontId="24" fillId="5" borderId="27" xfId="1" applyNumberFormat="1" applyFont="1" applyFill="1" applyBorder="1" applyAlignment="1">
      <alignment horizontal="right" vertical="center"/>
    </xf>
    <xf numFmtId="3" fontId="7" fillId="5" borderId="28" xfId="1" applyNumberFormat="1" applyFont="1" applyFill="1" applyBorder="1" applyAlignment="1">
      <alignment vertical="center"/>
    </xf>
    <xf numFmtId="0" fontId="5" fillId="0" borderId="30" xfId="1" applyFont="1" applyFill="1" applyBorder="1" applyAlignment="1">
      <alignment horizontal="center" vertical="center"/>
    </xf>
    <xf numFmtId="0" fontId="5" fillId="0" borderId="31" xfId="1" applyFont="1" applyFill="1" applyBorder="1" applyAlignment="1">
      <alignment vertical="center" wrapText="1"/>
    </xf>
    <xf numFmtId="0" fontId="5" fillId="0" borderId="31" xfId="1" applyFont="1" applyFill="1" applyBorder="1" applyAlignment="1">
      <alignment horizontal="center" vertical="center"/>
    </xf>
    <xf numFmtId="165" fontId="5" fillId="0" borderId="31" xfId="3" applyNumberFormat="1" applyFont="1" applyFill="1" applyBorder="1" applyAlignment="1">
      <alignment vertical="center"/>
    </xf>
    <xf numFmtId="3" fontId="5" fillId="0" borderId="31" xfId="1" applyNumberFormat="1" applyFont="1" applyFill="1" applyBorder="1" applyAlignment="1">
      <alignment horizontal="right" vertical="center"/>
    </xf>
    <xf numFmtId="3" fontId="5" fillId="0" borderId="32" xfId="1" applyNumberFormat="1" applyFont="1" applyFill="1" applyBorder="1" applyAlignment="1">
      <alignment vertical="center"/>
    </xf>
    <xf numFmtId="0" fontId="5" fillId="0" borderId="33" xfId="1" applyFont="1" applyFill="1" applyBorder="1" applyAlignment="1">
      <alignment horizontal="center" vertical="center"/>
    </xf>
    <xf numFmtId="0" fontId="5" fillId="0" borderId="29" xfId="1" applyFont="1" applyFill="1" applyBorder="1" applyAlignment="1">
      <alignment vertical="center" wrapText="1"/>
    </xf>
    <xf numFmtId="0" fontId="5" fillId="0" borderId="29" xfId="1" applyFont="1" applyFill="1" applyBorder="1" applyAlignment="1">
      <alignment horizontal="center" vertical="center"/>
    </xf>
    <xf numFmtId="165" fontId="5" fillId="0" borderId="29" xfId="3" applyNumberFormat="1" applyFont="1" applyFill="1" applyBorder="1" applyAlignment="1">
      <alignment vertical="center"/>
    </xf>
    <xf numFmtId="3" fontId="5" fillId="0" borderId="29" xfId="1" applyNumberFormat="1" applyFont="1" applyFill="1" applyBorder="1" applyAlignment="1">
      <alignment horizontal="right" vertical="center"/>
    </xf>
    <xf numFmtId="3" fontId="5" fillId="0" borderId="34" xfId="1" applyNumberFormat="1" applyFont="1" applyFill="1" applyBorder="1" applyAlignment="1">
      <alignment vertical="center"/>
    </xf>
    <xf numFmtId="0" fontId="5" fillId="0" borderId="35" xfId="1" applyFont="1" applyFill="1" applyBorder="1" applyAlignment="1">
      <alignment horizontal="center" vertical="center"/>
    </xf>
    <xf numFmtId="0" fontId="5" fillId="0" borderId="36" xfId="1" applyFont="1" applyFill="1" applyBorder="1" applyAlignment="1">
      <alignment vertical="center" wrapText="1"/>
    </xf>
    <xf numFmtId="0" fontId="5" fillId="0" borderId="36" xfId="1" applyFont="1" applyFill="1" applyBorder="1" applyAlignment="1">
      <alignment horizontal="center" vertical="center"/>
    </xf>
    <xf numFmtId="165" fontId="5" fillId="0" borderId="36" xfId="3" applyNumberFormat="1" applyFont="1" applyFill="1" applyBorder="1" applyAlignment="1">
      <alignment vertical="center"/>
    </xf>
    <xf numFmtId="3" fontId="5" fillId="0" borderId="37" xfId="1" applyNumberFormat="1" applyFont="1" applyFill="1" applyBorder="1" applyAlignment="1">
      <alignment vertical="center"/>
    </xf>
    <xf numFmtId="0" fontId="25" fillId="6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20" fillId="6" borderId="0" xfId="0" applyFont="1" applyFill="1" applyAlignment="1">
      <alignment vertical="center"/>
    </xf>
    <xf numFmtId="0" fontId="5" fillId="7" borderId="29" xfId="1" applyFont="1" applyFill="1" applyBorder="1" applyAlignment="1">
      <alignment vertical="center" wrapText="1"/>
    </xf>
    <xf numFmtId="0" fontId="20" fillId="0" borderId="0" xfId="0" applyFont="1" applyFill="1" applyAlignment="1">
      <alignment vertical="center"/>
    </xf>
    <xf numFmtId="0" fontId="25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166" fontId="0" fillId="0" borderId="0" xfId="3" applyNumberFormat="1" applyFont="1" applyAlignment="1">
      <alignment horizontal="center"/>
    </xf>
    <xf numFmtId="168" fontId="0" fillId="0" borderId="0" xfId="3" applyNumberFormat="1" applyFont="1"/>
    <xf numFmtId="0" fontId="20" fillId="0" borderId="22" xfId="0" applyFont="1" applyBorder="1" applyAlignment="1">
      <alignment horizontal="center" vertical="center"/>
    </xf>
    <xf numFmtId="166" fontId="20" fillId="0" borderId="0" xfId="3" applyNumberFormat="1" applyFont="1" applyFill="1" applyBorder="1" applyAlignment="1">
      <alignment horizontal="center" vertical="center"/>
    </xf>
    <xf numFmtId="166" fontId="0" fillId="0" borderId="25" xfId="3" applyNumberFormat="1" applyFont="1" applyFill="1" applyBorder="1" applyAlignment="1">
      <alignment horizontal="left" vertical="center"/>
    </xf>
    <xf numFmtId="166" fontId="0" fillId="0" borderId="25" xfId="3" applyNumberFormat="1" applyFont="1" applyFill="1" applyBorder="1" applyAlignment="1">
      <alignment horizontal="center" vertical="center"/>
    </xf>
    <xf numFmtId="166" fontId="0" fillId="0" borderId="23" xfId="3" applyNumberFormat="1" applyFont="1" applyBorder="1"/>
    <xf numFmtId="166" fontId="0" fillId="0" borderId="18" xfId="3" applyNumberFormat="1" applyFont="1" applyFill="1" applyBorder="1" applyAlignment="1">
      <alignment horizontal="left" vertical="center"/>
    </xf>
    <xf numFmtId="166" fontId="0" fillId="0" borderId="18" xfId="3" applyNumberFormat="1" applyFont="1" applyFill="1" applyBorder="1" applyAlignment="1">
      <alignment horizontal="center" vertical="center"/>
    </xf>
    <xf numFmtId="166" fontId="0" fillId="0" borderId="18" xfId="3" applyNumberFormat="1" applyFont="1" applyBorder="1"/>
    <xf numFmtId="166" fontId="0" fillId="0" borderId="18" xfId="3" applyNumberFormat="1" applyFont="1" applyFill="1" applyBorder="1"/>
    <xf numFmtId="166" fontId="0" fillId="0" borderId="18" xfId="3" applyNumberFormat="1" applyFont="1" applyFill="1" applyBorder="1" applyAlignment="1">
      <alignment horizontal="left" vertical="center" wrapText="1"/>
    </xf>
    <xf numFmtId="0" fontId="0" fillId="0" borderId="0" xfId="0" applyFill="1" applyAlignment="1">
      <alignment vertical="center"/>
    </xf>
    <xf numFmtId="0" fontId="1" fillId="0" borderId="0" xfId="1" applyFill="1"/>
    <xf numFmtId="0" fontId="1" fillId="0" borderId="0" xfId="1" applyFill="1" applyAlignment="1">
      <alignment wrapText="1"/>
    </xf>
    <xf numFmtId="0" fontId="0" fillId="6" borderId="0" xfId="0" applyFill="1"/>
    <xf numFmtId="0" fontId="20" fillId="8" borderId="38" xfId="0" applyFont="1" applyFill="1" applyBorder="1" applyAlignment="1">
      <alignment horizontal="center"/>
    </xf>
    <xf numFmtId="3" fontId="20" fillId="8" borderId="38" xfId="0" applyNumberFormat="1" applyFont="1" applyFill="1" applyBorder="1"/>
    <xf numFmtId="0" fontId="0" fillId="8" borderId="38" xfId="0" applyFill="1" applyBorder="1"/>
    <xf numFmtId="2" fontId="0" fillId="8" borderId="38" xfId="0" applyNumberFormat="1" applyFill="1" applyBorder="1" applyAlignment="1">
      <alignment horizontal="center"/>
    </xf>
    <xf numFmtId="165" fontId="0" fillId="8" borderId="38" xfId="3" applyFont="1" applyFill="1" applyBorder="1"/>
    <xf numFmtId="0" fontId="0" fillId="0" borderId="0" xfId="0" applyAlignment="1">
      <alignment horizontal="center"/>
    </xf>
    <xf numFmtId="165" fontId="0" fillId="0" borderId="0" xfId="3" applyFont="1"/>
    <xf numFmtId="0" fontId="30" fillId="0" borderId="24" xfId="0" applyFont="1" applyFill="1" applyBorder="1" applyAlignment="1">
      <alignment horizontal="center" vertical="center"/>
    </xf>
    <xf numFmtId="165" fontId="30" fillId="0" borderId="24" xfId="3" applyFont="1" applyFill="1" applyBorder="1" applyAlignment="1">
      <alignment horizontal="center" vertical="center"/>
    </xf>
    <xf numFmtId="0" fontId="0" fillId="0" borderId="0" xfId="0" applyFont="1"/>
    <xf numFmtId="0" fontId="0" fillId="0" borderId="18" xfId="0" applyBorder="1" applyAlignment="1">
      <alignment horizontal="center"/>
    </xf>
    <xf numFmtId="0" fontId="0" fillId="0" borderId="18" xfId="0" applyBorder="1"/>
    <xf numFmtId="2" fontId="0" fillId="0" borderId="18" xfId="0" applyNumberFormat="1" applyBorder="1" applyAlignment="1">
      <alignment horizontal="center"/>
    </xf>
    <xf numFmtId="165" fontId="0" fillId="0" borderId="18" xfId="3" applyFont="1" applyBorder="1"/>
    <xf numFmtId="165" fontId="20" fillId="8" borderId="18" xfId="3" applyFont="1" applyFill="1" applyBorder="1"/>
    <xf numFmtId="170" fontId="0" fillId="0" borderId="18" xfId="0" applyNumberFormat="1" applyBorder="1" applyAlignment="1">
      <alignment horizontal="center"/>
    </xf>
    <xf numFmtId="3" fontId="5" fillId="6" borderId="29" xfId="1" applyNumberFormat="1" applyFont="1" applyFill="1" applyBorder="1" applyAlignment="1">
      <alignment horizontal="right" vertical="center"/>
    </xf>
    <xf numFmtId="165" fontId="5" fillId="9" borderId="29" xfId="3" applyNumberFormat="1" applyFont="1" applyFill="1" applyBorder="1" applyAlignment="1">
      <alignment vertical="center"/>
    </xf>
    <xf numFmtId="165" fontId="5" fillId="10" borderId="29" xfId="3" applyNumberFormat="1" applyFont="1" applyFill="1" applyBorder="1" applyAlignment="1">
      <alignment vertical="center"/>
    </xf>
    <xf numFmtId="3" fontId="6" fillId="0" borderId="24" xfId="1" applyNumberFormat="1" applyFont="1" applyFill="1" applyBorder="1" applyAlignment="1">
      <alignment horizontal="center" vertical="center"/>
    </xf>
    <xf numFmtId="3" fontId="6" fillId="0" borderId="15" xfId="1" applyNumberFormat="1" applyFont="1" applyFill="1" applyBorder="1" applyAlignment="1">
      <alignment horizontal="center" vertical="center"/>
    </xf>
    <xf numFmtId="3" fontId="6" fillId="0" borderId="25" xfId="1" applyNumberFormat="1" applyFont="1" applyFill="1" applyBorder="1" applyAlignment="1">
      <alignment horizontal="center" vertical="center"/>
    </xf>
    <xf numFmtId="0" fontId="20" fillId="0" borderId="19" xfId="0" applyFont="1" applyBorder="1" applyAlignment="1">
      <alignment horizontal="center"/>
    </xf>
    <xf numFmtId="0" fontId="20" fillId="0" borderId="20" xfId="0" applyFont="1" applyBorder="1" applyAlignment="1">
      <alignment horizontal="center"/>
    </xf>
    <xf numFmtId="0" fontId="20" fillId="0" borderId="21" xfId="0" applyFont="1" applyBorder="1" applyAlignment="1">
      <alignment horizontal="center"/>
    </xf>
    <xf numFmtId="0" fontId="20" fillId="0" borderId="39" xfId="0" applyFont="1" applyBorder="1" applyAlignment="1">
      <alignment horizontal="right"/>
    </xf>
    <xf numFmtId="0" fontId="20" fillId="0" borderId="40" xfId="0" applyFont="1" applyBorder="1" applyAlignment="1">
      <alignment horizontal="right"/>
    </xf>
    <xf numFmtId="0" fontId="20" fillId="0" borderId="41" xfId="0" applyFont="1" applyBorder="1" applyAlignment="1">
      <alignment horizontal="right"/>
    </xf>
    <xf numFmtId="3" fontId="20" fillId="6" borderId="19" xfId="0" applyNumberFormat="1" applyFont="1" applyFill="1" applyBorder="1" applyAlignment="1">
      <alignment horizontal="center"/>
    </xf>
    <xf numFmtId="0" fontId="20" fillId="6" borderId="20" xfId="0" applyFont="1" applyFill="1" applyBorder="1" applyAlignment="1">
      <alignment horizontal="center"/>
    </xf>
    <xf numFmtId="0" fontId="20" fillId="6" borderId="21" xfId="0" applyFont="1" applyFill="1" applyBorder="1" applyAlignment="1">
      <alignment horizontal="center"/>
    </xf>
    <xf numFmtId="3" fontId="5" fillId="0" borderId="42" xfId="1" applyNumberFormat="1" applyFont="1" applyFill="1" applyBorder="1" applyAlignment="1">
      <alignment vertical="center"/>
    </xf>
    <xf numFmtId="3" fontId="5" fillId="0" borderId="43" xfId="1" applyNumberFormat="1" applyFont="1" applyFill="1" applyBorder="1" applyAlignment="1">
      <alignment vertical="center"/>
    </xf>
    <xf numFmtId="3" fontId="5" fillId="0" borderId="31" xfId="1" applyNumberFormat="1" applyFont="1" applyFill="1" applyBorder="1" applyAlignment="1">
      <alignment vertical="center"/>
    </xf>
    <xf numFmtId="3" fontId="5" fillId="0" borderId="29" xfId="1" applyNumberFormat="1" applyFont="1" applyFill="1" applyBorder="1" applyAlignment="1">
      <alignment vertical="center"/>
    </xf>
    <xf numFmtId="165" fontId="5" fillId="0" borderId="44" xfId="3" applyNumberFormat="1" applyFont="1" applyFill="1" applyBorder="1" applyAlignment="1">
      <alignment vertical="center"/>
    </xf>
    <xf numFmtId="165" fontId="5" fillId="0" borderId="45" xfId="3" applyNumberFormat="1" applyFont="1" applyFill="1" applyBorder="1" applyAlignment="1">
      <alignment vertical="center"/>
    </xf>
    <xf numFmtId="165" fontId="5" fillId="0" borderId="46" xfId="3" applyNumberFormat="1" applyFont="1" applyFill="1" applyBorder="1" applyAlignment="1">
      <alignment vertical="center"/>
    </xf>
    <xf numFmtId="165" fontId="10" fillId="0" borderId="39" xfId="3" applyNumberFormat="1" applyFont="1" applyFill="1" applyBorder="1" applyAlignment="1">
      <alignment vertical="center"/>
    </xf>
    <xf numFmtId="3" fontId="5" fillId="0" borderId="47" xfId="1" applyNumberFormat="1" applyFont="1" applyFill="1" applyBorder="1" applyAlignment="1">
      <alignment vertical="center"/>
    </xf>
    <xf numFmtId="3" fontId="5" fillId="0" borderId="41" xfId="1" applyNumberFormat="1" applyFont="1" applyFill="1" applyBorder="1" applyAlignment="1">
      <alignment vertical="center"/>
    </xf>
    <xf numFmtId="166" fontId="0" fillId="0" borderId="29" xfId="3" applyNumberFormat="1" applyFont="1" applyBorder="1" applyAlignment="1">
      <alignment vertical="center"/>
    </xf>
    <xf numFmtId="166" fontId="5" fillId="0" borderId="45" xfId="3" applyNumberFormat="1" applyFont="1" applyFill="1" applyBorder="1" applyAlignment="1">
      <alignment vertical="center"/>
    </xf>
    <xf numFmtId="166" fontId="5" fillId="0" borderId="46" xfId="3" applyNumberFormat="1" applyFont="1" applyFill="1" applyBorder="1" applyAlignment="1">
      <alignment vertical="center"/>
    </xf>
    <xf numFmtId="166" fontId="10" fillId="0" borderId="39" xfId="3" applyNumberFormat="1" applyFont="1" applyFill="1" applyBorder="1" applyAlignment="1">
      <alignment vertical="center"/>
    </xf>
    <xf numFmtId="166" fontId="5" fillId="0" borderId="44" xfId="3" applyNumberFormat="1" applyFont="1" applyFill="1" applyBorder="1" applyAlignment="1">
      <alignment vertical="center"/>
    </xf>
    <xf numFmtId="0" fontId="31" fillId="9" borderId="0" xfId="0" applyFont="1" applyFill="1" applyAlignment="1">
      <alignment vertical="center"/>
    </xf>
  </cellXfs>
  <cellStyles count="7">
    <cellStyle name="          _x000d__x000a_386grabber=VGA.3GR_x000d__x000a_" xfId="2"/>
    <cellStyle name="Millares" xfId="3" builtinId="3"/>
    <cellStyle name="Millares [0] 3" xfId="5"/>
    <cellStyle name="Millares 3 3" xfId="6"/>
    <cellStyle name="Normal" xfId="0" builtinId="0"/>
    <cellStyle name="Normal 2" xfId="1"/>
    <cellStyle name="Normal 4 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24"/>
  <sheetViews>
    <sheetView showZeros="0" topLeftCell="A67" zoomScale="85" zoomScaleNormal="85" zoomScaleSheetLayoutView="85" workbookViewId="0">
      <selection activeCell="A74" sqref="A74:XFD88"/>
    </sheetView>
  </sheetViews>
  <sheetFormatPr baseColWidth="10" defaultRowHeight="15" x14ac:dyDescent="0.25"/>
  <cols>
    <col min="1" max="1" width="3.140625" customWidth="1"/>
    <col min="2" max="2" width="8.42578125" customWidth="1"/>
    <col min="3" max="3" width="68.28515625" customWidth="1"/>
    <col min="4" max="4" width="6.42578125" customWidth="1"/>
    <col min="5" max="5" width="12.28515625" bestFit="1" customWidth="1"/>
    <col min="6" max="6" width="14.28515625" customWidth="1"/>
    <col min="7" max="7" width="16" customWidth="1"/>
    <col min="8" max="8" width="19.28515625" bestFit="1" customWidth="1"/>
    <col min="10" max="10" width="13.5703125" customWidth="1"/>
  </cols>
  <sheetData>
    <row r="1" spans="1:11" ht="6.75" customHeight="1" x14ac:dyDescent="0.25"/>
    <row r="2" spans="1:11" ht="24" thickBot="1" x14ac:dyDescent="0.4">
      <c r="B2" s="42" t="s">
        <v>187</v>
      </c>
      <c r="C2" s="33"/>
      <c r="D2" s="34"/>
      <c r="E2" s="35"/>
      <c r="F2" s="36"/>
      <c r="G2" s="36"/>
      <c r="H2" s="49"/>
    </row>
    <row r="3" spans="1:11" ht="15" customHeight="1" thickTop="1" x14ac:dyDescent="0.35">
      <c r="B3" s="43"/>
      <c r="C3" s="37"/>
      <c r="D3" s="38"/>
      <c r="E3" s="39"/>
      <c r="F3" s="40"/>
      <c r="G3" s="40"/>
      <c r="H3" s="50"/>
    </row>
    <row r="4" spans="1:11" ht="15.75" x14ac:dyDescent="0.25">
      <c r="B4" s="2" t="s">
        <v>189</v>
      </c>
      <c r="C4" s="3"/>
      <c r="D4" s="1"/>
      <c r="E4" s="10"/>
      <c r="F4" s="1"/>
      <c r="G4" s="1"/>
      <c r="H4" s="1"/>
    </row>
    <row r="5" spans="1:11" ht="15.75" x14ac:dyDescent="0.25">
      <c r="B5" s="2"/>
      <c r="C5" s="3"/>
      <c r="D5" s="1"/>
      <c r="E5" s="10"/>
      <c r="F5" s="1"/>
      <c r="G5" s="1"/>
      <c r="H5" s="1"/>
    </row>
    <row r="6" spans="1:11" ht="20.25" x14ac:dyDescent="0.3">
      <c r="B6" s="54"/>
      <c r="C6" s="27"/>
      <c r="D6" s="15"/>
      <c r="E6" s="28"/>
      <c r="F6" s="1"/>
      <c r="G6" s="1"/>
      <c r="H6" s="1"/>
    </row>
    <row r="7" spans="1:11" ht="16.5" thickBot="1" x14ac:dyDescent="0.3">
      <c r="B7" s="2"/>
      <c r="C7" s="3"/>
      <c r="D7" s="1"/>
      <c r="E7" s="10"/>
      <c r="F7" s="1"/>
      <c r="G7" s="1"/>
      <c r="H7" s="1"/>
    </row>
    <row r="8" spans="1:11" ht="15.75" x14ac:dyDescent="0.25">
      <c r="B8" s="4"/>
      <c r="C8" s="5"/>
      <c r="D8" s="11"/>
      <c r="E8" s="6"/>
      <c r="F8" s="7"/>
      <c r="G8" s="13"/>
      <c r="H8" s="47"/>
    </row>
    <row r="9" spans="1:11" ht="15.75" x14ac:dyDescent="0.25">
      <c r="B9" s="8" t="s">
        <v>0</v>
      </c>
      <c r="C9" s="9" t="s">
        <v>1</v>
      </c>
      <c r="D9" s="12" t="s">
        <v>2</v>
      </c>
      <c r="E9" s="9" t="s">
        <v>3</v>
      </c>
      <c r="F9" s="9" t="s">
        <v>4</v>
      </c>
      <c r="G9" s="14" t="s">
        <v>5</v>
      </c>
      <c r="H9" s="48" t="s">
        <v>8</v>
      </c>
    </row>
    <row r="10" spans="1:11" ht="16.5" thickBot="1" x14ac:dyDescent="0.3">
      <c r="B10" s="63"/>
      <c r="C10" s="64"/>
      <c r="D10" s="65"/>
      <c r="E10" s="64"/>
      <c r="F10" s="64"/>
      <c r="G10" s="66"/>
      <c r="H10" s="67" t="s">
        <v>9</v>
      </c>
    </row>
    <row r="11" spans="1:11" s="52" customFormat="1" ht="21" x14ac:dyDescent="0.25">
      <c r="B11" s="70" t="s">
        <v>17</v>
      </c>
      <c r="C11" s="76" t="s">
        <v>60</v>
      </c>
      <c r="D11" s="77"/>
      <c r="E11" s="78"/>
      <c r="F11" s="79"/>
      <c r="G11" s="78"/>
      <c r="H11" s="80"/>
      <c r="J11" s="167" t="s">
        <v>188</v>
      </c>
      <c r="K11" s="167">
        <v>1.1200000000000001</v>
      </c>
    </row>
    <row r="12" spans="1:11" s="55" customFormat="1" ht="15.75" customHeight="1" x14ac:dyDescent="0.25">
      <c r="B12" s="71">
        <v>3</v>
      </c>
      <c r="C12" s="72" t="s">
        <v>32</v>
      </c>
      <c r="D12" s="71"/>
      <c r="E12" s="75"/>
      <c r="F12" s="69"/>
      <c r="G12" s="73">
        <f t="shared" ref="G12:G68" si="0">+F12*E12</f>
        <v>0</v>
      </c>
      <c r="H12" s="140"/>
    </row>
    <row r="13" spans="1:11" s="52" customFormat="1" ht="15" customHeight="1" x14ac:dyDescent="0.25">
      <c r="A13" s="99"/>
      <c r="B13" s="81" t="s">
        <v>11</v>
      </c>
      <c r="C13" s="82" t="s">
        <v>62</v>
      </c>
      <c r="D13" s="83" t="s">
        <v>23</v>
      </c>
      <c r="E13" s="84">
        <f>50*3*2+84*1.5*2*2</f>
        <v>804</v>
      </c>
      <c r="F13" s="154">
        <f>+$K$11*Costo!F13</f>
        <v>328218.68914957478</v>
      </c>
      <c r="G13" s="152">
        <f t="shared" si="0"/>
        <v>263887826.07625812</v>
      </c>
      <c r="H13" s="141"/>
    </row>
    <row r="14" spans="1:11" s="52" customFormat="1" ht="15" customHeight="1" x14ac:dyDescent="0.25">
      <c r="A14" s="99"/>
      <c r="B14" s="87" t="s">
        <v>18</v>
      </c>
      <c r="C14" s="88" t="s">
        <v>182</v>
      </c>
      <c r="D14" s="89" t="s">
        <v>23</v>
      </c>
      <c r="E14" s="90">
        <f>30+50*2</f>
        <v>130</v>
      </c>
      <c r="F14" s="155">
        <f>+$K$11*Costo!F14</f>
        <v>242257.93464227099</v>
      </c>
      <c r="G14" s="153">
        <f t="shared" si="0"/>
        <v>31493531.503495228</v>
      </c>
      <c r="H14" s="141"/>
    </row>
    <row r="15" spans="1:11" s="52" customFormat="1" ht="15" customHeight="1" x14ac:dyDescent="0.25">
      <c r="A15" s="99"/>
      <c r="B15" s="87" t="s">
        <v>19</v>
      </c>
      <c r="C15" s="88" t="s">
        <v>68</v>
      </c>
      <c r="D15" s="89" t="s">
        <v>23</v>
      </c>
      <c r="E15" s="138">
        <f>41*6</f>
        <v>246</v>
      </c>
      <c r="F15" s="155">
        <f>+$K$11*Costo!F15</f>
        <v>590386.32147104107</v>
      </c>
      <c r="G15" s="153">
        <f t="shared" si="0"/>
        <v>145235035.0818761</v>
      </c>
      <c r="H15" s="141"/>
    </row>
    <row r="16" spans="1:11" s="52" customFormat="1" ht="15" customHeight="1" x14ac:dyDescent="0.25">
      <c r="A16" s="99"/>
      <c r="B16" s="87" t="s">
        <v>20</v>
      </c>
      <c r="C16" s="88" t="s">
        <v>63</v>
      </c>
      <c r="D16" s="89" t="s">
        <v>23</v>
      </c>
      <c r="E16" s="138">
        <f>11*6</f>
        <v>66</v>
      </c>
      <c r="F16" s="155">
        <f>+$K$11*Costo!F16</f>
        <v>442137.8944014663</v>
      </c>
      <c r="G16" s="153">
        <f t="shared" si="0"/>
        <v>29181101.030496776</v>
      </c>
      <c r="H16" s="141"/>
    </row>
    <row r="17" spans="1:8" s="52" customFormat="1" ht="15" customHeight="1" x14ac:dyDescent="0.25">
      <c r="A17" s="99"/>
      <c r="B17" s="87" t="s">
        <v>27</v>
      </c>
      <c r="C17" s="88" t="s">
        <v>99</v>
      </c>
      <c r="D17" s="89" t="s">
        <v>24</v>
      </c>
      <c r="E17" s="90">
        <f>30*2.8*0.5+50*1.4*0.5*2</f>
        <v>112</v>
      </c>
      <c r="F17" s="155">
        <f>+$K$11*Costo!F17</f>
        <v>137551.68000000002</v>
      </c>
      <c r="G17" s="153">
        <f t="shared" si="0"/>
        <v>15405788.160000002</v>
      </c>
      <c r="H17" s="141"/>
    </row>
    <row r="18" spans="1:8" s="52" customFormat="1" ht="15" customHeight="1" x14ac:dyDescent="0.25">
      <c r="A18" s="99"/>
      <c r="B18" s="87" t="s">
        <v>28</v>
      </c>
      <c r="C18" s="88" t="s">
        <v>71</v>
      </c>
      <c r="D18" s="89" t="s">
        <v>10</v>
      </c>
      <c r="E18" s="90">
        <f>11+41+50+84*2</f>
        <v>270</v>
      </c>
      <c r="F18" s="155">
        <f>+$K$11*Costo!F18</f>
        <v>95200.000000000015</v>
      </c>
      <c r="G18" s="153">
        <f t="shared" si="0"/>
        <v>25704000.000000004</v>
      </c>
      <c r="H18" s="141"/>
    </row>
    <row r="19" spans="1:8" s="52" customFormat="1" ht="15" customHeight="1" x14ac:dyDescent="0.25">
      <c r="A19" s="99"/>
      <c r="B19" s="87" t="s">
        <v>29</v>
      </c>
      <c r="C19" s="88" t="s">
        <v>181</v>
      </c>
      <c r="D19" s="89" t="s">
        <v>31</v>
      </c>
      <c r="E19" s="90">
        <f>E20*1.2</f>
        <v>28.041600000000006</v>
      </c>
      <c r="F19" s="155">
        <f>+$K$11*Costo!F19</f>
        <v>84000.000000000015</v>
      </c>
      <c r="G19" s="153">
        <f t="shared" si="0"/>
        <v>2355494.4000000008</v>
      </c>
      <c r="H19" s="141"/>
    </row>
    <row r="20" spans="1:8" s="52" customFormat="1" ht="15.75" customHeight="1" x14ac:dyDescent="0.25">
      <c r="A20" s="99"/>
      <c r="B20" s="87" t="s">
        <v>45</v>
      </c>
      <c r="C20" s="88" t="s">
        <v>64</v>
      </c>
      <c r="D20" s="89" t="s">
        <v>31</v>
      </c>
      <c r="E20" s="90">
        <f>0.8*0.8*0.8*41+0.6*0.6*0.6*11</f>
        <v>23.368000000000006</v>
      </c>
      <c r="F20" s="155">
        <f>+$K$11*Costo!F20</f>
        <v>2225628.1600000001</v>
      </c>
      <c r="G20" s="153">
        <f t="shared" si="0"/>
        <v>52008478.842880018</v>
      </c>
      <c r="H20" s="141"/>
    </row>
    <row r="21" spans="1:8" s="55" customFormat="1" x14ac:dyDescent="0.25">
      <c r="A21" s="100"/>
      <c r="B21" s="87" t="s">
        <v>54</v>
      </c>
      <c r="C21" s="88" t="s">
        <v>65</v>
      </c>
      <c r="D21" s="89" t="s">
        <v>23</v>
      </c>
      <c r="E21" s="90">
        <v>400</v>
      </c>
      <c r="F21" s="155">
        <f>+$K$11*Costo!F21</f>
        <v>363281.64600000001</v>
      </c>
      <c r="G21" s="153">
        <f t="shared" si="0"/>
        <v>145312658.40000001</v>
      </c>
      <c r="H21" s="141"/>
    </row>
    <row r="22" spans="1:8" s="55" customFormat="1" ht="15.75" customHeight="1" x14ac:dyDescent="0.25">
      <c r="A22" s="100"/>
      <c r="B22" s="87" t="s">
        <v>55</v>
      </c>
      <c r="C22" s="88" t="s">
        <v>66</v>
      </c>
      <c r="D22" s="89" t="s">
        <v>23</v>
      </c>
      <c r="E22" s="90">
        <f>41*12</f>
        <v>492</v>
      </c>
      <c r="F22" s="155">
        <f>+$K$11*Costo!F22</f>
        <v>713472.16359999997</v>
      </c>
      <c r="G22" s="153">
        <f t="shared" si="0"/>
        <v>351028304.49119997</v>
      </c>
      <c r="H22" s="141"/>
    </row>
    <row r="23" spans="1:8" s="52" customFormat="1" x14ac:dyDescent="0.25">
      <c r="A23" s="99"/>
      <c r="B23" s="87" t="s">
        <v>56</v>
      </c>
      <c r="C23" s="88" t="s">
        <v>67</v>
      </c>
      <c r="D23" s="89" t="s">
        <v>23</v>
      </c>
      <c r="E23" s="90">
        <f>11*8</f>
        <v>88</v>
      </c>
      <c r="F23" s="155">
        <f>+$K$11*Costo!F23</f>
        <v>422414.76900000003</v>
      </c>
      <c r="G23" s="153">
        <f t="shared" si="0"/>
        <v>37172499.672000006</v>
      </c>
      <c r="H23" s="141"/>
    </row>
    <row r="24" spans="1:8" s="56" customFormat="1" ht="15.75" customHeight="1" x14ac:dyDescent="0.25">
      <c r="A24" s="98"/>
      <c r="B24" s="87" t="s">
        <v>73</v>
      </c>
      <c r="C24" s="88" t="s">
        <v>69</v>
      </c>
      <c r="D24" s="89" t="s">
        <v>23</v>
      </c>
      <c r="E24" s="90">
        <f>505</f>
        <v>505</v>
      </c>
      <c r="F24" s="155">
        <f>+$K$11*Costo!F24</f>
        <v>360312.83680000005</v>
      </c>
      <c r="G24" s="153">
        <f t="shared" si="0"/>
        <v>181957982.58400002</v>
      </c>
      <c r="H24" s="141"/>
    </row>
    <row r="25" spans="1:8" s="52" customFormat="1" ht="15.75" customHeight="1" x14ac:dyDescent="0.25">
      <c r="A25" s="99"/>
      <c r="B25" s="87" t="s">
        <v>74</v>
      </c>
      <c r="C25" s="88" t="s">
        <v>38</v>
      </c>
      <c r="D25" s="89" t="s">
        <v>10</v>
      </c>
      <c r="E25" s="90">
        <v>41</v>
      </c>
      <c r="F25" s="155">
        <f>+$K$11*Costo!F25</f>
        <v>531800.89200000011</v>
      </c>
      <c r="G25" s="153">
        <f t="shared" si="0"/>
        <v>21803836.572000004</v>
      </c>
      <c r="H25" s="141"/>
    </row>
    <row r="26" spans="1:8" s="52" customFormat="1" ht="15.75" customHeight="1" x14ac:dyDescent="0.25">
      <c r="A26" s="99"/>
      <c r="B26" s="87" t="s">
        <v>75</v>
      </c>
      <c r="C26" s="88" t="s">
        <v>108</v>
      </c>
      <c r="D26" s="89" t="s">
        <v>10</v>
      </c>
      <c r="E26" s="90">
        <v>5</v>
      </c>
      <c r="F26" s="155">
        <f>+$K$11*Costo!F26</f>
        <v>8774913.8260000013</v>
      </c>
      <c r="G26" s="153">
        <f t="shared" si="0"/>
        <v>43874569.13000001</v>
      </c>
      <c r="H26" s="141"/>
    </row>
    <row r="27" spans="1:8" s="52" customFormat="1" ht="15.75" customHeight="1" x14ac:dyDescent="0.25">
      <c r="B27" s="93"/>
      <c r="C27" s="94"/>
      <c r="D27" s="95"/>
      <c r="E27" s="96"/>
      <c r="F27" s="69">
        <f>+$K$11*Costo!F27</f>
        <v>0</v>
      </c>
      <c r="G27" s="97">
        <f t="shared" si="0"/>
        <v>0</v>
      </c>
      <c r="H27" s="74">
        <f>SUM(G13:G26)</f>
        <v>1346421105.9442065</v>
      </c>
    </row>
    <row r="28" spans="1:8" s="55" customFormat="1" ht="15.75" customHeight="1" x14ac:dyDescent="0.25">
      <c r="B28" s="71">
        <v>4</v>
      </c>
      <c r="C28" s="72" t="s">
        <v>33</v>
      </c>
      <c r="D28" s="71"/>
      <c r="E28" s="75"/>
      <c r="F28" s="69">
        <f>+$K$11*Costo!F28</f>
        <v>0</v>
      </c>
      <c r="G28" s="73">
        <f t="shared" si="0"/>
        <v>0</v>
      </c>
      <c r="H28" s="140"/>
    </row>
    <row r="29" spans="1:8" s="55" customFormat="1" ht="75" x14ac:dyDescent="0.25">
      <c r="A29" s="100"/>
      <c r="B29" s="81" t="s">
        <v>12</v>
      </c>
      <c r="C29" s="82" t="s">
        <v>76</v>
      </c>
      <c r="D29" s="83" t="s">
        <v>24</v>
      </c>
      <c r="E29" s="84">
        <v>2150</v>
      </c>
      <c r="F29" s="163">
        <f>+$K$11*Costo!F29</f>
        <v>263200</v>
      </c>
      <c r="G29" s="86">
        <f t="shared" si="0"/>
        <v>565880000</v>
      </c>
      <c r="H29" s="141"/>
    </row>
    <row r="30" spans="1:8" s="55" customFormat="1" ht="75" x14ac:dyDescent="0.25">
      <c r="A30" s="100"/>
      <c r="B30" s="87" t="s">
        <v>41</v>
      </c>
      <c r="C30" s="88" t="s">
        <v>77</v>
      </c>
      <c r="D30" s="89" t="s">
        <v>24</v>
      </c>
      <c r="E30" s="90">
        <v>325</v>
      </c>
      <c r="F30" s="163">
        <f>+$K$11*Costo!F30</f>
        <v>263200</v>
      </c>
      <c r="G30" s="92">
        <f t="shared" si="0"/>
        <v>85540000</v>
      </c>
      <c r="H30" s="141"/>
    </row>
    <row r="31" spans="1:8" s="55" customFormat="1" ht="30" x14ac:dyDescent="0.25">
      <c r="A31" s="100"/>
      <c r="B31" s="87" t="s">
        <v>78</v>
      </c>
      <c r="C31" s="88" t="s">
        <v>92</v>
      </c>
      <c r="D31" s="89" t="s">
        <v>24</v>
      </c>
      <c r="E31" s="90">
        <f>85.5</f>
        <v>85.5</v>
      </c>
      <c r="F31" s="163">
        <f>+$K$11*Costo!F31</f>
        <v>162400.00000000003</v>
      </c>
      <c r="G31" s="92">
        <f t="shared" si="0"/>
        <v>13885200.000000002</v>
      </c>
      <c r="H31" s="141"/>
    </row>
    <row r="32" spans="1:8" s="55" customFormat="1" ht="45" x14ac:dyDescent="0.25">
      <c r="A32" s="100"/>
      <c r="B32" s="87" t="s">
        <v>79</v>
      </c>
      <c r="C32" s="88" t="s">
        <v>90</v>
      </c>
      <c r="D32" s="89" t="s">
        <v>24</v>
      </c>
      <c r="E32" s="90">
        <v>8.5</v>
      </c>
      <c r="F32" s="163">
        <f>+$K$11*Costo!F32</f>
        <v>207200.00000000003</v>
      </c>
      <c r="G32" s="92">
        <f t="shared" si="0"/>
        <v>1761200.0000000002</v>
      </c>
      <c r="H32" s="141"/>
    </row>
    <row r="33" spans="1:8" s="55" customFormat="1" ht="45" x14ac:dyDescent="0.25">
      <c r="A33" s="100"/>
      <c r="B33" s="87" t="s">
        <v>91</v>
      </c>
      <c r="C33" s="88" t="s">
        <v>59</v>
      </c>
      <c r="D33" s="89" t="s">
        <v>10</v>
      </c>
      <c r="E33" s="139">
        <v>51</v>
      </c>
      <c r="F33" s="163">
        <f>+$K$11*Costo!F33</f>
        <v>212800.00000000003</v>
      </c>
      <c r="G33" s="92">
        <f t="shared" si="0"/>
        <v>10852800.000000002</v>
      </c>
      <c r="H33" s="142"/>
    </row>
    <row r="34" spans="1:8" s="55" customFormat="1" ht="15.75" x14ac:dyDescent="0.25">
      <c r="B34" s="93"/>
      <c r="C34" s="94"/>
      <c r="D34" s="95"/>
      <c r="E34" s="96"/>
      <c r="F34" s="163">
        <f>+$K$11*Costo!F34</f>
        <v>0</v>
      </c>
      <c r="G34" s="97">
        <f t="shared" si="0"/>
        <v>0</v>
      </c>
      <c r="H34" s="74">
        <f>SUM(G29:G33)</f>
        <v>677919200</v>
      </c>
    </row>
    <row r="35" spans="1:8" s="52" customFormat="1" ht="15.75" customHeight="1" x14ac:dyDescent="0.25">
      <c r="B35" s="71">
        <v>5</v>
      </c>
      <c r="C35" s="72" t="s">
        <v>25</v>
      </c>
      <c r="D35" s="71"/>
      <c r="E35" s="75"/>
      <c r="F35" s="163">
        <f>+$K$11*Costo!F35</f>
        <v>0</v>
      </c>
      <c r="G35" s="73">
        <f t="shared" si="0"/>
        <v>0</v>
      </c>
      <c r="H35" s="140"/>
    </row>
    <row r="36" spans="1:8" s="52" customFormat="1" ht="15.75" customHeight="1" x14ac:dyDescent="0.25">
      <c r="A36" s="99"/>
      <c r="B36" s="81" t="s">
        <v>13</v>
      </c>
      <c r="C36" s="82" t="s">
        <v>84</v>
      </c>
      <c r="D36" s="83" t="s">
        <v>24</v>
      </c>
      <c r="E36" s="84">
        <f>115+30*2.8+28.6</f>
        <v>227.6</v>
      </c>
      <c r="F36" s="163">
        <f>+$K$11*Costo!F36</f>
        <v>75531.90400000001</v>
      </c>
      <c r="G36" s="86">
        <f t="shared" si="0"/>
        <v>17191061.350400001</v>
      </c>
      <c r="H36" s="141"/>
    </row>
    <row r="37" spans="1:8" s="52" customFormat="1" ht="15.75" customHeight="1" x14ac:dyDescent="0.25">
      <c r="A37" s="99"/>
      <c r="B37" s="87" t="s">
        <v>14</v>
      </c>
      <c r="C37" s="88" t="s">
        <v>80</v>
      </c>
      <c r="D37" s="89" t="s">
        <v>24</v>
      </c>
      <c r="E37" s="90">
        <v>445</v>
      </c>
      <c r="F37" s="163">
        <f>+$K$11*Costo!F37</f>
        <v>102831.68000000001</v>
      </c>
      <c r="G37" s="92">
        <f t="shared" si="0"/>
        <v>45760097.600000001</v>
      </c>
      <c r="H37" s="141"/>
    </row>
    <row r="38" spans="1:8" s="52" customFormat="1" x14ac:dyDescent="0.25">
      <c r="A38" s="99"/>
      <c r="B38" s="87" t="s">
        <v>21</v>
      </c>
      <c r="C38" s="88" t="s">
        <v>94</v>
      </c>
      <c r="D38" s="89" t="s">
        <v>24</v>
      </c>
      <c r="E38" s="90">
        <f>900</f>
        <v>900</v>
      </c>
      <c r="F38" s="163">
        <f>+$K$11*Costo!F38</f>
        <v>151887.68000000002</v>
      </c>
      <c r="G38" s="92">
        <f t="shared" si="0"/>
        <v>136698912.00000003</v>
      </c>
      <c r="H38" s="141"/>
    </row>
    <row r="39" spans="1:8" s="52" customFormat="1" x14ac:dyDescent="0.25">
      <c r="A39" s="99"/>
      <c r="B39" s="87" t="s">
        <v>22</v>
      </c>
      <c r="C39" s="88" t="s">
        <v>185</v>
      </c>
      <c r="D39" s="89" t="s">
        <v>24</v>
      </c>
      <c r="E39" s="90">
        <f>115*2.6</f>
        <v>299</v>
      </c>
      <c r="F39" s="163">
        <f>+$K$11*Costo!F39</f>
        <v>181761.44000000003</v>
      </c>
      <c r="G39" s="92">
        <f t="shared" si="0"/>
        <v>54346670.56000001</v>
      </c>
      <c r="H39" s="141"/>
    </row>
    <row r="40" spans="1:8" s="52" customFormat="1" ht="15.75" customHeight="1" x14ac:dyDescent="0.25">
      <c r="A40" s="99"/>
      <c r="B40" s="87" t="s">
        <v>34</v>
      </c>
      <c r="C40" s="88" t="s">
        <v>81</v>
      </c>
      <c r="D40" s="89" t="s">
        <v>24</v>
      </c>
      <c r="E40" s="90">
        <f>E37+E36*2+E38-115*2.6</f>
        <v>1501.2</v>
      </c>
      <c r="F40" s="163">
        <f>+$K$11*Costo!F40</f>
        <v>33174.400000000001</v>
      </c>
      <c r="G40" s="92">
        <f t="shared" si="0"/>
        <v>49801409.280000001</v>
      </c>
      <c r="H40" s="141"/>
    </row>
    <row r="41" spans="1:8" s="55" customFormat="1" ht="15.75" customHeight="1" x14ac:dyDescent="0.25">
      <c r="A41" s="100"/>
      <c r="B41" s="87" t="s">
        <v>35</v>
      </c>
      <c r="C41" s="88" t="s">
        <v>85</v>
      </c>
      <c r="D41" s="89" t="s">
        <v>24</v>
      </c>
      <c r="E41" s="90">
        <f>E37+E39</f>
        <v>744</v>
      </c>
      <c r="F41" s="163">
        <f>+$K$11*Costo!F41</f>
        <v>57825.624640000002</v>
      </c>
      <c r="G41" s="92">
        <f t="shared" si="0"/>
        <v>43022264.732160002</v>
      </c>
      <c r="H41" s="141"/>
    </row>
    <row r="42" spans="1:8" s="52" customFormat="1" ht="15.75" customHeight="1" x14ac:dyDescent="0.25">
      <c r="A42" s="99"/>
      <c r="B42" s="87" t="s">
        <v>42</v>
      </c>
      <c r="C42" s="88" t="s">
        <v>26</v>
      </c>
      <c r="D42" s="89" t="s">
        <v>23</v>
      </c>
      <c r="E42" s="90">
        <f>(E37+E36+E38)*1.5</f>
        <v>2358.8999999999996</v>
      </c>
      <c r="F42" s="163">
        <f>+$K$11*Costo!F42</f>
        <v>18886.6944</v>
      </c>
      <c r="G42" s="92">
        <f t="shared" si="0"/>
        <v>44551823.420159996</v>
      </c>
      <c r="H42" s="141"/>
    </row>
    <row r="43" spans="1:8" s="55" customFormat="1" ht="15.75" customHeight="1" x14ac:dyDescent="0.25">
      <c r="A43" s="100"/>
      <c r="B43" s="87" t="s">
        <v>58</v>
      </c>
      <c r="C43" s="88" t="s">
        <v>115</v>
      </c>
      <c r="D43" s="89" t="s">
        <v>24</v>
      </c>
      <c r="E43" s="90">
        <v>125</v>
      </c>
      <c r="F43" s="163">
        <f>+$K$11*Costo!F43</f>
        <v>31449.600000000002</v>
      </c>
      <c r="G43" s="92">
        <f t="shared" si="0"/>
        <v>3931200.0000000005</v>
      </c>
      <c r="H43" s="141"/>
    </row>
    <row r="44" spans="1:8" s="55" customFormat="1" ht="15.75" customHeight="1" x14ac:dyDescent="0.25">
      <c r="A44" s="100"/>
      <c r="B44" s="87" t="s">
        <v>183</v>
      </c>
      <c r="C44" s="88" t="s">
        <v>82</v>
      </c>
      <c r="D44" s="89" t="s">
        <v>24</v>
      </c>
      <c r="E44" s="90">
        <f>46.5+14.88*1.01</f>
        <v>61.528800000000004</v>
      </c>
      <c r="F44" s="163">
        <f>+$K$11*Costo!F44</f>
        <v>31449.600000000002</v>
      </c>
      <c r="G44" s="92">
        <f t="shared" si="0"/>
        <v>1935056.1484800002</v>
      </c>
      <c r="H44" s="141"/>
    </row>
    <row r="45" spans="1:8" s="55" customFormat="1" ht="15.75" customHeight="1" x14ac:dyDescent="0.25">
      <c r="A45" s="100"/>
      <c r="B45" s="87" t="s">
        <v>184</v>
      </c>
      <c r="C45" s="88" t="s">
        <v>83</v>
      </c>
      <c r="D45" s="89" t="s">
        <v>24</v>
      </c>
      <c r="E45" s="90">
        <f>E44</f>
        <v>61.528800000000004</v>
      </c>
      <c r="F45" s="163">
        <f>+$K$11*Costo!F45</f>
        <v>21810.904640000004</v>
      </c>
      <c r="G45" s="92">
        <f t="shared" si="0"/>
        <v>1341998.7894136324</v>
      </c>
      <c r="H45" s="141"/>
    </row>
    <row r="46" spans="1:8" s="55" customFormat="1" ht="15.75" customHeight="1" x14ac:dyDescent="0.25">
      <c r="B46" s="93"/>
      <c r="C46" s="94"/>
      <c r="D46" s="95"/>
      <c r="E46" s="96"/>
      <c r="F46" s="163">
        <f>+$K$11*Costo!F46</f>
        <v>0</v>
      </c>
      <c r="G46" s="97">
        <f t="shared" si="0"/>
        <v>0</v>
      </c>
      <c r="H46" s="74">
        <f>SUM(G36:G45)</f>
        <v>398580493.88061363</v>
      </c>
    </row>
    <row r="47" spans="1:8" s="52" customFormat="1" ht="15.75" customHeight="1" x14ac:dyDescent="0.25">
      <c r="B47" s="71">
        <v>6</v>
      </c>
      <c r="C47" s="72" t="s">
        <v>86</v>
      </c>
      <c r="D47" s="71"/>
      <c r="E47" s="75"/>
      <c r="F47" s="163">
        <f>+$K$11*Costo!F47</f>
        <v>0</v>
      </c>
      <c r="G47" s="73">
        <f t="shared" si="0"/>
        <v>0</v>
      </c>
      <c r="H47" s="140"/>
    </row>
    <row r="48" spans="1:8" s="55" customFormat="1" ht="15.75" customHeight="1" x14ac:dyDescent="0.25">
      <c r="A48" s="100"/>
      <c r="B48" s="81" t="s">
        <v>15</v>
      </c>
      <c r="C48" s="82" t="s">
        <v>87</v>
      </c>
      <c r="D48" s="83" t="s">
        <v>23</v>
      </c>
      <c r="E48" s="156">
        <v>47.6</v>
      </c>
      <c r="F48" s="163">
        <f>+$K$11*Costo!F48</f>
        <v>20215.006000000001</v>
      </c>
      <c r="G48" s="152">
        <f t="shared" si="0"/>
        <v>962234.28560000006</v>
      </c>
      <c r="H48" s="141"/>
    </row>
    <row r="49" spans="1:8" s="55" customFormat="1" ht="15.75" customHeight="1" x14ac:dyDescent="0.25">
      <c r="A49" s="100"/>
      <c r="B49" s="87" t="s">
        <v>43</v>
      </c>
      <c r="C49" s="88" t="s">
        <v>88</v>
      </c>
      <c r="D49" s="89" t="s">
        <v>23</v>
      </c>
      <c r="E49" s="157">
        <f>285+115</f>
        <v>400</v>
      </c>
      <c r="F49" s="163">
        <f>+$K$11*Costo!F49</f>
        <v>28703.612000000001</v>
      </c>
      <c r="G49" s="153">
        <f t="shared" si="0"/>
        <v>11481444.800000001</v>
      </c>
      <c r="H49" s="141"/>
    </row>
    <row r="50" spans="1:8" s="55" customFormat="1" ht="15.75" customHeight="1" x14ac:dyDescent="0.25">
      <c r="A50" s="100"/>
      <c r="B50" s="87" t="s">
        <v>30</v>
      </c>
      <c r="C50" s="88" t="s">
        <v>89</v>
      </c>
      <c r="D50" s="89" t="s">
        <v>24</v>
      </c>
      <c r="E50" s="157">
        <f>30*3*1.1</f>
        <v>99.000000000000014</v>
      </c>
      <c r="F50" s="163">
        <f>+$K$11*Costo!F50</f>
        <v>52192.000000000007</v>
      </c>
      <c r="G50" s="153">
        <f t="shared" si="0"/>
        <v>5167008.0000000019</v>
      </c>
      <c r="H50" s="141"/>
    </row>
    <row r="51" spans="1:8" s="55" customFormat="1" ht="15.75" customHeight="1" x14ac:dyDescent="0.25">
      <c r="A51" s="100"/>
      <c r="B51" s="87" t="s">
        <v>44</v>
      </c>
      <c r="C51" s="88" t="s">
        <v>118</v>
      </c>
      <c r="D51" s="89" t="s">
        <v>24</v>
      </c>
      <c r="E51" s="157">
        <v>10.5</v>
      </c>
      <c r="F51" s="163">
        <f>+$K$11*Costo!F51</f>
        <v>75017.936000000016</v>
      </c>
      <c r="G51" s="153">
        <f t="shared" si="0"/>
        <v>787688.32800000021</v>
      </c>
      <c r="H51" s="141"/>
    </row>
    <row r="52" spans="1:8" s="55" customFormat="1" ht="15.75" x14ac:dyDescent="0.25">
      <c r="B52" s="93"/>
      <c r="C52" s="94"/>
      <c r="D52" s="95"/>
      <c r="E52" s="158"/>
      <c r="F52" s="163">
        <f>+$K$11*Costo!F52</f>
        <v>0</v>
      </c>
      <c r="G52" s="160">
        <f t="shared" si="0"/>
        <v>0</v>
      </c>
      <c r="H52" s="74">
        <f>SUM(G49:G51)</f>
        <v>17436141.128000002</v>
      </c>
    </row>
    <row r="53" spans="1:8" s="52" customFormat="1" ht="15.75" customHeight="1" x14ac:dyDescent="0.25">
      <c r="B53" s="71">
        <v>7</v>
      </c>
      <c r="C53" s="72" t="s">
        <v>101</v>
      </c>
      <c r="D53" s="71"/>
      <c r="E53" s="159"/>
      <c r="F53" s="162">
        <f>+$K$11*Costo!F53</f>
        <v>0</v>
      </c>
      <c r="G53" s="161">
        <f t="shared" si="0"/>
        <v>0</v>
      </c>
      <c r="H53" s="140"/>
    </row>
    <row r="54" spans="1:8" s="55" customFormat="1" ht="15.75" customHeight="1" x14ac:dyDescent="0.25">
      <c r="A54" s="100"/>
      <c r="B54" s="81" t="s">
        <v>16</v>
      </c>
      <c r="C54" s="88" t="s">
        <v>102</v>
      </c>
      <c r="D54" s="89" t="s">
        <v>24</v>
      </c>
      <c r="E54" s="157">
        <v>2021</v>
      </c>
      <c r="F54" s="163">
        <f>+$K$11*Costo!F54</f>
        <v>187371.74400000004</v>
      </c>
      <c r="G54" s="152">
        <f t="shared" si="0"/>
        <v>378678294.62400007</v>
      </c>
      <c r="H54" s="141"/>
    </row>
    <row r="55" spans="1:8" s="55" customFormat="1" ht="30" x14ac:dyDescent="0.25">
      <c r="A55" s="100"/>
      <c r="B55" s="87" t="s">
        <v>46</v>
      </c>
      <c r="C55" s="88" t="s">
        <v>103</v>
      </c>
      <c r="D55" s="89" t="s">
        <v>24</v>
      </c>
      <c r="E55" s="157">
        <v>265</v>
      </c>
      <c r="F55" s="163">
        <f>+$K$11*Costo!F55</f>
        <v>187371.74400000004</v>
      </c>
      <c r="G55" s="153">
        <f t="shared" si="0"/>
        <v>49653512.160000011</v>
      </c>
      <c r="H55" s="141"/>
    </row>
    <row r="56" spans="1:8" s="55" customFormat="1" ht="15.75" customHeight="1" x14ac:dyDescent="0.25">
      <c r="A56" s="100"/>
      <c r="B56" s="87" t="s">
        <v>48</v>
      </c>
      <c r="C56" s="88" t="s">
        <v>104</v>
      </c>
      <c r="D56" s="89" t="s">
        <v>24</v>
      </c>
      <c r="E56" s="157">
        <f>E45</f>
        <v>61.528800000000004</v>
      </c>
      <c r="F56" s="163">
        <f>+$K$11*Costo!F56</f>
        <v>98969.668000000005</v>
      </c>
      <c r="G56" s="153">
        <f t="shared" si="0"/>
        <v>6089484.9084384004</v>
      </c>
      <c r="H56" s="141"/>
    </row>
    <row r="57" spans="1:8" s="55" customFormat="1" ht="15.75" customHeight="1" x14ac:dyDescent="0.25">
      <c r="A57" s="100"/>
      <c r="B57" s="87" t="s">
        <v>49</v>
      </c>
      <c r="C57" s="88" t="s">
        <v>105</v>
      </c>
      <c r="D57" s="89" t="s">
        <v>23</v>
      </c>
      <c r="E57" s="157">
        <v>47.85</v>
      </c>
      <c r="F57" s="163">
        <f>+$K$11*Costo!F57</f>
        <v>20648.966800000002</v>
      </c>
      <c r="G57" s="153">
        <f t="shared" si="0"/>
        <v>988053.06138000009</v>
      </c>
      <c r="H57" s="141"/>
    </row>
    <row r="58" spans="1:8" s="55" customFormat="1" ht="15.75" customHeight="1" x14ac:dyDescent="0.25">
      <c r="A58" s="100"/>
      <c r="B58" s="87" t="s">
        <v>50</v>
      </c>
      <c r="C58" s="88" t="s">
        <v>106</v>
      </c>
      <c r="D58" s="89" t="s">
        <v>24</v>
      </c>
      <c r="E58" s="157">
        <f>21.42*2.1</f>
        <v>44.982000000000006</v>
      </c>
      <c r="F58" s="163">
        <f>+$K$11*Costo!F58</f>
        <v>100089.66800000001</v>
      </c>
      <c r="G58" s="153">
        <f t="shared" si="0"/>
        <v>4502233.4459760012</v>
      </c>
      <c r="H58" s="141"/>
    </row>
    <row r="59" spans="1:8" s="55" customFormat="1" ht="30" x14ac:dyDescent="0.25">
      <c r="A59" s="100"/>
      <c r="B59" s="87" t="s">
        <v>111</v>
      </c>
      <c r="C59" s="88" t="s">
        <v>114</v>
      </c>
      <c r="D59" s="89" t="s">
        <v>24</v>
      </c>
      <c r="E59" s="157">
        <f>303-48</f>
        <v>255</v>
      </c>
      <c r="F59" s="163">
        <f>+$K$11*Costo!F59</f>
        <v>187371.74400000004</v>
      </c>
      <c r="G59" s="153">
        <f t="shared" si="0"/>
        <v>47779794.720000006</v>
      </c>
      <c r="H59" s="141"/>
    </row>
    <row r="60" spans="1:8" s="55" customFormat="1" ht="15.75" customHeight="1" x14ac:dyDescent="0.25">
      <c r="A60" s="100"/>
      <c r="B60" s="87" t="s">
        <v>113</v>
      </c>
      <c r="C60" s="88" t="s">
        <v>116</v>
      </c>
      <c r="D60" s="89" t="s">
        <v>24</v>
      </c>
      <c r="E60" s="157">
        <f>E43+49</f>
        <v>174</v>
      </c>
      <c r="F60" s="163">
        <f>+$K$11*Costo!F60</f>
        <v>132132.00000000003</v>
      </c>
      <c r="G60" s="153">
        <f t="shared" si="0"/>
        <v>22990968.000000004</v>
      </c>
      <c r="H60" s="141"/>
    </row>
    <row r="61" spans="1:8" s="55" customFormat="1" ht="15.75" customHeight="1" x14ac:dyDescent="0.25">
      <c r="A61" s="100"/>
      <c r="B61" s="87" t="s">
        <v>117</v>
      </c>
      <c r="C61" s="88" t="s">
        <v>112</v>
      </c>
      <c r="D61" s="89" t="s">
        <v>24</v>
      </c>
      <c r="E61" s="157">
        <v>731</v>
      </c>
      <c r="F61" s="163">
        <f>+$K$11*Costo!F61</f>
        <v>58576.000000000007</v>
      </c>
      <c r="G61" s="153">
        <f t="shared" si="0"/>
        <v>42819056.000000007</v>
      </c>
      <c r="H61" s="141"/>
    </row>
    <row r="62" spans="1:8" s="55" customFormat="1" ht="15.75" x14ac:dyDescent="0.25">
      <c r="B62" s="93"/>
      <c r="C62" s="94"/>
      <c r="D62" s="95"/>
      <c r="E62" s="158"/>
      <c r="F62" s="164">
        <f>+$K$11*Costo!F62</f>
        <v>0</v>
      </c>
      <c r="G62" s="160">
        <f t="shared" si="0"/>
        <v>0</v>
      </c>
      <c r="H62" s="74">
        <f>SUM(G55:G61)</f>
        <v>174823102.29579443</v>
      </c>
    </row>
    <row r="63" spans="1:8" s="52" customFormat="1" ht="15.75" customHeight="1" x14ac:dyDescent="0.25">
      <c r="B63" s="71">
        <v>8</v>
      </c>
      <c r="C63" s="72" t="s">
        <v>57</v>
      </c>
      <c r="D63" s="71"/>
      <c r="E63" s="159"/>
      <c r="F63" s="165">
        <f>+$K$11*Costo!F63</f>
        <v>0</v>
      </c>
      <c r="G63" s="161">
        <f t="shared" si="0"/>
        <v>0</v>
      </c>
      <c r="H63" s="140"/>
    </row>
    <row r="64" spans="1:8" s="55" customFormat="1" ht="15.75" customHeight="1" x14ac:dyDescent="0.25">
      <c r="A64" s="100"/>
      <c r="B64" s="81" t="s">
        <v>36</v>
      </c>
      <c r="C64" s="82" t="s">
        <v>179</v>
      </c>
      <c r="D64" s="83" t="s">
        <v>24</v>
      </c>
      <c r="E64" s="156">
        <f>E40</f>
        <v>1501.2</v>
      </c>
      <c r="F64" s="166">
        <f>+$K$11*Costo!F64</f>
        <v>24640.000000000004</v>
      </c>
      <c r="G64" s="152">
        <f t="shared" si="0"/>
        <v>36989568.000000007</v>
      </c>
      <c r="H64" s="141"/>
    </row>
    <row r="65" spans="1:8" s="55" customFormat="1" ht="15.75" customHeight="1" x14ac:dyDescent="0.25">
      <c r="A65" s="100"/>
      <c r="B65" s="87" t="s">
        <v>51</v>
      </c>
      <c r="C65" s="88" t="s">
        <v>180</v>
      </c>
      <c r="D65" s="89" t="s">
        <v>24</v>
      </c>
      <c r="E65" s="157">
        <f>E41</f>
        <v>744</v>
      </c>
      <c r="F65" s="163">
        <f>+$K$11*Costo!F65</f>
        <v>28000.000000000004</v>
      </c>
      <c r="G65" s="153">
        <f t="shared" si="0"/>
        <v>20832000.000000004</v>
      </c>
      <c r="H65" s="141"/>
    </row>
    <row r="66" spans="1:8" s="55" customFormat="1" ht="15.75" customHeight="1" x14ac:dyDescent="0.25">
      <c r="A66" s="100"/>
      <c r="B66" s="87" t="s">
        <v>52</v>
      </c>
      <c r="C66" s="88" t="s">
        <v>93</v>
      </c>
      <c r="D66" s="89" t="s">
        <v>24</v>
      </c>
      <c r="E66" s="157">
        <f>0.8*2.1*2*1+0.9*2.1*2*9+2.6*6*2*7+2.5*6+2.1*2+22.8*2.5*2+14.9*2.6*2+3.15*2+0.35*35*2+0.2*25*2+1.45*0.2*2+4.5*1.2*2</f>
        <v>518.64</v>
      </c>
      <c r="F66" s="163">
        <f>+$K$11*Costo!F66</f>
        <v>17920</v>
      </c>
      <c r="G66" s="153">
        <f t="shared" si="0"/>
        <v>9294028.7999999989</v>
      </c>
      <c r="H66" s="141"/>
    </row>
    <row r="67" spans="1:8" s="55" customFormat="1" ht="15.75" customHeight="1" x14ac:dyDescent="0.25">
      <c r="A67" s="100"/>
      <c r="B67" s="87" t="s">
        <v>53</v>
      </c>
      <c r="C67" s="88" t="s">
        <v>186</v>
      </c>
      <c r="D67" s="89" t="s">
        <v>24</v>
      </c>
      <c r="E67" s="157">
        <f>E38*2</f>
        <v>1800</v>
      </c>
      <c r="F67" s="163">
        <f>+$K$11*Costo!F67</f>
        <v>20160.000000000004</v>
      </c>
      <c r="G67" s="153">
        <f t="shared" si="0"/>
        <v>36288000.000000007</v>
      </c>
      <c r="H67" s="141"/>
    </row>
    <row r="68" spans="1:8" s="55" customFormat="1" ht="15.75" customHeight="1" x14ac:dyDescent="0.25">
      <c r="B68" s="93"/>
      <c r="C68" s="94"/>
      <c r="D68" s="95"/>
      <c r="E68" s="158"/>
      <c r="F68" s="162"/>
      <c r="G68" s="160">
        <f t="shared" si="0"/>
        <v>0</v>
      </c>
      <c r="H68" s="74">
        <f>SUM(G64:G67)</f>
        <v>103403596.80000001</v>
      </c>
    </row>
    <row r="69" spans="1:8" s="52" customFormat="1" ht="15.75" customHeight="1" thickBot="1" x14ac:dyDescent="0.3">
      <c r="B69" s="57"/>
      <c r="C69" s="58"/>
      <c r="D69" s="57"/>
      <c r="E69" s="59"/>
      <c r="F69" s="60"/>
      <c r="G69" s="61"/>
      <c r="H69" s="62"/>
    </row>
    <row r="70" spans="1:8" s="52" customFormat="1" ht="15.75" x14ac:dyDescent="0.25">
      <c r="B70" s="16"/>
      <c r="C70" s="17"/>
      <c r="D70" s="18"/>
      <c r="E70" s="19"/>
      <c r="F70" s="41"/>
      <c r="G70" s="17"/>
      <c r="H70" s="44"/>
    </row>
    <row r="71" spans="1:8" s="52" customFormat="1" ht="18" x14ac:dyDescent="0.25">
      <c r="B71" s="20"/>
      <c r="C71" s="29" t="s">
        <v>7</v>
      </c>
      <c r="D71" s="30"/>
      <c r="E71" s="30"/>
      <c r="F71" s="31"/>
      <c r="G71" s="32" t="s">
        <v>6</v>
      </c>
      <c r="H71" s="45">
        <f>SUM(H11:H69)</f>
        <v>2718583640.0486145</v>
      </c>
    </row>
    <row r="72" spans="1:8" s="52" customFormat="1" ht="16.5" thickBot="1" x14ac:dyDescent="0.25">
      <c r="B72" s="21"/>
      <c r="C72" s="22" t="s">
        <v>6</v>
      </c>
      <c r="D72" s="23"/>
      <c r="E72" s="24"/>
      <c r="F72" s="25"/>
      <c r="G72" s="26" t="s">
        <v>6</v>
      </c>
      <c r="H72" s="46" t="s">
        <v>6</v>
      </c>
    </row>
    <row r="73" spans="1:8" s="52" customFormat="1" x14ac:dyDescent="0.25">
      <c r="B73"/>
      <c r="C73"/>
      <c r="D73"/>
      <c r="E73"/>
      <c r="F73"/>
      <c r="G73"/>
      <c r="H73"/>
    </row>
    <row r="74" spans="1:8" s="52" customFormat="1" x14ac:dyDescent="0.25">
      <c r="B74"/>
      <c r="C74"/>
      <c r="D74"/>
      <c r="E74"/>
      <c r="F74"/>
      <c r="G74"/>
      <c r="H74"/>
    </row>
    <row r="75" spans="1:8" s="52" customFormat="1" ht="15" customHeight="1" x14ac:dyDescent="0.25">
      <c r="B75"/>
      <c r="C75"/>
      <c r="D75"/>
      <c r="E75"/>
      <c r="F75"/>
      <c r="G75"/>
      <c r="H75"/>
    </row>
    <row r="76" spans="1:8" s="52" customFormat="1" ht="7.5" customHeight="1" x14ac:dyDescent="0.25">
      <c r="B76"/>
      <c r="C76"/>
      <c r="D76"/>
      <c r="E76"/>
      <c r="F76"/>
      <c r="G76"/>
      <c r="H76"/>
    </row>
    <row r="77" spans="1:8" s="52" customFormat="1" x14ac:dyDescent="0.25">
      <c r="B77"/>
      <c r="C77"/>
      <c r="D77"/>
      <c r="E77"/>
      <c r="F77"/>
      <c r="G77"/>
      <c r="H77"/>
    </row>
    <row r="78" spans="1:8" s="55" customFormat="1" x14ac:dyDescent="0.25">
      <c r="B78"/>
      <c r="C78"/>
      <c r="D78"/>
      <c r="E78"/>
      <c r="F78"/>
      <c r="G78"/>
      <c r="H78"/>
    </row>
    <row r="79" spans="1:8" s="52" customFormat="1" x14ac:dyDescent="0.25">
      <c r="B79"/>
      <c r="C79"/>
      <c r="D79"/>
      <c r="E79"/>
      <c r="F79"/>
      <c r="G79"/>
      <c r="H79"/>
    </row>
    <row r="80" spans="1:8" s="52" customFormat="1" x14ac:dyDescent="0.25">
      <c r="B80"/>
      <c r="C80"/>
      <c r="D80"/>
      <c r="E80"/>
      <c r="F80"/>
      <c r="G80"/>
      <c r="H80"/>
    </row>
    <row r="81" spans="2:8" s="52" customFormat="1" x14ac:dyDescent="0.25">
      <c r="B81"/>
      <c r="C81"/>
      <c r="D81"/>
      <c r="E81"/>
      <c r="F81"/>
      <c r="G81"/>
      <c r="H81"/>
    </row>
    <row r="82" spans="2:8" s="52" customFormat="1" x14ac:dyDescent="0.25">
      <c r="B82"/>
      <c r="C82"/>
      <c r="D82"/>
      <c r="E82"/>
      <c r="F82"/>
      <c r="G82"/>
      <c r="H82"/>
    </row>
    <row r="83" spans="2:8" s="52" customFormat="1" x14ac:dyDescent="0.25">
      <c r="B83"/>
      <c r="C83"/>
      <c r="D83"/>
      <c r="E83"/>
      <c r="F83"/>
      <c r="G83"/>
      <c r="H83"/>
    </row>
    <row r="84" spans="2:8" s="52" customFormat="1" x14ac:dyDescent="0.25">
      <c r="B84"/>
      <c r="C84"/>
      <c r="D84"/>
      <c r="E84"/>
      <c r="F84"/>
      <c r="G84"/>
      <c r="H84"/>
    </row>
    <row r="85" spans="2:8" s="52" customFormat="1" x14ac:dyDescent="0.25">
      <c r="B85"/>
      <c r="C85"/>
      <c r="D85"/>
      <c r="E85"/>
      <c r="F85"/>
      <c r="G85"/>
      <c r="H85"/>
    </row>
    <row r="86" spans="2:8" s="55" customFormat="1" x14ac:dyDescent="0.25">
      <c r="B86"/>
      <c r="C86"/>
      <c r="D86"/>
      <c r="E86"/>
      <c r="F86"/>
      <c r="G86"/>
      <c r="H86"/>
    </row>
    <row r="87" spans="2:8" s="52" customFormat="1" x14ac:dyDescent="0.25">
      <c r="B87"/>
      <c r="C87"/>
      <c r="D87"/>
      <c r="E87"/>
      <c r="F87"/>
      <c r="G87"/>
      <c r="H87"/>
    </row>
    <row r="88" spans="2:8" s="52" customFormat="1" x14ac:dyDescent="0.25">
      <c r="B88"/>
      <c r="C88"/>
      <c r="D88"/>
      <c r="E88"/>
      <c r="F88"/>
      <c r="G88"/>
      <c r="H88"/>
    </row>
    <row r="89" spans="2:8" s="52" customFormat="1" x14ac:dyDescent="0.25">
      <c r="B89"/>
      <c r="C89"/>
      <c r="D89"/>
      <c r="E89"/>
      <c r="F89"/>
      <c r="G89"/>
      <c r="H89"/>
    </row>
    <row r="90" spans="2:8" s="55" customFormat="1" x14ac:dyDescent="0.25">
      <c r="B90"/>
      <c r="C90"/>
      <c r="D90"/>
      <c r="E90"/>
      <c r="F90"/>
      <c r="G90"/>
      <c r="H90"/>
    </row>
    <row r="91" spans="2:8" s="52" customFormat="1" x14ac:dyDescent="0.25">
      <c r="B91"/>
      <c r="C91"/>
      <c r="D91"/>
      <c r="E91"/>
      <c r="F91"/>
      <c r="G91"/>
      <c r="H91"/>
    </row>
    <row r="92" spans="2:8" s="52" customFormat="1" x14ac:dyDescent="0.25">
      <c r="B92"/>
      <c r="C92"/>
      <c r="D92"/>
      <c r="E92"/>
      <c r="F92"/>
      <c r="G92"/>
      <c r="H92"/>
    </row>
    <row r="93" spans="2:8" s="52" customFormat="1" x14ac:dyDescent="0.25">
      <c r="B93"/>
      <c r="C93"/>
      <c r="D93"/>
      <c r="E93"/>
      <c r="F93"/>
      <c r="G93"/>
      <c r="H93"/>
    </row>
    <row r="94" spans="2:8" s="52" customFormat="1" x14ac:dyDescent="0.25">
      <c r="B94"/>
      <c r="C94"/>
      <c r="D94"/>
      <c r="E94"/>
      <c r="F94"/>
      <c r="G94"/>
      <c r="H94"/>
    </row>
    <row r="95" spans="2:8" s="52" customFormat="1" x14ac:dyDescent="0.25">
      <c r="B95"/>
      <c r="C95"/>
      <c r="D95"/>
      <c r="E95"/>
      <c r="F95"/>
      <c r="G95"/>
      <c r="H95"/>
    </row>
    <row r="96" spans="2:8" s="55" customFormat="1" x14ac:dyDescent="0.25">
      <c r="B96"/>
      <c r="C96"/>
      <c r="D96"/>
      <c r="E96"/>
      <c r="F96"/>
      <c r="G96"/>
      <c r="H96"/>
    </row>
    <row r="97" spans="2:8" s="52" customFormat="1" x14ac:dyDescent="0.25">
      <c r="B97"/>
      <c r="C97"/>
      <c r="D97"/>
      <c r="E97"/>
      <c r="F97"/>
      <c r="G97"/>
      <c r="H97"/>
    </row>
    <row r="98" spans="2:8" s="55" customFormat="1" x14ac:dyDescent="0.25">
      <c r="B98"/>
      <c r="C98"/>
      <c r="D98"/>
      <c r="E98"/>
      <c r="F98"/>
      <c r="G98"/>
      <c r="H98"/>
    </row>
    <row r="99" spans="2:8" s="52" customFormat="1" x14ac:dyDescent="0.25">
      <c r="B99"/>
      <c r="C99"/>
      <c r="D99"/>
      <c r="E99"/>
      <c r="F99"/>
      <c r="G99"/>
      <c r="H99"/>
    </row>
    <row r="100" spans="2:8" s="55" customFormat="1" x14ac:dyDescent="0.25">
      <c r="B100"/>
      <c r="C100"/>
      <c r="D100"/>
      <c r="E100"/>
      <c r="F100"/>
      <c r="G100"/>
      <c r="H100"/>
    </row>
    <row r="101" spans="2:8" s="52" customFormat="1" x14ac:dyDescent="0.25">
      <c r="B101"/>
      <c r="C101"/>
      <c r="D101"/>
      <c r="E101"/>
      <c r="F101"/>
      <c r="G101"/>
      <c r="H101"/>
    </row>
    <row r="102" spans="2:8" s="52" customFormat="1" x14ac:dyDescent="0.25">
      <c r="B102"/>
      <c r="C102"/>
      <c r="D102"/>
      <c r="E102"/>
      <c r="F102"/>
      <c r="G102"/>
      <c r="H102"/>
    </row>
    <row r="103" spans="2:8" s="52" customFormat="1" ht="15" customHeight="1" x14ac:dyDescent="0.25">
      <c r="B103"/>
      <c r="C103"/>
      <c r="D103"/>
      <c r="E103"/>
      <c r="F103"/>
      <c r="G103"/>
      <c r="H103"/>
    </row>
    <row r="109" spans="2:8" s="1" customFormat="1" x14ac:dyDescent="0.25">
      <c r="B109"/>
      <c r="C109"/>
      <c r="D109"/>
      <c r="E109"/>
      <c r="F109"/>
      <c r="G109"/>
      <c r="H109"/>
    </row>
    <row r="110" spans="2:8" s="53" customFormat="1" ht="56.25" customHeight="1" x14ac:dyDescent="0.25">
      <c r="B110"/>
      <c r="C110"/>
      <c r="D110"/>
      <c r="E110"/>
      <c r="F110"/>
      <c r="G110"/>
      <c r="H110"/>
    </row>
    <row r="111" spans="2:8" s="1" customFormat="1" ht="37.5" customHeight="1" x14ac:dyDescent="0.25">
      <c r="B111"/>
      <c r="C111"/>
      <c r="D111"/>
      <c r="E111"/>
      <c r="F111"/>
      <c r="G111"/>
      <c r="H111"/>
    </row>
    <row r="112" spans="2:8" s="1" customFormat="1" x14ac:dyDescent="0.25">
      <c r="B112"/>
      <c r="C112"/>
      <c r="D112"/>
      <c r="E112"/>
      <c r="F112"/>
      <c r="G112"/>
      <c r="H112"/>
    </row>
    <row r="113" spans="2:8" s="1" customFormat="1" x14ac:dyDescent="0.25">
      <c r="B113"/>
      <c r="C113"/>
      <c r="D113"/>
      <c r="E113"/>
      <c r="F113"/>
      <c r="G113"/>
      <c r="H113"/>
    </row>
    <row r="114" spans="2:8" s="51" customFormat="1" x14ac:dyDescent="0.25">
      <c r="B114"/>
      <c r="C114"/>
      <c r="D114"/>
      <c r="E114"/>
      <c r="F114"/>
      <c r="G114"/>
      <c r="H114"/>
    </row>
    <row r="115" spans="2:8" s="51" customFormat="1" x14ac:dyDescent="0.25">
      <c r="B115"/>
      <c r="C115"/>
      <c r="D115"/>
      <c r="E115"/>
      <c r="F115"/>
      <c r="G115"/>
      <c r="H115"/>
    </row>
    <row r="116" spans="2:8" s="51" customFormat="1" x14ac:dyDescent="0.25">
      <c r="B116"/>
      <c r="C116"/>
      <c r="D116"/>
      <c r="E116"/>
      <c r="F116"/>
      <c r="G116"/>
      <c r="H116"/>
    </row>
    <row r="117" spans="2:8" s="51" customFormat="1" x14ac:dyDescent="0.25">
      <c r="B117"/>
      <c r="C117"/>
      <c r="D117"/>
      <c r="E117"/>
      <c r="F117"/>
      <c r="G117"/>
      <c r="H117"/>
    </row>
    <row r="118" spans="2:8" s="51" customFormat="1" x14ac:dyDescent="0.25">
      <c r="B118"/>
      <c r="C118"/>
      <c r="D118"/>
      <c r="E118"/>
      <c r="F118"/>
      <c r="G118"/>
      <c r="H118"/>
    </row>
    <row r="119" spans="2:8" s="51" customFormat="1" x14ac:dyDescent="0.25">
      <c r="B119"/>
      <c r="C119"/>
      <c r="D119"/>
      <c r="E119"/>
      <c r="F119"/>
      <c r="G119"/>
      <c r="H119"/>
    </row>
    <row r="120" spans="2:8" s="51" customFormat="1" x14ac:dyDescent="0.25">
      <c r="B120"/>
      <c r="C120"/>
      <c r="D120"/>
      <c r="E120"/>
      <c r="F120"/>
      <c r="G120"/>
      <c r="H120"/>
    </row>
    <row r="121" spans="2:8" s="51" customFormat="1" x14ac:dyDescent="0.25">
      <c r="B121"/>
      <c r="C121"/>
      <c r="D121"/>
      <c r="E121"/>
      <c r="F121"/>
      <c r="G121"/>
      <c r="H121"/>
    </row>
    <row r="122" spans="2:8" s="51" customFormat="1" x14ac:dyDescent="0.25">
      <c r="B122"/>
      <c r="C122"/>
      <c r="D122"/>
      <c r="E122"/>
      <c r="F122"/>
      <c r="G122"/>
      <c r="H122"/>
    </row>
    <row r="123" spans="2:8" s="51" customFormat="1" x14ac:dyDescent="0.25">
      <c r="B123"/>
      <c r="C123"/>
      <c r="D123"/>
      <c r="E123"/>
      <c r="F123"/>
      <c r="G123"/>
      <c r="H123"/>
    </row>
    <row r="124" spans="2:8" s="51" customFormat="1" x14ac:dyDescent="0.25">
      <c r="B124"/>
      <c r="C124"/>
      <c r="D124"/>
      <c r="E124"/>
      <c r="F124"/>
      <c r="G124"/>
      <c r="H124"/>
    </row>
  </sheetData>
  <mergeCells count="6">
    <mergeCell ref="H12:H26"/>
    <mergeCell ref="H28:H33"/>
    <mergeCell ref="H35:H45"/>
    <mergeCell ref="H47:H51"/>
    <mergeCell ref="H53:H61"/>
    <mergeCell ref="H63:H67"/>
  </mergeCells>
  <pageMargins left="0.78740157480314965" right="0.31496062992125984" top="1.9685039370078741" bottom="0.78740157480314965" header="0" footer="0"/>
  <pageSetup paperSize="9" scale="59" fitToHeight="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24"/>
  <sheetViews>
    <sheetView showZeros="0" tabSelected="1" topLeftCell="A53" zoomScale="85" zoomScaleNormal="85" zoomScaleSheetLayoutView="85" workbookViewId="0">
      <selection activeCell="A74" sqref="A74:XFD88"/>
    </sheetView>
  </sheetViews>
  <sheetFormatPr baseColWidth="10" defaultRowHeight="15" x14ac:dyDescent="0.25"/>
  <cols>
    <col min="1" max="1" width="3.140625" customWidth="1"/>
    <col min="2" max="2" width="8.42578125" customWidth="1"/>
    <col min="3" max="3" width="68.28515625" customWidth="1"/>
    <col min="4" max="4" width="6.42578125" customWidth="1"/>
    <col min="5" max="5" width="12.28515625" bestFit="1" customWidth="1"/>
    <col min="6" max="6" width="14.28515625" customWidth="1"/>
    <col min="7" max="7" width="16" customWidth="1"/>
    <col min="8" max="8" width="19.28515625" bestFit="1" customWidth="1"/>
  </cols>
  <sheetData>
    <row r="1" spans="1:8" ht="6.75" customHeight="1" x14ac:dyDescent="0.25"/>
    <row r="2" spans="1:8" ht="24" thickBot="1" x14ac:dyDescent="0.4">
      <c r="B2" s="42" t="s">
        <v>187</v>
      </c>
      <c r="C2" s="33"/>
      <c r="D2" s="34"/>
      <c r="E2" s="35"/>
      <c r="F2" s="36"/>
      <c r="G2" s="36"/>
      <c r="H2" s="49"/>
    </row>
    <row r="3" spans="1:8" ht="15" customHeight="1" thickTop="1" x14ac:dyDescent="0.35">
      <c r="B3" s="43"/>
      <c r="C3" s="37"/>
      <c r="D3" s="38"/>
      <c r="E3" s="39"/>
      <c r="F3" s="40"/>
      <c r="G3" s="40"/>
      <c r="H3" s="50"/>
    </row>
    <row r="4" spans="1:8" ht="15.75" x14ac:dyDescent="0.25">
      <c r="B4" s="2" t="s">
        <v>190</v>
      </c>
      <c r="C4" s="3"/>
      <c r="D4" s="1"/>
      <c r="E4" s="10"/>
      <c r="F4" s="1"/>
      <c r="G4" s="1"/>
      <c r="H4" s="1"/>
    </row>
    <row r="5" spans="1:8" ht="15.75" x14ac:dyDescent="0.25">
      <c r="B5" s="2"/>
      <c r="C5" s="3"/>
      <c r="D5" s="1"/>
      <c r="E5" s="10"/>
      <c r="F5" s="1"/>
      <c r="G5" s="1"/>
      <c r="H5" s="1"/>
    </row>
    <row r="6" spans="1:8" ht="20.25" x14ac:dyDescent="0.3">
      <c r="B6" s="54"/>
      <c r="C6" s="27"/>
      <c r="D6" s="15"/>
      <c r="E6" s="28"/>
      <c r="F6" s="1"/>
      <c r="G6" s="1"/>
      <c r="H6" s="1"/>
    </row>
    <row r="7" spans="1:8" ht="16.5" thickBot="1" x14ac:dyDescent="0.3">
      <c r="B7" s="2"/>
      <c r="C7" s="3"/>
      <c r="D7" s="1"/>
      <c r="E7" s="10"/>
      <c r="F7" s="1"/>
      <c r="G7" s="1"/>
      <c r="H7" s="1"/>
    </row>
    <row r="8" spans="1:8" ht="15.75" x14ac:dyDescent="0.25">
      <c r="B8" s="4"/>
      <c r="C8" s="5"/>
      <c r="D8" s="11"/>
      <c r="E8" s="6"/>
      <c r="F8" s="7"/>
      <c r="G8" s="13"/>
      <c r="H8" s="47"/>
    </row>
    <row r="9" spans="1:8" ht="15.75" x14ac:dyDescent="0.25">
      <c r="B9" s="8" t="s">
        <v>0</v>
      </c>
      <c r="C9" s="9" t="s">
        <v>1</v>
      </c>
      <c r="D9" s="12" t="s">
        <v>2</v>
      </c>
      <c r="E9" s="9" t="s">
        <v>3</v>
      </c>
      <c r="F9" s="9" t="s">
        <v>4</v>
      </c>
      <c r="G9" s="14" t="s">
        <v>5</v>
      </c>
      <c r="H9" s="48" t="s">
        <v>8</v>
      </c>
    </row>
    <row r="10" spans="1:8" ht="16.5" thickBot="1" x14ac:dyDescent="0.3">
      <c r="B10" s="63"/>
      <c r="C10" s="64"/>
      <c r="D10" s="65"/>
      <c r="E10" s="64"/>
      <c r="F10" s="64"/>
      <c r="G10" s="66"/>
      <c r="H10" s="67" t="s">
        <v>9</v>
      </c>
    </row>
    <row r="11" spans="1:8" s="52" customFormat="1" ht="15.75" x14ac:dyDescent="0.25">
      <c r="B11" s="70" t="s">
        <v>17</v>
      </c>
      <c r="C11" s="76" t="s">
        <v>60</v>
      </c>
      <c r="D11" s="77"/>
      <c r="E11" s="78"/>
      <c r="F11" s="79"/>
      <c r="G11" s="78"/>
      <c r="H11" s="80"/>
    </row>
    <row r="12" spans="1:8" s="55" customFormat="1" ht="15.75" customHeight="1" x14ac:dyDescent="0.25">
      <c r="B12" s="71">
        <v>3</v>
      </c>
      <c r="C12" s="72" t="s">
        <v>32</v>
      </c>
      <c r="D12" s="71"/>
      <c r="E12" s="75"/>
      <c r="F12" s="69"/>
      <c r="G12" s="73">
        <f t="shared" ref="G12:G64" si="0">+F12*E12</f>
        <v>0</v>
      </c>
      <c r="H12" s="140"/>
    </row>
    <row r="13" spans="1:8" s="52" customFormat="1" ht="15" customHeight="1" x14ac:dyDescent="0.25">
      <c r="A13" s="99"/>
      <c r="B13" s="81" t="s">
        <v>11</v>
      </c>
      <c r="C13" s="82" t="s">
        <v>62</v>
      </c>
      <c r="D13" s="83" t="s">
        <v>23</v>
      </c>
      <c r="E13" s="84">
        <f>50*3*2+84*1.5*2*2</f>
        <v>804</v>
      </c>
      <c r="F13" s="154">
        <f>Rubros!G11</f>
        <v>293052.40102640603</v>
      </c>
      <c r="G13" s="152">
        <f t="shared" si="0"/>
        <v>235614130.42523044</v>
      </c>
      <c r="H13" s="141"/>
    </row>
    <row r="14" spans="1:8" s="52" customFormat="1" ht="15" customHeight="1" x14ac:dyDescent="0.25">
      <c r="A14" s="99"/>
      <c r="B14" s="87" t="s">
        <v>18</v>
      </c>
      <c r="C14" s="88" t="s">
        <v>182</v>
      </c>
      <c r="D14" s="89" t="s">
        <v>23</v>
      </c>
      <c r="E14" s="90">
        <f>30+50*2</f>
        <v>130</v>
      </c>
      <c r="F14" s="155">
        <f>Rubros!G20</f>
        <v>216301.7273591705</v>
      </c>
      <c r="G14" s="153">
        <f t="shared" si="0"/>
        <v>28119224.556692164</v>
      </c>
      <c r="H14" s="141"/>
    </row>
    <row r="15" spans="1:8" s="52" customFormat="1" ht="15" customHeight="1" x14ac:dyDescent="0.25">
      <c r="A15" s="99"/>
      <c r="B15" s="87" t="s">
        <v>19</v>
      </c>
      <c r="C15" s="88" t="s">
        <v>68</v>
      </c>
      <c r="D15" s="89" t="s">
        <v>23</v>
      </c>
      <c r="E15" s="138">
        <f>41*6</f>
        <v>246</v>
      </c>
      <c r="F15" s="155">
        <f>Rubros!G29</f>
        <v>527130.64417057228</v>
      </c>
      <c r="G15" s="153">
        <f t="shared" si="0"/>
        <v>129674138.46596079</v>
      </c>
      <c r="H15" s="141"/>
    </row>
    <row r="16" spans="1:8" s="52" customFormat="1" ht="15" customHeight="1" x14ac:dyDescent="0.25">
      <c r="A16" s="99"/>
      <c r="B16" s="87" t="s">
        <v>20</v>
      </c>
      <c r="C16" s="88" t="s">
        <v>63</v>
      </c>
      <c r="D16" s="89" t="s">
        <v>23</v>
      </c>
      <c r="E16" s="138">
        <f>11*6</f>
        <v>66</v>
      </c>
      <c r="F16" s="155">
        <f>Rubros!G38</f>
        <v>394765.9771441663</v>
      </c>
      <c r="G16" s="153">
        <f t="shared" si="0"/>
        <v>26054554.491514977</v>
      </c>
      <c r="H16" s="141"/>
    </row>
    <row r="17" spans="1:8" s="52" customFormat="1" ht="15" customHeight="1" x14ac:dyDescent="0.25">
      <c r="A17" s="99"/>
      <c r="B17" s="87" t="s">
        <v>27</v>
      </c>
      <c r="C17" s="88" t="s">
        <v>99</v>
      </c>
      <c r="D17" s="89" t="s">
        <v>24</v>
      </c>
      <c r="E17" s="90">
        <f>30*2.8*0.5+50*1.4*0.5*2</f>
        <v>112</v>
      </c>
      <c r="F17" s="155">
        <f>Rubros!G48</f>
        <v>122814</v>
      </c>
      <c r="G17" s="153">
        <f t="shared" si="0"/>
        <v>13755168</v>
      </c>
      <c r="H17" s="141"/>
    </row>
    <row r="18" spans="1:8" s="52" customFormat="1" ht="15" customHeight="1" x14ac:dyDescent="0.25">
      <c r="A18" s="99"/>
      <c r="B18" s="87" t="s">
        <v>28</v>
      </c>
      <c r="C18" s="88" t="s">
        <v>71</v>
      </c>
      <c r="D18" s="89" t="s">
        <v>10</v>
      </c>
      <c r="E18" s="90">
        <f>11+41+50+84*2</f>
        <v>270</v>
      </c>
      <c r="F18" s="155">
        <f>MO!E11</f>
        <v>85000</v>
      </c>
      <c r="G18" s="153">
        <f t="shared" si="0"/>
        <v>22950000</v>
      </c>
      <c r="H18" s="141"/>
    </row>
    <row r="19" spans="1:8" s="52" customFormat="1" ht="15" customHeight="1" x14ac:dyDescent="0.25">
      <c r="A19" s="99"/>
      <c r="B19" s="87" t="s">
        <v>29</v>
      </c>
      <c r="C19" s="88" t="s">
        <v>181</v>
      </c>
      <c r="D19" s="89" t="s">
        <v>31</v>
      </c>
      <c r="E19" s="90">
        <f>E20*1.2</f>
        <v>28.041600000000006</v>
      </c>
      <c r="F19" s="155">
        <f>MO!E12</f>
        <v>75000</v>
      </c>
      <c r="G19" s="153">
        <f t="shared" si="0"/>
        <v>2103120.0000000005</v>
      </c>
      <c r="H19" s="141"/>
    </row>
    <row r="20" spans="1:8" s="52" customFormat="1" ht="15.75" customHeight="1" x14ac:dyDescent="0.25">
      <c r="A20" s="99"/>
      <c r="B20" s="87" t="s">
        <v>45</v>
      </c>
      <c r="C20" s="88" t="s">
        <v>64</v>
      </c>
      <c r="D20" s="89" t="s">
        <v>31</v>
      </c>
      <c r="E20" s="90">
        <f>0.8*0.8*0.8*41+0.6*0.6*0.6*11</f>
        <v>23.368000000000006</v>
      </c>
      <c r="F20" s="155">
        <f>Rubros!G57</f>
        <v>1987168</v>
      </c>
      <c r="G20" s="153">
        <f t="shared" si="0"/>
        <v>46436141.824000008</v>
      </c>
      <c r="H20" s="141"/>
    </row>
    <row r="21" spans="1:8" s="55" customFormat="1" x14ac:dyDescent="0.25">
      <c r="A21" s="100"/>
      <c r="B21" s="87" t="s">
        <v>54</v>
      </c>
      <c r="C21" s="88" t="s">
        <v>65</v>
      </c>
      <c r="D21" s="89" t="s">
        <v>23</v>
      </c>
      <c r="E21" s="90">
        <v>400</v>
      </c>
      <c r="F21" s="155">
        <f>Rubros!G66</f>
        <v>324358.61249999999</v>
      </c>
      <c r="G21" s="153">
        <f t="shared" si="0"/>
        <v>129743445</v>
      </c>
      <c r="H21" s="141"/>
    </row>
    <row r="22" spans="1:8" s="55" customFormat="1" ht="15.75" customHeight="1" x14ac:dyDescent="0.25">
      <c r="A22" s="100"/>
      <c r="B22" s="87" t="s">
        <v>55</v>
      </c>
      <c r="C22" s="88" t="s">
        <v>66</v>
      </c>
      <c r="D22" s="89" t="s">
        <v>23</v>
      </c>
      <c r="E22" s="90">
        <f>41*12</f>
        <v>492</v>
      </c>
      <c r="F22" s="155">
        <f>Rubros!G84</f>
        <v>637028.71749999991</v>
      </c>
      <c r="G22" s="153">
        <f t="shared" si="0"/>
        <v>313418129.00999993</v>
      </c>
      <c r="H22" s="141"/>
    </row>
    <row r="23" spans="1:8" s="52" customFormat="1" x14ac:dyDescent="0.25">
      <c r="A23" s="99"/>
      <c r="B23" s="87" t="s">
        <v>56</v>
      </c>
      <c r="C23" s="88" t="s">
        <v>67</v>
      </c>
      <c r="D23" s="89" t="s">
        <v>23</v>
      </c>
      <c r="E23" s="90">
        <f>11*8</f>
        <v>88</v>
      </c>
      <c r="F23" s="155">
        <f>Rubros!G93</f>
        <v>377156.04375000001</v>
      </c>
      <c r="G23" s="153">
        <f t="shared" si="0"/>
        <v>33189731.850000001</v>
      </c>
      <c r="H23" s="141"/>
    </row>
    <row r="24" spans="1:8" s="56" customFormat="1" ht="15.75" customHeight="1" x14ac:dyDescent="0.25">
      <c r="A24" s="98"/>
      <c r="B24" s="87" t="s">
        <v>73</v>
      </c>
      <c r="C24" s="88" t="s">
        <v>69</v>
      </c>
      <c r="D24" s="89" t="s">
        <v>23</v>
      </c>
      <c r="E24" s="90">
        <f>505</f>
        <v>505</v>
      </c>
      <c r="F24" s="155">
        <f>Rubros!G102</f>
        <v>321707.89</v>
      </c>
      <c r="G24" s="153">
        <f t="shared" si="0"/>
        <v>162462484.45000002</v>
      </c>
      <c r="H24" s="141"/>
    </row>
    <row r="25" spans="1:8" s="52" customFormat="1" ht="15.75" customHeight="1" x14ac:dyDescent="0.25">
      <c r="A25" s="99"/>
      <c r="B25" s="87" t="s">
        <v>74</v>
      </c>
      <c r="C25" s="88" t="s">
        <v>38</v>
      </c>
      <c r="D25" s="89" t="s">
        <v>10</v>
      </c>
      <c r="E25" s="90">
        <v>41</v>
      </c>
      <c r="F25" s="155">
        <f>Rubros!G111</f>
        <v>474822.22500000003</v>
      </c>
      <c r="G25" s="153">
        <f t="shared" si="0"/>
        <v>19467711.225000001</v>
      </c>
      <c r="H25" s="141"/>
    </row>
    <row r="26" spans="1:8" s="52" customFormat="1" ht="15.75" customHeight="1" x14ac:dyDescent="0.25">
      <c r="A26" s="99"/>
      <c r="B26" s="87" t="s">
        <v>75</v>
      </c>
      <c r="C26" s="88" t="s">
        <v>108</v>
      </c>
      <c r="D26" s="89" t="s">
        <v>10</v>
      </c>
      <c r="E26" s="90">
        <v>5</v>
      </c>
      <c r="F26" s="155">
        <f>Rubros!G120</f>
        <v>7834744.4875000007</v>
      </c>
      <c r="G26" s="153">
        <f t="shared" si="0"/>
        <v>39173722.4375</v>
      </c>
      <c r="H26" s="141"/>
    </row>
    <row r="27" spans="1:8" s="52" customFormat="1" ht="15.75" customHeight="1" x14ac:dyDescent="0.25">
      <c r="B27" s="93"/>
      <c r="C27" s="94"/>
      <c r="D27" s="95"/>
      <c r="E27" s="96"/>
      <c r="F27" s="69"/>
      <c r="G27" s="97">
        <f t="shared" si="0"/>
        <v>0</v>
      </c>
      <c r="H27" s="74">
        <f>SUM(G13:G26)</f>
        <v>1202161701.7358983</v>
      </c>
    </row>
    <row r="28" spans="1:8" s="55" customFormat="1" ht="15.75" customHeight="1" x14ac:dyDescent="0.25">
      <c r="B28" s="71">
        <v>4</v>
      </c>
      <c r="C28" s="72" t="s">
        <v>33</v>
      </c>
      <c r="D28" s="71"/>
      <c r="E28" s="75"/>
      <c r="F28" s="69"/>
      <c r="G28" s="73">
        <f t="shared" si="0"/>
        <v>0</v>
      </c>
      <c r="H28" s="140"/>
    </row>
    <row r="29" spans="1:8" s="55" customFormat="1" ht="75" x14ac:dyDescent="0.25">
      <c r="A29" s="100"/>
      <c r="B29" s="81" t="s">
        <v>12</v>
      </c>
      <c r="C29" s="82" t="s">
        <v>76</v>
      </c>
      <c r="D29" s="83" t="s">
        <v>24</v>
      </c>
      <c r="E29" s="84">
        <v>2150</v>
      </c>
      <c r="F29" s="163">
        <v>235000</v>
      </c>
      <c r="G29" s="86">
        <f t="shared" si="0"/>
        <v>505250000</v>
      </c>
      <c r="H29" s="141"/>
    </row>
    <row r="30" spans="1:8" s="55" customFormat="1" ht="75" x14ac:dyDescent="0.25">
      <c r="A30" s="100"/>
      <c r="B30" s="87" t="s">
        <v>41</v>
      </c>
      <c r="C30" s="88" t="s">
        <v>77</v>
      </c>
      <c r="D30" s="89" t="s">
        <v>24</v>
      </c>
      <c r="E30" s="90">
        <v>325</v>
      </c>
      <c r="F30" s="163">
        <v>235000</v>
      </c>
      <c r="G30" s="92">
        <f t="shared" si="0"/>
        <v>76375000</v>
      </c>
      <c r="H30" s="141"/>
    </row>
    <row r="31" spans="1:8" s="55" customFormat="1" ht="30" x14ac:dyDescent="0.25">
      <c r="A31" s="100"/>
      <c r="B31" s="87" t="s">
        <v>78</v>
      </c>
      <c r="C31" s="88" t="s">
        <v>92</v>
      </c>
      <c r="D31" s="89" t="s">
        <v>24</v>
      </c>
      <c r="E31" s="90">
        <f>85.5</f>
        <v>85.5</v>
      </c>
      <c r="F31" s="163">
        <v>145000</v>
      </c>
      <c r="G31" s="92">
        <f t="shared" si="0"/>
        <v>12397500</v>
      </c>
      <c r="H31" s="141"/>
    </row>
    <row r="32" spans="1:8" s="55" customFormat="1" ht="45" x14ac:dyDescent="0.25">
      <c r="A32" s="100"/>
      <c r="B32" s="87" t="s">
        <v>79</v>
      </c>
      <c r="C32" s="88" t="s">
        <v>90</v>
      </c>
      <c r="D32" s="89" t="s">
        <v>24</v>
      </c>
      <c r="E32" s="90">
        <v>8.5</v>
      </c>
      <c r="F32" s="163">
        <v>185000</v>
      </c>
      <c r="G32" s="92">
        <f t="shared" si="0"/>
        <v>1572500</v>
      </c>
      <c r="H32" s="141"/>
    </row>
    <row r="33" spans="1:8" s="55" customFormat="1" ht="45" x14ac:dyDescent="0.25">
      <c r="A33" s="100"/>
      <c r="B33" s="87" t="s">
        <v>91</v>
      </c>
      <c r="C33" s="88" t="s">
        <v>59</v>
      </c>
      <c r="D33" s="89" t="s">
        <v>10</v>
      </c>
      <c r="E33" s="139">
        <v>51</v>
      </c>
      <c r="F33" s="163">
        <v>190000</v>
      </c>
      <c r="G33" s="92">
        <f t="shared" si="0"/>
        <v>9690000</v>
      </c>
      <c r="H33" s="142"/>
    </row>
    <row r="34" spans="1:8" s="55" customFormat="1" ht="15.75" x14ac:dyDescent="0.25">
      <c r="B34" s="93"/>
      <c r="C34" s="94"/>
      <c r="D34" s="95"/>
      <c r="E34" s="96"/>
      <c r="F34" s="163"/>
      <c r="G34" s="97">
        <f t="shared" si="0"/>
        <v>0</v>
      </c>
      <c r="H34" s="74">
        <f>SUM(G29:G33)</f>
        <v>605285000</v>
      </c>
    </row>
    <row r="35" spans="1:8" s="52" customFormat="1" ht="15.75" customHeight="1" x14ac:dyDescent="0.25">
      <c r="B35" s="71">
        <v>5</v>
      </c>
      <c r="C35" s="72" t="s">
        <v>25</v>
      </c>
      <c r="D35" s="71"/>
      <c r="E35" s="75"/>
      <c r="F35" s="163"/>
      <c r="G35" s="73">
        <f t="shared" si="0"/>
        <v>0</v>
      </c>
      <c r="H35" s="140"/>
    </row>
    <row r="36" spans="1:8" s="52" customFormat="1" ht="15.75" customHeight="1" x14ac:dyDescent="0.25">
      <c r="A36" s="99"/>
      <c r="B36" s="81" t="s">
        <v>13</v>
      </c>
      <c r="C36" s="82" t="s">
        <v>84</v>
      </c>
      <c r="D36" s="83" t="s">
        <v>24</v>
      </c>
      <c r="E36" s="84">
        <f>115+30*2.8+28.6</f>
        <v>227.6</v>
      </c>
      <c r="F36" s="163">
        <f>Rubros!G132</f>
        <v>67439.199999999997</v>
      </c>
      <c r="G36" s="86">
        <f t="shared" si="0"/>
        <v>15349161.919999998</v>
      </c>
      <c r="H36" s="141"/>
    </row>
    <row r="37" spans="1:8" s="52" customFormat="1" ht="15.75" customHeight="1" x14ac:dyDescent="0.25">
      <c r="A37" s="99"/>
      <c r="B37" s="87" t="s">
        <v>14</v>
      </c>
      <c r="C37" s="88" t="s">
        <v>80</v>
      </c>
      <c r="D37" s="89" t="s">
        <v>24</v>
      </c>
      <c r="E37" s="90">
        <v>445</v>
      </c>
      <c r="F37" s="163">
        <f>Rubros!G142</f>
        <v>91814</v>
      </c>
      <c r="G37" s="92">
        <f t="shared" si="0"/>
        <v>40857230</v>
      </c>
      <c r="H37" s="141"/>
    </row>
    <row r="38" spans="1:8" s="52" customFormat="1" x14ac:dyDescent="0.25">
      <c r="A38" s="99"/>
      <c r="B38" s="87" t="s">
        <v>21</v>
      </c>
      <c r="C38" s="88" t="s">
        <v>94</v>
      </c>
      <c r="D38" s="89" t="s">
        <v>24</v>
      </c>
      <c r="E38" s="90">
        <f>900</f>
        <v>900</v>
      </c>
      <c r="F38" s="163">
        <f>Rubros!G152</f>
        <v>135614</v>
      </c>
      <c r="G38" s="92">
        <f t="shared" si="0"/>
        <v>122052600</v>
      </c>
      <c r="H38" s="141"/>
    </row>
    <row r="39" spans="1:8" s="52" customFormat="1" x14ac:dyDescent="0.25">
      <c r="A39" s="99"/>
      <c r="B39" s="87" t="s">
        <v>22</v>
      </c>
      <c r="C39" s="88" t="s">
        <v>185</v>
      </c>
      <c r="D39" s="89" t="s">
        <v>24</v>
      </c>
      <c r="E39" s="90">
        <f>115*2.6</f>
        <v>299</v>
      </c>
      <c r="F39" s="163">
        <f>Rubros!G162</f>
        <v>162287</v>
      </c>
      <c r="G39" s="92">
        <f t="shared" si="0"/>
        <v>48523813</v>
      </c>
      <c r="H39" s="141"/>
    </row>
    <row r="40" spans="1:8" s="52" customFormat="1" ht="15.75" customHeight="1" x14ac:dyDescent="0.25">
      <c r="A40" s="99"/>
      <c r="B40" s="87" t="s">
        <v>34</v>
      </c>
      <c r="C40" s="88" t="s">
        <v>81</v>
      </c>
      <c r="D40" s="89" t="s">
        <v>24</v>
      </c>
      <c r="E40" s="90">
        <f>E37+E36*2+E38-115*2.6</f>
        <v>1501.2</v>
      </c>
      <c r="F40" s="163">
        <f>Rubros!G171</f>
        <v>29620</v>
      </c>
      <c r="G40" s="92">
        <f t="shared" si="0"/>
        <v>44465544</v>
      </c>
      <c r="H40" s="141"/>
    </row>
    <row r="41" spans="1:8" s="55" customFormat="1" ht="15.75" customHeight="1" x14ac:dyDescent="0.25">
      <c r="A41" s="100"/>
      <c r="B41" s="87" t="s">
        <v>35</v>
      </c>
      <c r="C41" s="88" t="s">
        <v>85</v>
      </c>
      <c r="D41" s="89" t="s">
        <v>24</v>
      </c>
      <c r="E41" s="90">
        <f>E37+E39</f>
        <v>744</v>
      </c>
      <c r="F41" s="163">
        <f>Rubros!G181</f>
        <v>51630.021999999997</v>
      </c>
      <c r="G41" s="92">
        <f t="shared" si="0"/>
        <v>38412736.368000001</v>
      </c>
      <c r="H41" s="141"/>
    </row>
    <row r="42" spans="1:8" s="52" customFormat="1" ht="15.75" customHeight="1" x14ac:dyDescent="0.25">
      <c r="A42" s="99"/>
      <c r="B42" s="87" t="s">
        <v>42</v>
      </c>
      <c r="C42" s="88" t="s">
        <v>26</v>
      </c>
      <c r="D42" s="89" t="s">
        <v>23</v>
      </c>
      <c r="E42" s="90">
        <f>(E37+E36+E38)*1.5</f>
        <v>2358.8999999999996</v>
      </c>
      <c r="F42" s="163">
        <f>Rubros!G190</f>
        <v>16863.12</v>
      </c>
      <c r="G42" s="92">
        <f t="shared" si="0"/>
        <v>39778413.767999992</v>
      </c>
      <c r="H42" s="141"/>
    </row>
    <row r="43" spans="1:8" s="55" customFormat="1" ht="15.75" customHeight="1" x14ac:dyDescent="0.25">
      <c r="A43" s="100"/>
      <c r="B43" s="87" t="s">
        <v>58</v>
      </c>
      <c r="C43" s="88" t="s">
        <v>115</v>
      </c>
      <c r="D43" s="89" t="s">
        <v>24</v>
      </c>
      <c r="E43" s="90">
        <v>125</v>
      </c>
      <c r="F43" s="163">
        <f>Rubros!G200</f>
        <v>28080</v>
      </c>
      <c r="G43" s="92">
        <f t="shared" si="0"/>
        <v>3510000</v>
      </c>
      <c r="H43" s="141"/>
    </row>
    <row r="44" spans="1:8" s="55" customFormat="1" ht="15.75" customHeight="1" x14ac:dyDescent="0.25">
      <c r="A44" s="100"/>
      <c r="B44" s="87" t="s">
        <v>183</v>
      </c>
      <c r="C44" s="88" t="s">
        <v>82</v>
      </c>
      <c r="D44" s="89" t="s">
        <v>24</v>
      </c>
      <c r="E44" s="90">
        <f>46.5+14.88*1.01</f>
        <v>61.528800000000004</v>
      </c>
      <c r="F44" s="163">
        <f>Rubros!G210</f>
        <v>28080</v>
      </c>
      <c r="G44" s="92">
        <f t="shared" si="0"/>
        <v>1727728.7040000001</v>
      </c>
      <c r="H44" s="141"/>
    </row>
    <row r="45" spans="1:8" s="55" customFormat="1" ht="15.75" customHeight="1" x14ac:dyDescent="0.25">
      <c r="A45" s="100"/>
      <c r="B45" s="87" t="s">
        <v>184</v>
      </c>
      <c r="C45" s="88" t="s">
        <v>83</v>
      </c>
      <c r="D45" s="89" t="s">
        <v>24</v>
      </c>
      <c r="E45" s="90">
        <f>E44</f>
        <v>61.528800000000004</v>
      </c>
      <c r="F45" s="163">
        <f>Rubros!G219</f>
        <v>19474.022000000001</v>
      </c>
      <c r="G45" s="92">
        <f t="shared" si="0"/>
        <v>1198213.2048336002</v>
      </c>
      <c r="H45" s="141"/>
    </row>
    <row r="46" spans="1:8" s="55" customFormat="1" ht="15.75" customHeight="1" x14ac:dyDescent="0.25">
      <c r="B46" s="93"/>
      <c r="C46" s="94"/>
      <c r="D46" s="95"/>
      <c r="E46" s="96"/>
      <c r="F46" s="163"/>
      <c r="G46" s="97">
        <f t="shared" si="0"/>
        <v>0</v>
      </c>
      <c r="H46" s="74">
        <f>SUM(G36:G45)</f>
        <v>355875440.96483362</v>
      </c>
    </row>
    <row r="47" spans="1:8" s="52" customFormat="1" ht="15.75" customHeight="1" x14ac:dyDescent="0.25">
      <c r="B47" s="71">
        <v>6</v>
      </c>
      <c r="C47" s="72" t="s">
        <v>86</v>
      </c>
      <c r="D47" s="71"/>
      <c r="E47" s="75"/>
      <c r="F47" s="163"/>
      <c r="G47" s="73">
        <f t="shared" si="0"/>
        <v>0</v>
      </c>
      <c r="H47" s="140"/>
    </row>
    <row r="48" spans="1:8" s="55" customFormat="1" ht="15.75" customHeight="1" x14ac:dyDescent="0.25">
      <c r="A48" s="100"/>
      <c r="B48" s="81" t="s">
        <v>15</v>
      </c>
      <c r="C48" s="82" t="s">
        <v>87</v>
      </c>
      <c r="D48" s="83" t="s">
        <v>23</v>
      </c>
      <c r="E48" s="156">
        <v>47.6</v>
      </c>
      <c r="F48" s="163">
        <f>Rubros!G231</f>
        <v>18049.112499999999</v>
      </c>
      <c r="G48" s="152">
        <f t="shared" si="0"/>
        <v>859137.755</v>
      </c>
      <c r="H48" s="141"/>
    </row>
    <row r="49" spans="1:8" s="55" customFormat="1" ht="15.75" customHeight="1" x14ac:dyDescent="0.25">
      <c r="A49" s="100"/>
      <c r="B49" s="87" t="s">
        <v>43</v>
      </c>
      <c r="C49" s="88" t="s">
        <v>88</v>
      </c>
      <c r="D49" s="89" t="s">
        <v>23</v>
      </c>
      <c r="E49" s="157">
        <f>285+115</f>
        <v>400</v>
      </c>
      <c r="F49" s="163">
        <f>Rubros!G241</f>
        <v>25628.224999999999</v>
      </c>
      <c r="G49" s="153">
        <f t="shared" si="0"/>
        <v>10251290</v>
      </c>
      <c r="H49" s="141"/>
    </row>
    <row r="50" spans="1:8" s="55" customFormat="1" ht="15.75" customHeight="1" x14ac:dyDescent="0.25">
      <c r="A50" s="100"/>
      <c r="B50" s="87" t="s">
        <v>30</v>
      </c>
      <c r="C50" s="88" t="s">
        <v>89</v>
      </c>
      <c r="D50" s="89" t="s">
        <v>24</v>
      </c>
      <c r="E50" s="157">
        <f>30*3*1.1</f>
        <v>99.000000000000014</v>
      </c>
      <c r="F50" s="163">
        <f>Rubros!G248</f>
        <v>46600</v>
      </c>
      <c r="G50" s="153">
        <f t="shared" si="0"/>
        <v>4613400.0000000009</v>
      </c>
      <c r="H50" s="141"/>
    </row>
    <row r="51" spans="1:8" s="55" customFormat="1" ht="15.75" customHeight="1" x14ac:dyDescent="0.25">
      <c r="A51" s="100"/>
      <c r="B51" s="87" t="s">
        <v>44</v>
      </c>
      <c r="C51" s="88" t="s">
        <v>118</v>
      </c>
      <c r="D51" s="89" t="s">
        <v>24</v>
      </c>
      <c r="E51" s="157">
        <v>10.5</v>
      </c>
      <c r="F51" s="163">
        <f>Rubros!G256</f>
        <v>66980.3</v>
      </c>
      <c r="G51" s="153">
        <f t="shared" si="0"/>
        <v>703293.15</v>
      </c>
      <c r="H51" s="141"/>
    </row>
    <row r="52" spans="1:8" s="55" customFormat="1" ht="15.75" x14ac:dyDescent="0.25">
      <c r="B52" s="93"/>
      <c r="C52" s="94"/>
      <c r="D52" s="95"/>
      <c r="E52" s="158"/>
      <c r="F52" s="163"/>
      <c r="G52" s="160">
        <f t="shared" si="0"/>
        <v>0</v>
      </c>
      <c r="H52" s="74">
        <f>SUM(G49:G51)</f>
        <v>15567983.15</v>
      </c>
    </row>
    <row r="53" spans="1:8" s="52" customFormat="1" ht="15.75" customHeight="1" x14ac:dyDescent="0.25">
      <c r="B53" s="71">
        <v>7</v>
      </c>
      <c r="C53" s="72" t="s">
        <v>101</v>
      </c>
      <c r="D53" s="71"/>
      <c r="E53" s="159"/>
      <c r="F53" s="162"/>
      <c r="G53" s="161">
        <f t="shared" si="0"/>
        <v>0</v>
      </c>
      <c r="H53" s="140"/>
    </row>
    <row r="54" spans="1:8" s="55" customFormat="1" ht="15.75" customHeight="1" x14ac:dyDescent="0.25">
      <c r="A54" s="100"/>
      <c r="B54" s="81" t="s">
        <v>16</v>
      </c>
      <c r="C54" s="88" t="s">
        <v>102</v>
      </c>
      <c r="D54" s="89" t="s">
        <v>24</v>
      </c>
      <c r="E54" s="157">
        <v>2021</v>
      </c>
      <c r="F54" s="163">
        <f>Rubros!G269</f>
        <v>167296.20000000001</v>
      </c>
      <c r="G54" s="152">
        <f t="shared" si="0"/>
        <v>338105620.20000005</v>
      </c>
      <c r="H54" s="141"/>
    </row>
    <row r="55" spans="1:8" s="55" customFormat="1" ht="30" x14ac:dyDescent="0.25">
      <c r="A55" s="100"/>
      <c r="B55" s="87" t="s">
        <v>46</v>
      </c>
      <c r="C55" s="88" t="s">
        <v>103</v>
      </c>
      <c r="D55" s="89" t="s">
        <v>24</v>
      </c>
      <c r="E55" s="157">
        <v>265</v>
      </c>
      <c r="F55" s="163">
        <f>Rubros!G280</f>
        <v>167296.20000000001</v>
      </c>
      <c r="G55" s="153">
        <f t="shared" si="0"/>
        <v>44333493</v>
      </c>
      <c r="H55" s="141"/>
    </row>
    <row r="56" spans="1:8" s="55" customFormat="1" ht="15.75" customHeight="1" x14ac:dyDescent="0.25">
      <c r="A56" s="100"/>
      <c r="B56" s="87" t="s">
        <v>48</v>
      </c>
      <c r="C56" s="88" t="s">
        <v>104</v>
      </c>
      <c r="D56" s="89" t="s">
        <v>24</v>
      </c>
      <c r="E56" s="157">
        <f>E45</f>
        <v>61.528800000000004</v>
      </c>
      <c r="F56" s="163">
        <f>Rubros!G300</f>
        <v>88365.774999999994</v>
      </c>
      <c r="G56" s="153">
        <f t="shared" si="0"/>
        <v>5437040.0968199996</v>
      </c>
      <c r="H56" s="141"/>
    </row>
    <row r="57" spans="1:8" s="55" customFormat="1" ht="15.75" customHeight="1" x14ac:dyDescent="0.25">
      <c r="A57" s="100"/>
      <c r="B57" s="87" t="s">
        <v>49</v>
      </c>
      <c r="C57" s="88" t="s">
        <v>105</v>
      </c>
      <c r="D57" s="89" t="s">
        <v>23</v>
      </c>
      <c r="E57" s="157">
        <v>47.85</v>
      </c>
      <c r="F57" s="163">
        <f>Rubros!G310</f>
        <v>18436.577499999999</v>
      </c>
      <c r="G57" s="153">
        <f t="shared" si="0"/>
        <v>882190.23337499995</v>
      </c>
      <c r="H57" s="141"/>
    </row>
    <row r="58" spans="1:8" s="55" customFormat="1" ht="15.75" customHeight="1" x14ac:dyDescent="0.25">
      <c r="A58" s="100"/>
      <c r="B58" s="87" t="s">
        <v>50</v>
      </c>
      <c r="C58" s="88" t="s">
        <v>106</v>
      </c>
      <c r="D58" s="89" t="s">
        <v>24</v>
      </c>
      <c r="E58" s="157">
        <f>21.42*2.1</f>
        <v>44.982000000000006</v>
      </c>
      <c r="F58" s="163">
        <f>Rubros!G320</f>
        <v>89365.774999999994</v>
      </c>
      <c r="G58" s="153">
        <f t="shared" si="0"/>
        <v>4019851.2910500001</v>
      </c>
      <c r="H58" s="141"/>
    </row>
    <row r="59" spans="1:8" s="55" customFormat="1" ht="30" x14ac:dyDescent="0.25">
      <c r="A59" s="100"/>
      <c r="B59" s="87" t="s">
        <v>111</v>
      </c>
      <c r="C59" s="88" t="s">
        <v>114</v>
      </c>
      <c r="D59" s="89" t="s">
        <v>24</v>
      </c>
      <c r="E59" s="157">
        <f>303-48</f>
        <v>255</v>
      </c>
      <c r="F59" s="163">
        <f>Rubros!G331</f>
        <v>167296.20000000001</v>
      </c>
      <c r="G59" s="153">
        <f t="shared" si="0"/>
        <v>42660531</v>
      </c>
      <c r="H59" s="141"/>
    </row>
    <row r="60" spans="1:8" s="55" customFormat="1" ht="15.75" customHeight="1" x14ac:dyDescent="0.25">
      <c r="A60" s="100"/>
      <c r="B60" s="87" t="s">
        <v>113</v>
      </c>
      <c r="C60" s="88" t="s">
        <v>116</v>
      </c>
      <c r="D60" s="89" t="s">
        <v>24</v>
      </c>
      <c r="E60" s="157">
        <f>E43+49</f>
        <v>174</v>
      </c>
      <c r="F60" s="163">
        <f>Rubros!G342</f>
        <v>117975.00000000001</v>
      </c>
      <c r="G60" s="153">
        <f t="shared" si="0"/>
        <v>20527650.000000004</v>
      </c>
      <c r="H60" s="141"/>
    </row>
    <row r="61" spans="1:8" s="55" customFormat="1" ht="15.75" customHeight="1" x14ac:dyDescent="0.25">
      <c r="A61" s="100"/>
      <c r="B61" s="87" t="s">
        <v>117</v>
      </c>
      <c r="C61" s="88" t="s">
        <v>112</v>
      </c>
      <c r="D61" s="89" t="s">
        <v>24</v>
      </c>
      <c r="E61" s="157">
        <v>731</v>
      </c>
      <c r="F61" s="163">
        <f>Rubros!G351</f>
        <v>52300</v>
      </c>
      <c r="G61" s="153">
        <f t="shared" si="0"/>
        <v>38231300</v>
      </c>
      <c r="H61" s="141"/>
    </row>
    <row r="62" spans="1:8" s="55" customFormat="1" ht="15.75" x14ac:dyDescent="0.25">
      <c r="B62" s="93"/>
      <c r="C62" s="94"/>
      <c r="D62" s="95"/>
      <c r="E62" s="158"/>
      <c r="F62" s="164"/>
      <c r="G62" s="160">
        <f t="shared" si="0"/>
        <v>0</v>
      </c>
      <c r="H62" s="74">
        <f>SUM(G55:G61)</f>
        <v>156092055.621245</v>
      </c>
    </row>
    <row r="63" spans="1:8" s="52" customFormat="1" ht="15.75" customHeight="1" x14ac:dyDescent="0.25">
      <c r="B63" s="71">
        <v>8</v>
      </c>
      <c r="C63" s="72" t="s">
        <v>57</v>
      </c>
      <c r="D63" s="71"/>
      <c r="E63" s="159"/>
      <c r="F63" s="165"/>
      <c r="G63" s="161">
        <f t="shared" si="0"/>
        <v>0</v>
      </c>
      <c r="H63" s="140"/>
    </row>
    <row r="64" spans="1:8" s="55" customFormat="1" ht="15.75" customHeight="1" x14ac:dyDescent="0.25">
      <c r="A64" s="100"/>
      <c r="B64" s="81" t="s">
        <v>36</v>
      </c>
      <c r="C64" s="82" t="s">
        <v>179</v>
      </c>
      <c r="D64" s="83" t="s">
        <v>24</v>
      </c>
      <c r="E64" s="156">
        <f>E40</f>
        <v>1501.2</v>
      </c>
      <c r="F64" s="166">
        <v>22000</v>
      </c>
      <c r="G64" s="152">
        <f t="shared" si="0"/>
        <v>33026400</v>
      </c>
      <c r="H64" s="141"/>
    </row>
    <row r="65" spans="1:8" s="55" customFormat="1" ht="15.75" customHeight="1" x14ac:dyDescent="0.25">
      <c r="A65" s="100"/>
      <c r="B65" s="87" t="s">
        <v>51</v>
      </c>
      <c r="C65" s="88" t="s">
        <v>180</v>
      </c>
      <c r="D65" s="89" t="s">
        <v>24</v>
      </c>
      <c r="E65" s="157">
        <f>E41</f>
        <v>744</v>
      </c>
      <c r="F65" s="163">
        <v>25000</v>
      </c>
      <c r="G65" s="153">
        <f t="shared" ref="G65:G68" si="1">+F65*E65</f>
        <v>18600000</v>
      </c>
      <c r="H65" s="141"/>
    </row>
    <row r="66" spans="1:8" s="55" customFormat="1" ht="15.75" customHeight="1" x14ac:dyDescent="0.25">
      <c r="A66" s="100"/>
      <c r="B66" s="87" t="s">
        <v>52</v>
      </c>
      <c r="C66" s="88" t="s">
        <v>93</v>
      </c>
      <c r="D66" s="89" t="s">
        <v>24</v>
      </c>
      <c r="E66" s="157">
        <f>0.8*2.1*2*1+0.9*2.1*2*9+2.6*6*2*7+2.5*6+2.1*2+22.8*2.5*2+14.9*2.6*2+3.15*2+0.35*35*2+0.2*25*2+1.45*0.2*2+4.5*1.2*2</f>
        <v>518.64</v>
      </c>
      <c r="F66" s="163">
        <v>16000</v>
      </c>
      <c r="G66" s="153">
        <f t="shared" si="1"/>
        <v>8298240</v>
      </c>
      <c r="H66" s="141"/>
    </row>
    <row r="67" spans="1:8" s="55" customFormat="1" ht="15.75" customHeight="1" x14ac:dyDescent="0.25">
      <c r="A67" s="100"/>
      <c r="B67" s="87" t="s">
        <v>53</v>
      </c>
      <c r="C67" s="88" t="s">
        <v>186</v>
      </c>
      <c r="D67" s="89" t="s">
        <v>24</v>
      </c>
      <c r="E67" s="157">
        <f>E38*2</f>
        <v>1800</v>
      </c>
      <c r="F67" s="163">
        <v>18000</v>
      </c>
      <c r="G67" s="153">
        <f t="shared" si="1"/>
        <v>32400000</v>
      </c>
      <c r="H67" s="141"/>
    </row>
    <row r="68" spans="1:8" s="55" customFormat="1" ht="15.75" customHeight="1" x14ac:dyDescent="0.25">
      <c r="B68" s="93"/>
      <c r="C68" s="94"/>
      <c r="D68" s="95"/>
      <c r="E68" s="158"/>
      <c r="F68" s="162"/>
      <c r="G68" s="160">
        <f t="shared" si="1"/>
        <v>0</v>
      </c>
      <c r="H68" s="74">
        <f>SUM(G64:G67)</f>
        <v>92324640</v>
      </c>
    </row>
    <row r="69" spans="1:8" s="52" customFormat="1" ht="15.75" customHeight="1" thickBot="1" x14ac:dyDescent="0.3">
      <c r="B69" s="57"/>
      <c r="C69" s="58"/>
      <c r="D69" s="57"/>
      <c r="E69" s="59"/>
      <c r="F69" s="60"/>
      <c r="G69" s="61"/>
      <c r="H69" s="62"/>
    </row>
    <row r="70" spans="1:8" s="52" customFormat="1" ht="15.75" x14ac:dyDescent="0.25">
      <c r="B70" s="16"/>
      <c r="C70" s="17"/>
      <c r="D70" s="18"/>
      <c r="E70" s="19"/>
      <c r="F70" s="41"/>
      <c r="G70" s="17"/>
      <c r="H70" s="44"/>
    </row>
    <row r="71" spans="1:8" s="52" customFormat="1" ht="18" x14ac:dyDescent="0.25">
      <c r="B71" s="20"/>
      <c r="C71" s="29" t="s">
        <v>7</v>
      </c>
      <c r="D71" s="30"/>
      <c r="E71" s="30"/>
      <c r="F71" s="31"/>
      <c r="G71" s="32" t="s">
        <v>6</v>
      </c>
      <c r="H71" s="45">
        <f>SUM(H11:H69)</f>
        <v>2427306821.4719768</v>
      </c>
    </row>
    <row r="72" spans="1:8" s="52" customFormat="1" ht="16.5" thickBot="1" x14ac:dyDescent="0.25">
      <c r="B72" s="21"/>
      <c r="C72" s="22" t="s">
        <v>6</v>
      </c>
      <c r="D72" s="23"/>
      <c r="E72" s="24"/>
      <c r="F72" s="25"/>
      <c r="G72" s="26" t="s">
        <v>6</v>
      </c>
      <c r="H72" s="46" t="s">
        <v>6</v>
      </c>
    </row>
    <row r="73" spans="1:8" s="52" customFormat="1" x14ac:dyDescent="0.25">
      <c r="B73"/>
      <c r="C73"/>
      <c r="D73"/>
      <c r="E73"/>
      <c r="F73"/>
      <c r="G73"/>
      <c r="H73"/>
    </row>
    <row r="74" spans="1:8" s="52" customFormat="1" x14ac:dyDescent="0.25">
      <c r="B74"/>
      <c r="C74"/>
      <c r="D74"/>
      <c r="E74"/>
      <c r="F74"/>
      <c r="G74"/>
      <c r="H74"/>
    </row>
    <row r="75" spans="1:8" s="52" customFormat="1" ht="15" customHeight="1" x14ac:dyDescent="0.25">
      <c r="B75"/>
      <c r="C75"/>
      <c r="D75"/>
      <c r="E75"/>
      <c r="F75"/>
      <c r="G75"/>
      <c r="H75"/>
    </row>
    <row r="76" spans="1:8" s="52" customFormat="1" ht="7.5" customHeight="1" x14ac:dyDescent="0.25">
      <c r="B76"/>
      <c r="C76"/>
      <c r="D76"/>
      <c r="E76"/>
      <c r="F76"/>
      <c r="G76"/>
      <c r="H76"/>
    </row>
    <row r="77" spans="1:8" s="52" customFormat="1" x14ac:dyDescent="0.25">
      <c r="B77"/>
      <c r="C77"/>
      <c r="D77"/>
      <c r="E77"/>
      <c r="F77"/>
      <c r="G77"/>
      <c r="H77"/>
    </row>
    <row r="78" spans="1:8" s="55" customFormat="1" x14ac:dyDescent="0.25">
      <c r="B78"/>
      <c r="C78"/>
      <c r="D78"/>
      <c r="E78"/>
      <c r="F78"/>
      <c r="G78"/>
      <c r="H78"/>
    </row>
    <row r="79" spans="1:8" s="52" customFormat="1" x14ac:dyDescent="0.25">
      <c r="B79"/>
      <c r="C79"/>
      <c r="D79"/>
      <c r="E79"/>
      <c r="F79"/>
      <c r="G79"/>
      <c r="H79"/>
    </row>
    <row r="80" spans="1:8" s="52" customFormat="1" x14ac:dyDescent="0.25">
      <c r="B80"/>
      <c r="C80"/>
      <c r="D80"/>
      <c r="E80"/>
      <c r="F80"/>
      <c r="G80"/>
      <c r="H80"/>
    </row>
    <row r="81" spans="2:8" s="52" customFormat="1" x14ac:dyDescent="0.25">
      <c r="B81"/>
      <c r="C81"/>
      <c r="D81"/>
      <c r="E81"/>
      <c r="F81"/>
      <c r="G81"/>
      <c r="H81"/>
    </row>
    <row r="82" spans="2:8" s="52" customFormat="1" x14ac:dyDescent="0.25">
      <c r="B82"/>
      <c r="C82"/>
      <c r="D82"/>
      <c r="E82"/>
      <c r="F82"/>
      <c r="G82"/>
      <c r="H82"/>
    </row>
    <row r="83" spans="2:8" s="52" customFormat="1" x14ac:dyDescent="0.25">
      <c r="B83"/>
      <c r="C83"/>
      <c r="D83"/>
      <c r="E83"/>
      <c r="F83"/>
      <c r="G83"/>
      <c r="H83"/>
    </row>
    <row r="84" spans="2:8" s="52" customFormat="1" x14ac:dyDescent="0.25">
      <c r="B84"/>
      <c r="C84"/>
      <c r="D84"/>
      <c r="E84"/>
      <c r="F84"/>
      <c r="G84"/>
      <c r="H84"/>
    </row>
    <row r="85" spans="2:8" s="52" customFormat="1" x14ac:dyDescent="0.25">
      <c r="B85"/>
      <c r="C85"/>
      <c r="D85"/>
      <c r="E85"/>
      <c r="F85"/>
      <c r="G85"/>
      <c r="H85"/>
    </row>
    <row r="86" spans="2:8" s="55" customFormat="1" x14ac:dyDescent="0.25">
      <c r="B86"/>
      <c r="C86"/>
      <c r="D86"/>
      <c r="E86"/>
      <c r="F86"/>
      <c r="G86"/>
      <c r="H86"/>
    </row>
    <row r="87" spans="2:8" s="52" customFormat="1" x14ac:dyDescent="0.25">
      <c r="B87"/>
      <c r="C87"/>
      <c r="D87"/>
      <c r="E87"/>
      <c r="F87"/>
      <c r="G87"/>
      <c r="H87"/>
    </row>
    <row r="88" spans="2:8" s="52" customFormat="1" x14ac:dyDescent="0.25">
      <c r="B88"/>
      <c r="C88"/>
      <c r="D88"/>
      <c r="E88"/>
      <c r="F88"/>
      <c r="G88"/>
      <c r="H88"/>
    </row>
    <row r="89" spans="2:8" s="52" customFormat="1" x14ac:dyDescent="0.25">
      <c r="B89"/>
      <c r="C89"/>
      <c r="D89"/>
      <c r="E89"/>
      <c r="F89"/>
      <c r="G89"/>
      <c r="H89"/>
    </row>
    <row r="90" spans="2:8" s="55" customFormat="1" x14ac:dyDescent="0.25">
      <c r="B90"/>
      <c r="C90"/>
      <c r="D90"/>
      <c r="E90"/>
      <c r="F90"/>
      <c r="G90"/>
      <c r="H90"/>
    </row>
    <row r="91" spans="2:8" s="52" customFormat="1" x14ac:dyDescent="0.25">
      <c r="B91"/>
      <c r="C91"/>
      <c r="D91"/>
      <c r="E91"/>
      <c r="F91"/>
      <c r="G91"/>
      <c r="H91"/>
    </row>
    <row r="92" spans="2:8" s="52" customFormat="1" x14ac:dyDescent="0.25">
      <c r="B92"/>
      <c r="C92"/>
      <c r="D92"/>
      <c r="E92"/>
      <c r="F92"/>
      <c r="G92"/>
      <c r="H92"/>
    </row>
    <row r="93" spans="2:8" s="52" customFormat="1" x14ac:dyDescent="0.25">
      <c r="B93"/>
      <c r="C93"/>
      <c r="D93"/>
      <c r="E93"/>
      <c r="F93"/>
      <c r="G93"/>
      <c r="H93"/>
    </row>
    <row r="94" spans="2:8" s="52" customFormat="1" x14ac:dyDescent="0.25">
      <c r="B94"/>
      <c r="C94"/>
      <c r="D94"/>
      <c r="E94"/>
      <c r="F94"/>
      <c r="G94"/>
      <c r="H94"/>
    </row>
    <row r="95" spans="2:8" s="52" customFormat="1" x14ac:dyDescent="0.25">
      <c r="B95"/>
      <c r="C95"/>
      <c r="D95"/>
      <c r="E95"/>
      <c r="F95"/>
      <c r="G95"/>
      <c r="H95"/>
    </row>
    <row r="96" spans="2:8" s="55" customFormat="1" x14ac:dyDescent="0.25">
      <c r="B96"/>
      <c r="C96"/>
      <c r="D96"/>
      <c r="E96"/>
      <c r="F96"/>
      <c r="G96"/>
      <c r="H96"/>
    </row>
    <row r="97" spans="2:8" s="52" customFormat="1" x14ac:dyDescent="0.25">
      <c r="B97"/>
      <c r="C97"/>
      <c r="D97"/>
      <c r="E97"/>
      <c r="F97"/>
      <c r="G97"/>
      <c r="H97"/>
    </row>
    <row r="98" spans="2:8" s="55" customFormat="1" x14ac:dyDescent="0.25">
      <c r="B98"/>
      <c r="C98"/>
      <c r="D98"/>
      <c r="E98"/>
      <c r="F98"/>
      <c r="G98"/>
      <c r="H98"/>
    </row>
    <row r="99" spans="2:8" s="52" customFormat="1" x14ac:dyDescent="0.25">
      <c r="B99"/>
      <c r="C99"/>
      <c r="D99"/>
      <c r="E99"/>
      <c r="F99"/>
      <c r="G99"/>
      <c r="H99"/>
    </row>
    <row r="100" spans="2:8" s="55" customFormat="1" x14ac:dyDescent="0.25">
      <c r="B100"/>
      <c r="C100"/>
      <c r="D100"/>
      <c r="E100"/>
      <c r="F100"/>
      <c r="G100"/>
      <c r="H100"/>
    </row>
    <row r="101" spans="2:8" s="52" customFormat="1" x14ac:dyDescent="0.25">
      <c r="B101"/>
      <c r="C101"/>
      <c r="D101"/>
      <c r="E101"/>
      <c r="F101"/>
      <c r="G101"/>
      <c r="H101"/>
    </row>
    <row r="102" spans="2:8" s="52" customFormat="1" x14ac:dyDescent="0.25">
      <c r="B102"/>
      <c r="C102"/>
      <c r="D102"/>
      <c r="E102"/>
      <c r="F102"/>
      <c r="G102"/>
      <c r="H102"/>
    </row>
    <row r="103" spans="2:8" s="52" customFormat="1" ht="15" customHeight="1" x14ac:dyDescent="0.25">
      <c r="B103"/>
      <c r="C103"/>
      <c r="D103"/>
      <c r="E103"/>
      <c r="F103"/>
      <c r="G103"/>
      <c r="H103"/>
    </row>
    <row r="109" spans="2:8" s="1" customFormat="1" x14ac:dyDescent="0.25">
      <c r="B109"/>
      <c r="C109"/>
      <c r="D109"/>
      <c r="E109"/>
      <c r="F109"/>
      <c r="G109"/>
      <c r="H109"/>
    </row>
    <row r="110" spans="2:8" s="53" customFormat="1" ht="56.25" customHeight="1" x14ac:dyDescent="0.25">
      <c r="B110"/>
      <c r="C110"/>
      <c r="D110"/>
      <c r="E110"/>
      <c r="F110"/>
      <c r="G110"/>
      <c r="H110"/>
    </row>
    <row r="111" spans="2:8" s="1" customFormat="1" ht="37.5" customHeight="1" x14ac:dyDescent="0.25">
      <c r="B111"/>
      <c r="C111"/>
      <c r="D111"/>
      <c r="E111"/>
      <c r="F111"/>
      <c r="G111"/>
      <c r="H111"/>
    </row>
    <row r="112" spans="2:8" s="1" customFormat="1" x14ac:dyDescent="0.25">
      <c r="B112"/>
      <c r="C112"/>
      <c r="D112"/>
      <c r="E112"/>
      <c r="F112"/>
      <c r="G112"/>
      <c r="H112"/>
    </row>
    <row r="113" spans="2:8" s="1" customFormat="1" x14ac:dyDescent="0.25">
      <c r="B113"/>
      <c r="C113"/>
      <c r="D113"/>
      <c r="E113"/>
      <c r="F113"/>
      <c r="G113"/>
      <c r="H113"/>
    </row>
    <row r="114" spans="2:8" s="51" customFormat="1" x14ac:dyDescent="0.25">
      <c r="B114"/>
      <c r="C114"/>
      <c r="D114"/>
      <c r="E114"/>
      <c r="F114"/>
      <c r="G114"/>
      <c r="H114"/>
    </row>
    <row r="115" spans="2:8" s="51" customFormat="1" x14ac:dyDescent="0.25">
      <c r="B115"/>
      <c r="C115"/>
      <c r="D115"/>
      <c r="E115"/>
      <c r="F115"/>
      <c r="G115"/>
      <c r="H115"/>
    </row>
    <row r="116" spans="2:8" s="51" customFormat="1" x14ac:dyDescent="0.25">
      <c r="B116"/>
      <c r="C116"/>
      <c r="D116"/>
      <c r="E116"/>
      <c r="F116"/>
      <c r="G116"/>
      <c r="H116"/>
    </row>
    <row r="117" spans="2:8" s="51" customFormat="1" x14ac:dyDescent="0.25">
      <c r="B117"/>
      <c r="C117"/>
      <c r="D117"/>
      <c r="E117"/>
      <c r="F117"/>
      <c r="G117"/>
      <c r="H117"/>
    </row>
    <row r="118" spans="2:8" s="51" customFormat="1" x14ac:dyDescent="0.25">
      <c r="B118"/>
      <c r="C118"/>
      <c r="D118"/>
      <c r="E118"/>
      <c r="F118"/>
      <c r="G118"/>
      <c r="H118"/>
    </row>
    <row r="119" spans="2:8" s="51" customFormat="1" x14ac:dyDescent="0.25">
      <c r="B119"/>
      <c r="C119"/>
      <c r="D119"/>
      <c r="E119"/>
      <c r="F119"/>
      <c r="G119"/>
      <c r="H119"/>
    </row>
    <row r="120" spans="2:8" s="51" customFormat="1" x14ac:dyDescent="0.25">
      <c r="B120"/>
      <c r="C120"/>
      <c r="D120"/>
      <c r="E120"/>
      <c r="F120"/>
      <c r="G120"/>
      <c r="H120"/>
    </row>
    <row r="121" spans="2:8" s="51" customFormat="1" x14ac:dyDescent="0.25">
      <c r="B121"/>
      <c r="C121"/>
      <c r="D121"/>
      <c r="E121"/>
      <c r="F121"/>
      <c r="G121"/>
      <c r="H121"/>
    </row>
    <row r="122" spans="2:8" s="51" customFormat="1" x14ac:dyDescent="0.25">
      <c r="B122"/>
      <c r="C122"/>
      <c r="D122"/>
      <c r="E122"/>
      <c r="F122"/>
      <c r="G122"/>
      <c r="H122"/>
    </row>
    <row r="123" spans="2:8" s="51" customFormat="1" x14ac:dyDescent="0.25">
      <c r="B123"/>
      <c r="C123"/>
      <c r="D123"/>
      <c r="E123"/>
      <c r="F123"/>
      <c r="G123"/>
      <c r="H123"/>
    </row>
    <row r="124" spans="2:8" s="51" customFormat="1" x14ac:dyDescent="0.25">
      <c r="B124"/>
      <c r="C124"/>
      <c r="D124"/>
      <c r="E124"/>
      <c r="F124"/>
      <c r="G124"/>
      <c r="H124"/>
    </row>
  </sheetData>
  <mergeCells count="6">
    <mergeCell ref="H53:H61"/>
    <mergeCell ref="H63:H67"/>
    <mergeCell ref="H47:H51"/>
    <mergeCell ref="H35:H45"/>
    <mergeCell ref="H28:H33"/>
    <mergeCell ref="H12:H26"/>
  </mergeCells>
  <pageMargins left="0.78740157480314965" right="0.31496062992125984" top="1.9685039370078741" bottom="0.78740157480314965" header="0" footer="0"/>
  <pageSetup paperSize="9" scale="59" fitToHeight="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"/>
  <sheetViews>
    <sheetView workbookViewId="0">
      <selection activeCell="D37" sqref="D37"/>
    </sheetView>
  </sheetViews>
  <sheetFormatPr baseColWidth="10" defaultRowHeight="15" x14ac:dyDescent="0.25"/>
  <cols>
    <col min="1" max="1" width="2.5703125" customWidth="1"/>
    <col min="2" max="2" width="42.85546875" customWidth="1"/>
    <col min="3" max="3" width="7" style="104" bestFit="1" customWidth="1"/>
    <col min="4" max="4" width="17.85546875" bestFit="1" customWidth="1"/>
    <col min="5" max="5" width="10.85546875" customWidth="1"/>
    <col min="6" max="6" width="11.42578125" style="68"/>
    <col min="7" max="7" width="14.5703125" style="68" bestFit="1" customWidth="1"/>
    <col min="8" max="8" width="11.42578125" style="68"/>
    <col min="9" max="9" width="16.28515625" style="68" bestFit="1" customWidth="1"/>
    <col min="10" max="10" width="11.42578125" style="68"/>
    <col min="11" max="11" width="14" style="68" bestFit="1" customWidth="1"/>
  </cols>
  <sheetData>
    <row r="1" spans="2:12" ht="15.75" thickBot="1" x14ac:dyDescent="0.3">
      <c r="F1" s="105"/>
      <c r="G1" s="106"/>
    </row>
    <row r="2" spans="2:12" ht="15.75" thickBot="1" x14ac:dyDescent="0.3">
      <c r="B2" s="143" t="s">
        <v>156</v>
      </c>
      <c r="C2" s="144"/>
      <c r="D2" s="145"/>
    </row>
    <row r="3" spans="2:12" ht="15.75" thickBot="1" x14ac:dyDescent="0.3">
      <c r="B3" s="107" t="s">
        <v>119</v>
      </c>
      <c r="C3" s="107" t="s">
        <v>120</v>
      </c>
      <c r="D3" s="107" t="s">
        <v>121</v>
      </c>
      <c r="F3" s="108"/>
      <c r="G3" s="108"/>
      <c r="H3" s="108"/>
      <c r="I3" s="108"/>
      <c r="J3" s="108"/>
      <c r="K3" s="108"/>
      <c r="L3" s="108"/>
    </row>
    <row r="4" spans="2:12" x14ac:dyDescent="0.25">
      <c r="B4" s="109" t="s">
        <v>122</v>
      </c>
      <c r="C4" s="110" t="s">
        <v>123</v>
      </c>
      <c r="D4" s="111">
        <v>880</v>
      </c>
    </row>
    <row r="5" spans="2:12" x14ac:dyDescent="0.25">
      <c r="B5" s="112" t="s">
        <v>124</v>
      </c>
      <c r="C5" s="113" t="s">
        <v>31</v>
      </c>
      <c r="D5" s="114">
        <v>47000</v>
      </c>
    </row>
    <row r="6" spans="2:12" x14ac:dyDescent="0.25">
      <c r="B6" s="112" t="s">
        <v>125</v>
      </c>
      <c r="C6" s="113" t="s">
        <v>126</v>
      </c>
      <c r="D6" s="115">
        <v>840</v>
      </c>
    </row>
    <row r="7" spans="2:12" x14ac:dyDescent="0.25">
      <c r="B7" s="112" t="s">
        <v>127</v>
      </c>
      <c r="C7" s="113" t="s">
        <v>128</v>
      </c>
      <c r="D7" s="114">
        <v>550</v>
      </c>
    </row>
    <row r="8" spans="2:12" x14ac:dyDescent="0.25">
      <c r="B8" s="112" t="s">
        <v>129</v>
      </c>
      <c r="C8" s="113" t="s">
        <v>130</v>
      </c>
      <c r="D8" s="114">
        <v>95000</v>
      </c>
    </row>
    <row r="9" spans="2:12" x14ac:dyDescent="0.25">
      <c r="B9" s="112" t="s">
        <v>131</v>
      </c>
      <c r="C9" s="113" t="s">
        <v>31</v>
      </c>
      <c r="D9" s="114">
        <v>65000</v>
      </c>
    </row>
    <row r="10" spans="2:12" x14ac:dyDescent="0.25">
      <c r="B10" s="112" t="s">
        <v>132</v>
      </c>
      <c r="C10" s="113" t="s">
        <v>10</v>
      </c>
      <c r="D10" s="114">
        <v>1250</v>
      </c>
    </row>
    <row r="11" spans="2:12" x14ac:dyDescent="0.25">
      <c r="B11" s="112" t="s">
        <v>133</v>
      </c>
      <c r="C11" s="113" t="s">
        <v>10</v>
      </c>
      <c r="D11" s="114">
        <v>2400</v>
      </c>
    </row>
    <row r="12" spans="2:12" x14ac:dyDescent="0.25">
      <c r="B12" s="112" t="s">
        <v>134</v>
      </c>
      <c r="C12" s="113" t="s">
        <v>10</v>
      </c>
      <c r="D12" s="114">
        <v>460</v>
      </c>
    </row>
    <row r="13" spans="2:12" x14ac:dyDescent="0.25">
      <c r="B13" s="112" t="s">
        <v>135</v>
      </c>
      <c r="C13" s="113" t="s">
        <v>10</v>
      </c>
      <c r="D13" s="114">
        <v>900</v>
      </c>
    </row>
    <row r="14" spans="2:12" x14ac:dyDescent="0.25">
      <c r="B14" s="112" t="s">
        <v>136</v>
      </c>
      <c r="C14" s="113" t="s">
        <v>31</v>
      </c>
      <c r="D14" s="114">
        <v>75000</v>
      </c>
    </row>
    <row r="15" spans="2:12" x14ac:dyDescent="0.25">
      <c r="B15" s="112" t="s">
        <v>137</v>
      </c>
      <c r="C15" s="113" t="s">
        <v>138</v>
      </c>
      <c r="D15" s="114">
        <v>6481</v>
      </c>
    </row>
    <row r="16" spans="2:12" x14ac:dyDescent="0.25">
      <c r="B16" s="112" t="s">
        <v>139</v>
      </c>
      <c r="C16" s="113" t="s">
        <v>126</v>
      </c>
      <c r="D16" s="114">
        <v>1929</v>
      </c>
    </row>
    <row r="17" spans="2:12" x14ac:dyDescent="0.25">
      <c r="B17" s="112" t="s">
        <v>140</v>
      </c>
      <c r="C17" s="113" t="s">
        <v>126</v>
      </c>
      <c r="D17" s="114">
        <v>4985.1499999999996</v>
      </c>
      <c r="L17" s="68"/>
    </row>
    <row r="18" spans="2:12" x14ac:dyDescent="0.25">
      <c r="B18" s="112" t="s">
        <v>141</v>
      </c>
      <c r="C18" s="113" t="s">
        <v>126</v>
      </c>
      <c r="D18" s="114">
        <v>9000</v>
      </c>
    </row>
    <row r="19" spans="2:12" x14ac:dyDescent="0.25">
      <c r="B19" s="112" t="s">
        <v>142</v>
      </c>
      <c r="C19" s="113" t="s">
        <v>126</v>
      </c>
      <c r="D19" s="114">
        <v>9000</v>
      </c>
    </row>
    <row r="20" spans="2:12" x14ac:dyDescent="0.25">
      <c r="B20" s="112" t="s">
        <v>143</v>
      </c>
      <c r="C20" s="113" t="s">
        <v>126</v>
      </c>
      <c r="D20" s="114">
        <v>8500</v>
      </c>
    </row>
    <row r="21" spans="2:12" x14ac:dyDescent="0.25">
      <c r="B21" s="112" t="s">
        <v>144</v>
      </c>
      <c r="C21" s="113" t="s">
        <v>126</v>
      </c>
      <c r="D21" s="114">
        <v>22337</v>
      </c>
    </row>
    <row r="22" spans="2:12" x14ac:dyDescent="0.25">
      <c r="B22" s="116" t="s">
        <v>145</v>
      </c>
      <c r="C22" s="113" t="s">
        <v>24</v>
      </c>
      <c r="D22" s="114">
        <v>18485</v>
      </c>
    </row>
    <row r="23" spans="2:12" x14ac:dyDescent="0.25">
      <c r="B23" s="116" t="s">
        <v>146</v>
      </c>
      <c r="C23" s="113" t="s">
        <v>126</v>
      </c>
      <c r="D23" s="114">
        <v>2333</v>
      </c>
    </row>
    <row r="24" spans="2:12" x14ac:dyDescent="0.25">
      <c r="B24" s="116" t="s">
        <v>147</v>
      </c>
      <c r="C24" s="113" t="s">
        <v>126</v>
      </c>
      <c r="D24" s="114">
        <v>14707</v>
      </c>
    </row>
    <row r="25" spans="2:12" x14ac:dyDescent="0.25">
      <c r="B25" s="116" t="s">
        <v>148</v>
      </c>
      <c r="C25" s="113" t="s">
        <v>31</v>
      </c>
      <c r="D25" s="114">
        <v>790000</v>
      </c>
    </row>
    <row r="26" spans="2:12" x14ac:dyDescent="0.25">
      <c r="B26" s="116" t="s">
        <v>149</v>
      </c>
      <c r="C26" s="113" t="s">
        <v>31</v>
      </c>
      <c r="D26" s="114">
        <v>840000</v>
      </c>
    </row>
    <row r="27" spans="2:12" x14ac:dyDescent="0.25">
      <c r="B27" s="116" t="s">
        <v>150</v>
      </c>
      <c r="C27" s="113" t="s">
        <v>31</v>
      </c>
      <c r="D27" s="114">
        <v>878000</v>
      </c>
    </row>
    <row r="28" spans="2:12" x14ac:dyDescent="0.25">
      <c r="B28" s="116" t="s">
        <v>104</v>
      </c>
      <c r="C28" s="113" t="s">
        <v>24</v>
      </c>
      <c r="D28" s="114">
        <v>44949.9</v>
      </c>
    </row>
    <row r="29" spans="2:12" x14ac:dyDescent="0.25">
      <c r="B29" s="116" t="s">
        <v>151</v>
      </c>
      <c r="C29" s="113" t="s">
        <v>126</v>
      </c>
      <c r="D29" s="114">
        <v>1526</v>
      </c>
    </row>
    <row r="30" spans="2:12" x14ac:dyDescent="0.25">
      <c r="B30" s="116" t="s">
        <v>152</v>
      </c>
      <c r="C30" s="113" t="s">
        <v>126</v>
      </c>
      <c r="D30" s="114">
        <v>5372</v>
      </c>
    </row>
    <row r="31" spans="2:12" x14ac:dyDescent="0.25">
      <c r="B31" s="116" t="s">
        <v>153</v>
      </c>
      <c r="C31" s="113" t="s">
        <v>23</v>
      </c>
      <c r="D31" s="114">
        <v>2937</v>
      </c>
    </row>
    <row r="32" spans="2:12" x14ac:dyDescent="0.25">
      <c r="B32" s="116" t="s">
        <v>154</v>
      </c>
      <c r="C32" s="113" t="s">
        <v>126</v>
      </c>
      <c r="D32" s="114">
        <v>3800</v>
      </c>
    </row>
    <row r="33" spans="2:4" x14ac:dyDescent="0.25">
      <c r="B33" s="116" t="s">
        <v>155</v>
      </c>
      <c r="C33" s="113" t="s">
        <v>24</v>
      </c>
      <c r="D33" s="114">
        <v>1700</v>
      </c>
    </row>
    <row r="34" spans="2:4" x14ac:dyDescent="0.25">
      <c r="B34" s="116" t="s">
        <v>170</v>
      </c>
      <c r="C34" s="113" t="s">
        <v>126</v>
      </c>
      <c r="D34" s="115">
        <v>5800</v>
      </c>
    </row>
    <row r="35" spans="2:4" x14ac:dyDescent="0.25">
      <c r="B35" s="116" t="s">
        <v>176</v>
      </c>
      <c r="C35" s="113" t="s">
        <v>24</v>
      </c>
      <c r="D35" s="115">
        <f>55000*1.1</f>
        <v>60500.000000000007</v>
      </c>
    </row>
    <row r="36" spans="2:4" x14ac:dyDescent="0.25">
      <c r="B36" s="116" t="s">
        <v>178</v>
      </c>
      <c r="C36" s="113" t="s">
        <v>130</v>
      </c>
      <c r="D36" s="115">
        <v>75000</v>
      </c>
    </row>
  </sheetData>
  <mergeCells count="1">
    <mergeCell ref="B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96"/>
  <sheetViews>
    <sheetView showZeros="0" zoomScale="85" zoomScaleNormal="85" zoomScaleSheetLayoutView="85" workbookViewId="0">
      <selection activeCell="G12" sqref="G12"/>
    </sheetView>
  </sheetViews>
  <sheetFormatPr baseColWidth="10" defaultRowHeight="15" x14ac:dyDescent="0.25"/>
  <cols>
    <col min="1" max="1" width="3.140625" style="51" customWidth="1"/>
    <col min="2" max="2" width="8.42578125" customWidth="1"/>
    <col min="3" max="3" width="68.28515625" customWidth="1"/>
    <col min="4" max="4" width="6.42578125" customWidth="1"/>
    <col min="5" max="5" width="14.28515625" customWidth="1"/>
  </cols>
  <sheetData>
    <row r="1" spans="1:5" ht="6.75" customHeight="1" x14ac:dyDescent="0.25"/>
    <row r="2" spans="1:5" ht="16.5" thickBot="1" x14ac:dyDescent="0.3">
      <c r="B2" s="2"/>
      <c r="C2" s="3"/>
      <c r="D2" s="1"/>
      <c r="E2" s="1"/>
    </row>
    <row r="3" spans="1:5" ht="15.75" x14ac:dyDescent="0.25">
      <c r="B3" s="4"/>
      <c r="C3" s="5"/>
      <c r="D3" s="11"/>
      <c r="E3" s="7"/>
    </row>
    <row r="4" spans="1:5" ht="15.75" x14ac:dyDescent="0.25">
      <c r="B4" s="8" t="s">
        <v>0</v>
      </c>
      <c r="C4" s="9" t="s">
        <v>1</v>
      </c>
      <c r="D4" s="12" t="s">
        <v>2</v>
      </c>
      <c r="E4" s="9" t="s">
        <v>4</v>
      </c>
    </row>
    <row r="5" spans="1:5" ht="16.5" thickBot="1" x14ac:dyDescent="0.3">
      <c r="B5" s="63"/>
      <c r="C5" s="64"/>
      <c r="D5" s="65"/>
      <c r="E5" s="64"/>
    </row>
    <row r="6" spans="1:5" s="52" customFormat="1" ht="15" customHeight="1" x14ac:dyDescent="0.25">
      <c r="A6" s="117"/>
      <c r="B6" s="81" t="s">
        <v>11</v>
      </c>
      <c r="C6" s="82" t="s">
        <v>62</v>
      </c>
      <c r="D6" s="83" t="s">
        <v>23</v>
      </c>
      <c r="E6" s="85">
        <v>150000</v>
      </c>
    </row>
    <row r="7" spans="1:5" s="52" customFormat="1" ht="15" customHeight="1" x14ac:dyDescent="0.25">
      <c r="A7" s="117"/>
      <c r="B7" s="87" t="s">
        <v>18</v>
      </c>
      <c r="C7" s="88" t="s">
        <v>70</v>
      </c>
      <c r="D7" s="89" t="s">
        <v>23</v>
      </c>
      <c r="E7" s="91">
        <v>120000</v>
      </c>
    </row>
    <row r="8" spans="1:5" s="52" customFormat="1" ht="15" customHeight="1" x14ac:dyDescent="0.25">
      <c r="A8" s="117"/>
      <c r="B8" s="87" t="s">
        <v>19</v>
      </c>
      <c r="C8" s="88" t="s">
        <v>68</v>
      </c>
      <c r="D8" s="89" t="s">
        <v>23</v>
      </c>
      <c r="E8" s="91">
        <v>225000</v>
      </c>
    </row>
    <row r="9" spans="1:5" s="52" customFormat="1" ht="15" customHeight="1" x14ac:dyDescent="0.25">
      <c r="A9" s="117"/>
      <c r="B9" s="87" t="s">
        <v>20</v>
      </c>
      <c r="C9" s="88" t="s">
        <v>63</v>
      </c>
      <c r="D9" s="89" t="s">
        <v>23</v>
      </c>
      <c r="E9" s="91">
        <v>198000</v>
      </c>
    </row>
    <row r="10" spans="1:5" s="52" customFormat="1" ht="15" customHeight="1" x14ac:dyDescent="0.25">
      <c r="A10" s="117"/>
      <c r="B10" s="87" t="s">
        <v>27</v>
      </c>
      <c r="C10" s="88" t="s">
        <v>99</v>
      </c>
      <c r="D10" s="89" t="s">
        <v>24</v>
      </c>
      <c r="E10" s="137">
        <v>60000</v>
      </c>
    </row>
    <row r="11" spans="1:5" s="52" customFormat="1" ht="15" customHeight="1" x14ac:dyDescent="0.25">
      <c r="A11" s="117"/>
      <c r="B11" s="87" t="s">
        <v>28</v>
      </c>
      <c r="C11" s="88" t="s">
        <v>71</v>
      </c>
      <c r="D11" s="89" t="s">
        <v>10</v>
      </c>
      <c r="E11" s="91">
        <v>85000</v>
      </c>
    </row>
    <row r="12" spans="1:5" s="52" customFormat="1" ht="15" customHeight="1" x14ac:dyDescent="0.25">
      <c r="A12" s="117"/>
      <c r="B12" s="87" t="s">
        <v>29</v>
      </c>
      <c r="C12" s="88" t="s">
        <v>72</v>
      </c>
      <c r="D12" s="89" t="s">
        <v>31</v>
      </c>
      <c r="E12" s="91">
        <v>75000</v>
      </c>
    </row>
    <row r="13" spans="1:5" s="52" customFormat="1" ht="15.75" customHeight="1" x14ac:dyDescent="0.25">
      <c r="A13" s="117"/>
      <c r="B13" s="87" t="s">
        <v>45</v>
      </c>
      <c r="C13" s="88" t="s">
        <v>64</v>
      </c>
      <c r="D13" s="89" t="s">
        <v>31</v>
      </c>
      <c r="E13" s="91">
        <v>550000</v>
      </c>
    </row>
    <row r="14" spans="1:5" s="55" customFormat="1" ht="15" customHeight="1" x14ac:dyDescent="0.25">
      <c r="A14" s="102"/>
      <c r="B14" s="87" t="s">
        <v>54</v>
      </c>
      <c r="C14" s="88" t="s">
        <v>65</v>
      </c>
      <c r="D14" s="89" t="s">
        <v>23</v>
      </c>
      <c r="E14" s="91">
        <v>120000</v>
      </c>
    </row>
    <row r="15" spans="1:5" s="55" customFormat="1" ht="33.75" customHeight="1" x14ac:dyDescent="0.25">
      <c r="A15" s="102"/>
      <c r="B15" s="87" t="s">
        <v>55</v>
      </c>
      <c r="C15" s="88" t="s">
        <v>110</v>
      </c>
      <c r="D15" s="89" t="s">
        <v>31</v>
      </c>
      <c r="E15" s="91">
        <v>850000</v>
      </c>
    </row>
    <row r="16" spans="1:5" s="55" customFormat="1" ht="15.75" customHeight="1" x14ac:dyDescent="0.25">
      <c r="A16" s="102"/>
      <c r="B16" s="87" t="s">
        <v>56</v>
      </c>
      <c r="C16" s="88" t="s">
        <v>66</v>
      </c>
      <c r="D16" s="89" t="s">
        <v>23</v>
      </c>
      <c r="E16" s="91">
        <v>175000</v>
      </c>
    </row>
    <row r="17" spans="1:5" s="52" customFormat="1" ht="33.75" customHeight="1" x14ac:dyDescent="0.25">
      <c r="A17" s="117"/>
      <c r="B17" s="87" t="s">
        <v>73</v>
      </c>
      <c r="C17" s="88" t="s">
        <v>67</v>
      </c>
      <c r="D17" s="89" t="s">
        <v>23</v>
      </c>
      <c r="E17" s="91">
        <v>165000</v>
      </c>
    </row>
    <row r="18" spans="1:5" s="56" customFormat="1" ht="15.75" customHeight="1" x14ac:dyDescent="0.25">
      <c r="A18" s="103"/>
      <c r="B18" s="87" t="s">
        <v>74</v>
      </c>
      <c r="C18" s="88" t="s">
        <v>69</v>
      </c>
      <c r="D18" s="89" t="s">
        <v>23</v>
      </c>
      <c r="E18" s="91">
        <v>175000</v>
      </c>
    </row>
    <row r="19" spans="1:5" s="52" customFormat="1" ht="15.75" customHeight="1" x14ac:dyDescent="0.25">
      <c r="A19" s="117"/>
      <c r="B19" s="87" t="s">
        <v>98</v>
      </c>
      <c r="C19" s="88" t="s">
        <v>38</v>
      </c>
      <c r="D19" s="89" t="s">
        <v>10</v>
      </c>
      <c r="E19" s="91">
        <v>150000</v>
      </c>
    </row>
    <row r="20" spans="1:5" s="52" customFormat="1" ht="15.75" customHeight="1" x14ac:dyDescent="0.25">
      <c r="A20" s="117"/>
      <c r="B20" s="87" t="s">
        <v>100</v>
      </c>
      <c r="C20" s="101" t="s">
        <v>108</v>
      </c>
      <c r="D20" s="89" t="s">
        <v>10</v>
      </c>
      <c r="E20" s="91">
        <v>2800000</v>
      </c>
    </row>
    <row r="21" spans="1:5" s="52" customFormat="1" ht="15.75" customHeight="1" x14ac:dyDescent="0.25">
      <c r="A21" s="117"/>
      <c r="B21" s="81" t="s">
        <v>13</v>
      </c>
      <c r="C21" s="82" t="s">
        <v>84</v>
      </c>
      <c r="D21" s="83" t="s">
        <v>24</v>
      </c>
      <c r="E21" s="85">
        <v>25000</v>
      </c>
    </row>
    <row r="22" spans="1:5" s="52" customFormat="1" ht="15.75" customHeight="1" x14ac:dyDescent="0.25">
      <c r="A22" s="117"/>
      <c r="B22" s="87" t="s">
        <v>14</v>
      </c>
      <c r="C22" s="88" t="s">
        <v>80</v>
      </c>
      <c r="D22" s="89" t="s">
        <v>24</v>
      </c>
      <c r="E22" s="91">
        <v>29000</v>
      </c>
    </row>
    <row r="23" spans="1:5" s="52" customFormat="1" ht="15.75" customHeight="1" x14ac:dyDescent="0.25">
      <c r="A23" s="117"/>
      <c r="B23" s="87" t="s">
        <v>21</v>
      </c>
      <c r="C23" s="88" t="s">
        <v>94</v>
      </c>
      <c r="D23" s="89" t="s">
        <v>24</v>
      </c>
      <c r="E23" s="91">
        <v>31000</v>
      </c>
    </row>
    <row r="24" spans="1:5" s="52" customFormat="1" ht="15.75" customHeight="1" x14ac:dyDescent="0.25">
      <c r="A24" s="117"/>
      <c r="B24" s="87" t="s">
        <v>22</v>
      </c>
      <c r="C24" s="88" t="str">
        <f>Costo!C39</f>
        <v>Muralla exterior con pilastras (Visto 1 cara)</v>
      </c>
      <c r="D24" s="89" t="s">
        <v>24</v>
      </c>
      <c r="E24" s="91">
        <v>50000</v>
      </c>
    </row>
    <row r="25" spans="1:5" s="52" customFormat="1" ht="15.75" customHeight="1" x14ac:dyDescent="0.25">
      <c r="A25" s="117"/>
      <c r="B25" s="87" t="s">
        <v>34</v>
      </c>
      <c r="C25" s="88" t="s">
        <v>81</v>
      </c>
      <c r="D25" s="89" t="s">
        <v>24</v>
      </c>
      <c r="E25" s="91">
        <v>24000</v>
      </c>
    </row>
    <row r="26" spans="1:5" s="55" customFormat="1" ht="15.75" customHeight="1" x14ac:dyDescent="0.25">
      <c r="A26" s="102"/>
      <c r="B26" s="87" t="s">
        <v>35</v>
      </c>
      <c r="C26" s="88" t="s">
        <v>85</v>
      </c>
      <c r="D26" s="89" t="s">
        <v>24</v>
      </c>
      <c r="E26" s="91">
        <v>40000</v>
      </c>
    </row>
    <row r="27" spans="1:5" s="52" customFormat="1" ht="15.75" customHeight="1" x14ac:dyDescent="0.25">
      <c r="A27" s="117"/>
      <c r="B27" s="87" t="s">
        <v>42</v>
      </c>
      <c r="C27" s="88" t="s">
        <v>26</v>
      </c>
      <c r="D27" s="89" t="s">
        <v>23</v>
      </c>
      <c r="E27" s="91">
        <v>9000</v>
      </c>
    </row>
    <row r="28" spans="1:5" s="55" customFormat="1" ht="15.75" customHeight="1" x14ac:dyDescent="0.25">
      <c r="A28" s="102"/>
      <c r="B28" s="87" t="s">
        <v>58</v>
      </c>
      <c r="C28" s="88" t="s">
        <v>115</v>
      </c>
      <c r="D28" s="89" t="s">
        <v>24</v>
      </c>
      <c r="E28" s="91">
        <v>14000</v>
      </c>
    </row>
    <row r="29" spans="1:5" s="55" customFormat="1" ht="15.75" customHeight="1" x14ac:dyDescent="0.25">
      <c r="A29" s="102"/>
      <c r="B29" s="87" t="s">
        <v>183</v>
      </c>
      <c r="C29" s="88" t="s">
        <v>82</v>
      </c>
      <c r="D29" s="89" t="s">
        <v>24</v>
      </c>
      <c r="E29" s="91">
        <v>14000</v>
      </c>
    </row>
    <row r="30" spans="1:5" s="55" customFormat="1" ht="15.75" customHeight="1" x14ac:dyDescent="0.25">
      <c r="A30" s="102"/>
      <c r="B30" s="87" t="s">
        <v>184</v>
      </c>
      <c r="C30" s="88" t="s">
        <v>83</v>
      </c>
      <c r="D30" s="89" t="s">
        <v>24</v>
      </c>
      <c r="E30" s="91">
        <v>14000</v>
      </c>
    </row>
    <row r="31" spans="1:5" s="55" customFormat="1" ht="15.75" customHeight="1" x14ac:dyDescent="0.25">
      <c r="A31" s="102"/>
      <c r="B31" s="81" t="s">
        <v>15</v>
      </c>
      <c r="C31" s="82" t="s">
        <v>87</v>
      </c>
      <c r="D31" s="83" t="s">
        <v>23</v>
      </c>
      <c r="E31" s="85">
        <v>15000</v>
      </c>
    </row>
    <row r="32" spans="1:5" s="55" customFormat="1" ht="15.75" customHeight="1" x14ac:dyDescent="0.25">
      <c r="A32" s="102"/>
      <c r="B32" s="87" t="s">
        <v>43</v>
      </c>
      <c r="C32" s="88" t="s">
        <v>88</v>
      </c>
      <c r="D32" s="89" t="s">
        <v>23</v>
      </c>
      <c r="E32" s="91">
        <v>20000</v>
      </c>
    </row>
    <row r="33" spans="1:5" s="55" customFormat="1" ht="15.75" customHeight="1" x14ac:dyDescent="0.25">
      <c r="A33" s="102"/>
      <c r="B33" s="87" t="s">
        <v>30</v>
      </c>
      <c r="C33" s="88" t="s">
        <v>89</v>
      </c>
      <c r="D33" s="89" t="s">
        <v>24</v>
      </c>
      <c r="E33" s="91">
        <v>35000</v>
      </c>
    </row>
    <row r="34" spans="1:5" s="55" customFormat="1" ht="15.75" customHeight="1" x14ac:dyDescent="0.25">
      <c r="A34" s="102"/>
      <c r="B34" s="87" t="s">
        <v>44</v>
      </c>
      <c r="C34" s="88" t="s">
        <v>118</v>
      </c>
      <c r="D34" s="89" t="s">
        <v>24</v>
      </c>
      <c r="E34" s="91">
        <v>35000</v>
      </c>
    </row>
    <row r="35" spans="1:5" s="55" customFormat="1" ht="15.75" customHeight="1" x14ac:dyDescent="0.25">
      <c r="A35" s="102"/>
      <c r="B35" s="81" t="s">
        <v>16</v>
      </c>
      <c r="C35" s="88" t="s">
        <v>102</v>
      </c>
      <c r="D35" s="89" t="s">
        <v>24</v>
      </c>
      <c r="E35" s="85">
        <v>35000</v>
      </c>
    </row>
    <row r="36" spans="1:5" s="55" customFormat="1" ht="30" x14ac:dyDescent="0.25">
      <c r="A36" s="102"/>
      <c r="B36" s="87" t="s">
        <v>46</v>
      </c>
      <c r="C36" s="88" t="s">
        <v>103</v>
      </c>
      <c r="D36" s="89" t="s">
        <v>24</v>
      </c>
      <c r="E36" s="91">
        <v>35000</v>
      </c>
    </row>
    <row r="37" spans="1:5" s="55" customFormat="1" ht="15" customHeight="1" x14ac:dyDescent="0.25">
      <c r="A37" s="102"/>
      <c r="B37" s="87" t="s">
        <v>47</v>
      </c>
      <c r="C37" s="88" t="s">
        <v>107</v>
      </c>
      <c r="D37" s="89" t="s">
        <v>24</v>
      </c>
      <c r="E37" s="91">
        <v>37500</v>
      </c>
    </row>
    <row r="38" spans="1:5" s="55" customFormat="1" ht="15.75" customHeight="1" x14ac:dyDescent="0.25">
      <c r="A38" s="102"/>
      <c r="B38" s="87" t="s">
        <v>48</v>
      </c>
      <c r="C38" s="88" t="s">
        <v>104</v>
      </c>
      <c r="D38" s="89" t="s">
        <v>24</v>
      </c>
      <c r="E38" s="91">
        <v>24000</v>
      </c>
    </row>
    <row r="39" spans="1:5" s="55" customFormat="1" ht="15.75" customHeight="1" x14ac:dyDescent="0.25">
      <c r="A39" s="102"/>
      <c r="B39" s="87" t="s">
        <v>49</v>
      </c>
      <c r="C39" s="88" t="s">
        <v>105</v>
      </c>
      <c r="D39" s="89" t="s">
        <v>23</v>
      </c>
      <c r="E39" s="91">
        <v>12000</v>
      </c>
    </row>
    <row r="40" spans="1:5" s="55" customFormat="1" ht="15.75" customHeight="1" x14ac:dyDescent="0.25">
      <c r="A40" s="102"/>
      <c r="B40" s="87" t="s">
        <v>50</v>
      </c>
      <c r="C40" s="88" t="s">
        <v>106</v>
      </c>
      <c r="D40" s="89" t="s">
        <v>24</v>
      </c>
      <c r="E40" s="91">
        <v>25000</v>
      </c>
    </row>
    <row r="41" spans="1:5" s="55" customFormat="1" ht="30" x14ac:dyDescent="0.25">
      <c r="A41" s="102"/>
      <c r="B41" s="87" t="s">
        <v>111</v>
      </c>
      <c r="C41" s="88" t="s">
        <v>114</v>
      </c>
      <c r="D41" s="89" t="s">
        <v>24</v>
      </c>
      <c r="E41" s="91">
        <v>35000</v>
      </c>
    </row>
    <row r="42" spans="1:5" s="55" customFormat="1" ht="15.75" customHeight="1" x14ac:dyDescent="0.25">
      <c r="A42" s="102"/>
      <c r="B42" s="87" t="s">
        <v>113</v>
      </c>
      <c r="C42" s="88" t="s">
        <v>116</v>
      </c>
      <c r="D42" s="89" t="s">
        <v>24</v>
      </c>
      <c r="E42" s="91">
        <v>24000</v>
      </c>
    </row>
    <row r="43" spans="1:5" s="55" customFormat="1" ht="15.75" customHeight="1" x14ac:dyDescent="0.25">
      <c r="A43" s="102"/>
      <c r="B43" s="87" t="s">
        <v>117</v>
      </c>
      <c r="C43" s="88" t="s">
        <v>112</v>
      </c>
      <c r="D43" s="89" t="s">
        <v>24</v>
      </c>
      <c r="E43" s="91">
        <v>25000</v>
      </c>
    </row>
    <row r="44" spans="1:5" s="55" customFormat="1" ht="15.75" customHeight="1" x14ac:dyDescent="0.25">
      <c r="A44" s="102"/>
      <c r="B44" s="81" t="s">
        <v>37</v>
      </c>
      <c r="C44" s="82" t="s">
        <v>95</v>
      </c>
      <c r="D44" s="83" t="s">
        <v>10</v>
      </c>
      <c r="E44" s="85"/>
    </row>
    <row r="45" spans="1:5" s="55" customFormat="1" ht="15.75" customHeight="1" x14ac:dyDescent="0.25">
      <c r="A45" s="102"/>
      <c r="B45" s="87" t="s">
        <v>39</v>
      </c>
      <c r="C45" s="88" t="s">
        <v>96</v>
      </c>
      <c r="D45" s="89" t="s">
        <v>10</v>
      </c>
      <c r="E45" s="91"/>
    </row>
    <row r="46" spans="1:5" s="55" customFormat="1" ht="30" x14ac:dyDescent="0.25">
      <c r="A46" s="102"/>
      <c r="B46" s="87" t="s">
        <v>40</v>
      </c>
      <c r="C46" s="88" t="s">
        <v>97</v>
      </c>
      <c r="D46" s="89" t="s">
        <v>10</v>
      </c>
      <c r="E46" s="91"/>
    </row>
    <row r="47" spans="1:5" s="55" customFormat="1" ht="30" x14ac:dyDescent="0.25">
      <c r="A47" s="102"/>
      <c r="B47" s="87" t="s">
        <v>109</v>
      </c>
      <c r="C47" s="88" t="s">
        <v>157</v>
      </c>
      <c r="D47" s="89" t="s">
        <v>10</v>
      </c>
      <c r="E47" s="91"/>
    </row>
    <row r="48" spans="1:5" s="52" customFormat="1" ht="15.75" customHeight="1" x14ac:dyDescent="0.25">
      <c r="A48" s="117"/>
      <c r="B48" s="57"/>
      <c r="C48" s="58"/>
      <c r="D48" s="57"/>
      <c r="E48" s="60"/>
    </row>
    <row r="49" spans="1:5" s="52" customFormat="1" x14ac:dyDescent="0.25">
      <c r="A49" s="117"/>
      <c r="B49"/>
      <c r="C49"/>
      <c r="D49"/>
      <c r="E49"/>
    </row>
    <row r="50" spans="1:5" s="55" customFormat="1" x14ac:dyDescent="0.25">
      <c r="A50" s="102"/>
      <c r="B50"/>
      <c r="C50"/>
      <c r="D50"/>
      <c r="E50"/>
    </row>
    <row r="51" spans="1:5" s="52" customFormat="1" x14ac:dyDescent="0.25">
      <c r="A51" s="117"/>
      <c r="B51"/>
      <c r="C51"/>
      <c r="D51"/>
      <c r="E51"/>
    </row>
    <row r="52" spans="1:5" s="52" customFormat="1" x14ac:dyDescent="0.25">
      <c r="A52" s="117"/>
      <c r="B52"/>
      <c r="C52"/>
      <c r="D52"/>
      <c r="E52"/>
    </row>
    <row r="53" spans="1:5" s="52" customFormat="1" x14ac:dyDescent="0.25">
      <c r="A53" s="117"/>
      <c r="B53"/>
      <c r="C53"/>
      <c r="D53"/>
      <c r="E53"/>
    </row>
    <row r="54" spans="1:5" s="52" customFormat="1" x14ac:dyDescent="0.25">
      <c r="A54" s="117"/>
      <c r="B54"/>
      <c r="C54"/>
      <c r="D54"/>
      <c r="E54"/>
    </row>
    <row r="55" spans="1:5" s="52" customFormat="1" x14ac:dyDescent="0.25">
      <c r="A55" s="117"/>
      <c r="B55"/>
      <c r="C55"/>
      <c r="D55"/>
      <c r="E55"/>
    </row>
    <row r="56" spans="1:5" s="52" customFormat="1" x14ac:dyDescent="0.25">
      <c r="A56" s="117"/>
      <c r="B56"/>
      <c r="C56"/>
      <c r="D56"/>
      <c r="E56"/>
    </row>
    <row r="57" spans="1:5" s="52" customFormat="1" x14ac:dyDescent="0.25">
      <c r="A57" s="117"/>
      <c r="B57"/>
      <c r="C57"/>
      <c r="D57"/>
      <c r="E57"/>
    </row>
    <row r="58" spans="1:5" s="55" customFormat="1" x14ac:dyDescent="0.25">
      <c r="A58" s="102"/>
      <c r="B58"/>
      <c r="C58"/>
      <c r="D58"/>
      <c r="E58"/>
    </row>
    <row r="59" spans="1:5" s="52" customFormat="1" x14ac:dyDescent="0.25">
      <c r="A59" s="117"/>
      <c r="B59"/>
      <c r="C59"/>
      <c r="D59"/>
      <c r="E59"/>
    </row>
    <row r="60" spans="1:5" s="52" customFormat="1" x14ac:dyDescent="0.25">
      <c r="A60" s="117"/>
      <c r="B60"/>
      <c r="C60"/>
      <c r="D60"/>
      <c r="E60"/>
    </row>
    <row r="61" spans="1:5" s="52" customFormat="1" x14ac:dyDescent="0.25">
      <c r="A61" s="117"/>
      <c r="B61"/>
      <c r="C61"/>
      <c r="D61"/>
      <c r="E61"/>
    </row>
    <row r="62" spans="1:5" s="55" customFormat="1" x14ac:dyDescent="0.25">
      <c r="A62" s="102"/>
      <c r="B62"/>
      <c r="C62"/>
      <c r="D62"/>
      <c r="E62"/>
    </row>
    <row r="63" spans="1:5" s="52" customFormat="1" x14ac:dyDescent="0.25">
      <c r="A63" s="117"/>
      <c r="B63"/>
      <c r="C63"/>
      <c r="D63"/>
      <c r="E63"/>
    </row>
    <row r="64" spans="1:5" s="52" customFormat="1" x14ac:dyDescent="0.25">
      <c r="A64" s="117"/>
      <c r="B64"/>
      <c r="C64"/>
      <c r="D64"/>
      <c r="E64"/>
    </row>
    <row r="65" spans="1:5" s="52" customFormat="1" x14ac:dyDescent="0.25">
      <c r="A65" s="117"/>
      <c r="B65"/>
      <c r="C65"/>
      <c r="D65"/>
      <c r="E65"/>
    </row>
    <row r="66" spans="1:5" s="52" customFormat="1" x14ac:dyDescent="0.25">
      <c r="A66" s="117"/>
      <c r="B66"/>
      <c r="C66"/>
      <c r="D66"/>
      <c r="E66"/>
    </row>
    <row r="67" spans="1:5" s="52" customFormat="1" x14ac:dyDescent="0.25">
      <c r="A67" s="117"/>
      <c r="B67"/>
      <c r="C67"/>
      <c r="D67"/>
      <c r="E67"/>
    </row>
    <row r="68" spans="1:5" s="55" customFormat="1" x14ac:dyDescent="0.25">
      <c r="A68" s="102"/>
      <c r="B68"/>
      <c r="C68"/>
      <c r="D68"/>
      <c r="E68"/>
    </row>
    <row r="69" spans="1:5" s="52" customFormat="1" x14ac:dyDescent="0.25">
      <c r="A69" s="117"/>
      <c r="B69"/>
      <c r="C69"/>
      <c r="D69"/>
      <c r="E69"/>
    </row>
    <row r="70" spans="1:5" s="55" customFormat="1" x14ac:dyDescent="0.25">
      <c r="A70" s="102"/>
      <c r="B70"/>
      <c r="C70"/>
      <c r="D70"/>
      <c r="E70"/>
    </row>
    <row r="71" spans="1:5" s="52" customFormat="1" x14ac:dyDescent="0.25">
      <c r="A71" s="117"/>
      <c r="B71"/>
      <c r="C71"/>
      <c r="D71"/>
      <c r="E71"/>
    </row>
    <row r="72" spans="1:5" s="55" customFormat="1" x14ac:dyDescent="0.25">
      <c r="A72" s="102"/>
      <c r="B72"/>
      <c r="C72"/>
      <c r="D72"/>
      <c r="E72"/>
    </row>
    <row r="73" spans="1:5" s="52" customFormat="1" x14ac:dyDescent="0.25">
      <c r="A73" s="117"/>
      <c r="B73"/>
      <c r="C73"/>
      <c r="D73"/>
      <c r="E73"/>
    </row>
    <row r="74" spans="1:5" s="52" customFormat="1" x14ac:dyDescent="0.25">
      <c r="A74" s="117"/>
      <c r="B74"/>
      <c r="C74"/>
      <c r="D74"/>
      <c r="E74"/>
    </row>
    <row r="75" spans="1:5" s="52" customFormat="1" ht="15" customHeight="1" x14ac:dyDescent="0.25">
      <c r="A75" s="117"/>
      <c r="B75"/>
      <c r="C75"/>
      <c r="D75"/>
      <c r="E75"/>
    </row>
    <row r="81" spans="1:5" s="1" customFormat="1" x14ac:dyDescent="0.25">
      <c r="A81" s="118"/>
      <c r="B81"/>
      <c r="C81"/>
      <c r="D81"/>
      <c r="E81"/>
    </row>
    <row r="82" spans="1:5" s="53" customFormat="1" ht="56.25" customHeight="1" x14ac:dyDescent="0.25">
      <c r="A82" s="119"/>
      <c r="B82"/>
      <c r="C82"/>
      <c r="D82"/>
      <c r="E82"/>
    </row>
    <row r="83" spans="1:5" s="1" customFormat="1" ht="37.5" customHeight="1" x14ac:dyDescent="0.25">
      <c r="A83" s="118"/>
      <c r="B83"/>
      <c r="C83"/>
      <c r="D83"/>
      <c r="E83"/>
    </row>
    <row r="84" spans="1:5" s="1" customFormat="1" x14ac:dyDescent="0.25">
      <c r="A84" s="118"/>
      <c r="B84"/>
      <c r="C84"/>
      <c r="D84"/>
      <c r="E84"/>
    </row>
    <row r="85" spans="1:5" s="1" customFormat="1" x14ac:dyDescent="0.25">
      <c r="A85" s="118"/>
      <c r="B85"/>
      <c r="C85"/>
      <c r="D85"/>
      <c r="E85"/>
    </row>
    <row r="86" spans="1:5" s="51" customFormat="1" x14ac:dyDescent="0.25">
      <c r="B86"/>
      <c r="C86"/>
      <c r="D86"/>
      <c r="E86"/>
    </row>
    <row r="87" spans="1:5" s="51" customFormat="1" x14ac:dyDescent="0.25">
      <c r="B87"/>
      <c r="C87"/>
      <c r="D87"/>
      <c r="E87"/>
    </row>
    <row r="88" spans="1:5" s="51" customFormat="1" x14ac:dyDescent="0.25">
      <c r="B88"/>
      <c r="C88"/>
      <c r="D88"/>
      <c r="E88"/>
    </row>
    <row r="89" spans="1:5" s="51" customFormat="1" x14ac:dyDescent="0.25">
      <c r="B89"/>
      <c r="C89"/>
      <c r="D89"/>
      <c r="E89"/>
    </row>
    <row r="90" spans="1:5" s="51" customFormat="1" x14ac:dyDescent="0.25">
      <c r="B90"/>
      <c r="C90"/>
      <c r="D90"/>
      <c r="E90"/>
    </row>
    <row r="91" spans="1:5" s="51" customFormat="1" x14ac:dyDescent="0.25">
      <c r="B91"/>
      <c r="C91"/>
      <c r="D91"/>
      <c r="E91"/>
    </row>
    <row r="92" spans="1:5" s="51" customFormat="1" x14ac:dyDescent="0.25">
      <c r="B92"/>
      <c r="C92"/>
      <c r="D92"/>
      <c r="E92"/>
    </row>
    <row r="93" spans="1:5" s="51" customFormat="1" x14ac:dyDescent="0.25">
      <c r="B93"/>
      <c r="C93"/>
      <c r="D93"/>
      <c r="E93"/>
    </row>
    <row r="94" spans="1:5" s="51" customFormat="1" x14ac:dyDescent="0.25">
      <c r="B94"/>
      <c r="C94"/>
      <c r="D94"/>
      <c r="E94"/>
    </row>
    <row r="95" spans="1:5" s="51" customFormat="1" x14ac:dyDescent="0.25">
      <c r="B95"/>
      <c r="C95"/>
      <c r="D95"/>
      <c r="E95"/>
    </row>
    <row r="96" spans="1:5" s="51" customFormat="1" x14ac:dyDescent="0.25">
      <c r="B96"/>
      <c r="C96"/>
      <c r="D96"/>
      <c r="E96"/>
    </row>
  </sheetData>
  <pageMargins left="0.78740157480314965" right="0.31496062992125984" top="1.9685039370078741" bottom="0.78740157480314965" header="0" footer="0"/>
  <pageSetup paperSize="9" scale="59" fitToHeight="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51"/>
  <sheetViews>
    <sheetView topLeftCell="A268" workbookViewId="0">
      <selection activeCell="F274" sqref="F274"/>
    </sheetView>
  </sheetViews>
  <sheetFormatPr baseColWidth="10" defaultRowHeight="15" x14ac:dyDescent="0.25"/>
  <cols>
    <col min="1" max="1" width="2.85546875" customWidth="1"/>
    <col min="3" max="3" width="32.7109375" bestFit="1" customWidth="1"/>
    <col min="6" max="6" width="16.7109375" bestFit="1" customWidth="1"/>
    <col min="7" max="7" width="13.42578125" bestFit="1" customWidth="1"/>
  </cols>
  <sheetData>
    <row r="1" spans="2:8" ht="15.75" thickBot="1" x14ac:dyDescent="0.3"/>
    <row r="2" spans="2:8" s="120" customFormat="1" ht="15.75" thickBot="1" x14ac:dyDescent="0.3">
      <c r="B2" s="149" t="e">
        <f>MO!#REF!</f>
        <v>#REF!</v>
      </c>
      <c r="C2" s="150"/>
      <c r="D2" s="150"/>
      <c r="E2" s="150"/>
      <c r="F2" s="150"/>
      <c r="G2" s="151"/>
    </row>
    <row r="4" spans="2:8" x14ac:dyDescent="0.25">
      <c r="B4" s="121">
        <v>1</v>
      </c>
      <c r="C4" s="122" t="str">
        <f>MO!C6</f>
        <v>Pantalla de pilotes tipo strauss de 30 cm de diámetro</v>
      </c>
      <c r="D4" s="123"/>
      <c r="E4" s="124"/>
      <c r="F4" s="125"/>
      <c r="G4" s="125"/>
    </row>
    <row r="5" spans="2:8" x14ac:dyDescent="0.25">
      <c r="B5" s="126"/>
      <c r="E5" s="126"/>
      <c r="F5" s="127"/>
      <c r="G5" s="127"/>
    </row>
    <row r="6" spans="2:8" x14ac:dyDescent="0.25">
      <c r="B6" s="128" t="s">
        <v>0</v>
      </c>
      <c r="C6" s="128" t="s">
        <v>158</v>
      </c>
      <c r="D6" s="128" t="s">
        <v>120</v>
      </c>
      <c r="E6" s="128" t="s">
        <v>3</v>
      </c>
      <c r="F6" s="129" t="s">
        <v>159</v>
      </c>
      <c r="G6" s="129" t="s">
        <v>160</v>
      </c>
      <c r="H6" s="130"/>
    </row>
    <row r="7" spans="2:8" x14ac:dyDescent="0.25">
      <c r="B7" s="131">
        <v>1</v>
      </c>
      <c r="C7" s="132" t="s">
        <v>148</v>
      </c>
      <c r="D7" s="131" t="s">
        <v>31</v>
      </c>
      <c r="E7" s="133">
        <f>(0.15^2*PI())*1.05</f>
        <v>7.4220126441058867E-2</v>
      </c>
      <c r="F7" s="134">
        <f>Materiales!$D$25</f>
        <v>790000</v>
      </c>
      <c r="G7" s="134">
        <f>F7*E7</f>
        <v>58633.899888436506</v>
      </c>
    </row>
    <row r="8" spans="2:8" x14ac:dyDescent="0.25">
      <c r="B8" s="131">
        <v>2</v>
      </c>
      <c r="C8" s="132" t="s">
        <v>140</v>
      </c>
      <c r="D8" s="131" t="s">
        <v>126</v>
      </c>
      <c r="E8" s="133">
        <f>16*1.05</f>
        <v>16.8</v>
      </c>
      <c r="F8" s="134">
        <f>Materiales!$D$17</f>
        <v>4985.1499999999996</v>
      </c>
      <c r="G8" s="134">
        <f>F8*E8</f>
        <v>83750.52</v>
      </c>
    </row>
    <row r="9" spans="2:8" x14ac:dyDescent="0.25">
      <c r="B9" s="131">
        <v>3</v>
      </c>
      <c r="C9" s="132" t="s">
        <v>162</v>
      </c>
      <c r="D9" s="131" t="s">
        <v>126</v>
      </c>
      <c r="E9" s="133">
        <f>0.5*E7</f>
        <v>3.7110063220529434E-2</v>
      </c>
      <c r="F9" s="134">
        <f>(Materiales!$D$18+Materiales!$D$19)</f>
        <v>18000</v>
      </c>
      <c r="G9" s="134">
        <f>F9*E9</f>
        <v>667.98113796952975</v>
      </c>
    </row>
    <row r="10" spans="2:8" x14ac:dyDescent="0.25">
      <c r="B10" s="131">
        <v>4</v>
      </c>
      <c r="C10" s="132" t="s">
        <v>161</v>
      </c>
      <c r="D10" s="131" t="s">
        <v>23</v>
      </c>
      <c r="E10" s="133">
        <v>1</v>
      </c>
      <c r="F10" s="134">
        <f>MO!E6</f>
        <v>150000</v>
      </c>
      <c r="G10" s="134">
        <f>F10*E10</f>
        <v>150000</v>
      </c>
    </row>
    <row r="11" spans="2:8" x14ac:dyDescent="0.25">
      <c r="B11" s="131"/>
      <c r="C11" s="146" t="s">
        <v>61</v>
      </c>
      <c r="D11" s="147"/>
      <c r="E11" s="147"/>
      <c r="F11" s="148"/>
      <c r="G11" s="135">
        <f>SUM(G7:G10)</f>
        <v>293052.40102640603</v>
      </c>
      <c r="H11" t="s">
        <v>23</v>
      </c>
    </row>
    <row r="13" spans="2:8" x14ac:dyDescent="0.25">
      <c r="B13" s="121">
        <f>B4+1</f>
        <v>2</v>
      </c>
      <c r="C13" s="122" t="str">
        <f>MO!C7</f>
        <v>Viga de coronamiento</v>
      </c>
      <c r="D13" s="123"/>
      <c r="E13" s="124"/>
      <c r="F13" s="125"/>
      <c r="G13" s="125"/>
    </row>
    <row r="14" spans="2:8" x14ac:dyDescent="0.25">
      <c r="B14" s="126"/>
      <c r="E14" s="126"/>
      <c r="F14" s="127"/>
      <c r="G14" s="127"/>
    </row>
    <row r="15" spans="2:8" x14ac:dyDescent="0.25">
      <c r="B15" s="128" t="s">
        <v>0</v>
      </c>
      <c r="C15" s="128" t="s">
        <v>158</v>
      </c>
      <c r="D15" s="128" t="s">
        <v>120</v>
      </c>
      <c r="E15" s="128" t="s">
        <v>3</v>
      </c>
      <c r="F15" s="129" t="s">
        <v>159</v>
      </c>
      <c r="G15" s="129" t="s">
        <v>160</v>
      </c>
      <c r="H15" s="130"/>
    </row>
    <row r="16" spans="2:8" x14ac:dyDescent="0.25">
      <c r="B16" s="131">
        <v>1</v>
      </c>
      <c r="C16" s="132" t="s">
        <v>148</v>
      </c>
      <c r="D16" s="131" t="s">
        <v>31</v>
      </c>
      <c r="E16" s="133">
        <f>(0.15^2*PI())*1.05</f>
        <v>7.4220126441058867E-2</v>
      </c>
      <c r="F16" s="134">
        <f>Materiales!$D$25</f>
        <v>790000</v>
      </c>
      <c r="G16" s="134">
        <f>F16*E16</f>
        <v>58633.899888436506</v>
      </c>
    </row>
    <row r="17" spans="2:8" x14ac:dyDescent="0.25">
      <c r="B17" s="131">
        <v>2</v>
      </c>
      <c r="C17" s="132" t="s">
        <v>140</v>
      </c>
      <c r="D17" s="131" t="s">
        <v>126</v>
      </c>
      <c r="E17" s="133">
        <f>100*E16</f>
        <v>7.4220126441058865</v>
      </c>
      <c r="F17" s="134">
        <f>Materiales!$D$17</f>
        <v>4985.1499999999996</v>
      </c>
      <c r="G17" s="134">
        <f>F17*E17</f>
        <v>36999.846332764457</v>
      </c>
    </row>
    <row r="18" spans="2:8" x14ac:dyDescent="0.25">
      <c r="B18" s="131">
        <v>3</v>
      </c>
      <c r="C18" s="132" t="s">
        <v>162</v>
      </c>
      <c r="D18" s="131" t="s">
        <v>126</v>
      </c>
      <c r="E18" s="133">
        <f>0.5*E16</f>
        <v>3.7110063220529434E-2</v>
      </c>
      <c r="F18" s="134">
        <f>(Materiales!$D$18+Materiales!$D$19)</f>
        <v>18000</v>
      </c>
      <c r="G18" s="134">
        <f>F18*E18</f>
        <v>667.98113796952975</v>
      </c>
    </row>
    <row r="19" spans="2:8" x14ac:dyDescent="0.25">
      <c r="B19" s="131">
        <v>4</v>
      </c>
      <c r="C19" s="132" t="s">
        <v>161</v>
      </c>
      <c r="D19" s="131" t="s">
        <v>23</v>
      </c>
      <c r="E19" s="133">
        <v>1</v>
      </c>
      <c r="F19" s="134">
        <f>MO!E7</f>
        <v>120000</v>
      </c>
      <c r="G19" s="134">
        <f>F19*E19</f>
        <v>120000</v>
      </c>
    </row>
    <row r="20" spans="2:8" x14ac:dyDescent="0.25">
      <c r="B20" s="131"/>
      <c r="C20" s="146" t="s">
        <v>61</v>
      </c>
      <c r="D20" s="147"/>
      <c r="E20" s="147"/>
      <c r="F20" s="148"/>
      <c r="G20" s="135">
        <f>SUM(G16:G19)</f>
        <v>216301.7273591705</v>
      </c>
      <c r="H20" t="s">
        <v>23</v>
      </c>
    </row>
    <row r="22" spans="2:8" x14ac:dyDescent="0.25">
      <c r="B22" s="121">
        <f>B13+1</f>
        <v>3</v>
      </c>
      <c r="C22" s="122" t="str">
        <f>MO!C8</f>
        <v>Pilotes perforados de 50 cm de diámetro</v>
      </c>
      <c r="D22" s="123"/>
      <c r="E22" s="124"/>
      <c r="F22" s="125"/>
      <c r="G22" s="125"/>
    </row>
    <row r="23" spans="2:8" x14ac:dyDescent="0.25">
      <c r="B23" s="126"/>
      <c r="E23" s="126"/>
      <c r="F23" s="127"/>
      <c r="G23" s="127"/>
    </row>
    <row r="24" spans="2:8" x14ac:dyDescent="0.25">
      <c r="B24" s="128" t="s">
        <v>0</v>
      </c>
      <c r="C24" s="128" t="s">
        <v>158</v>
      </c>
      <c r="D24" s="128" t="s">
        <v>120</v>
      </c>
      <c r="E24" s="128" t="s">
        <v>3</v>
      </c>
      <c r="F24" s="129" t="s">
        <v>159</v>
      </c>
      <c r="G24" s="129" t="s">
        <v>160</v>
      </c>
      <c r="H24" s="130"/>
    </row>
    <row r="25" spans="2:8" x14ac:dyDescent="0.25">
      <c r="B25" s="131">
        <v>1</v>
      </c>
      <c r="C25" s="132" t="s">
        <v>148</v>
      </c>
      <c r="D25" s="131" t="s">
        <v>31</v>
      </c>
      <c r="E25" s="133">
        <f>(0.25^2*PI())*1.05</f>
        <v>0.20616701789183017</v>
      </c>
      <c r="F25" s="134">
        <f>Materiales!$D$25</f>
        <v>790000</v>
      </c>
      <c r="G25" s="134">
        <f>F25*E25</f>
        <v>162871.94413454583</v>
      </c>
    </row>
    <row r="26" spans="2:8" x14ac:dyDescent="0.25">
      <c r="B26" s="131">
        <v>2</v>
      </c>
      <c r="C26" s="132" t="s">
        <v>140</v>
      </c>
      <c r="D26" s="131" t="s">
        <v>126</v>
      </c>
      <c r="E26" s="133">
        <f>26.25*1.05</f>
        <v>27.5625</v>
      </c>
      <c r="F26" s="134">
        <f>Materiales!$D$17</f>
        <v>4985.1499999999996</v>
      </c>
      <c r="G26" s="134">
        <f>F26*E26</f>
        <v>137403.19687499999</v>
      </c>
    </row>
    <row r="27" spans="2:8" x14ac:dyDescent="0.25">
      <c r="B27" s="131">
        <v>3</v>
      </c>
      <c r="C27" s="132" t="s">
        <v>162</v>
      </c>
      <c r="D27" s="131" t="s">
        <v>126</v>
      </c>
      <c r="E27" s="133">
        <f>0.5*E25</f>
        <v>0.10308350894591509</v>
      </c>
      <c r="F27" s="134">
        <f>(Materiales!$D$18+Materiales!$D$19)</f>
        <v>18000</v>
      </c>
      <c r="G27" s="134">
        <f>F27*E27</f>
        <v>1855.5031610264716</v>
      </c>
    </row>
    <row r="28" spans="2:8" x14ac:dyDescent="0.25">
      <c r="B28" s="131">
        <v>4</v>
      </c>
      <c r="C28" s="132" t="s">
        <v>161</v>
      </c>
      <c r="D28" s="131" t="s">
        <v>23</v>
      </c>
      <c r="E28" s="133">
        <v>1</v>
      </c>
      <c r="F28" s="134">
        <f>MO!E8</f>
        <v>225000</v>
      </c>
      <c r="G28" s="134">
        <f>F28*E28</f>
        <v>225000</v>
      </c>
    </row>
    <row r="29" spans="2:8" x14ac:dyDescent="0.25">
      <c r="B29" s="131"/>
      <c r="C29" s="146" t="s">
        <v>61</v>
      </c>
      <c r="D29" s="147"/>
      <c r="E29" s="147"/>
      <c r="F29" s="148"/>
      <c r="G29" s="135">
        <f>SUM(G25:G28)</f>
        <v>527130.64417057228</v>
      </c>
      <c r="H29" t="s">
        <v>23</v>
      </c>
    </row>
    <row r="31" spans="2:8" x14ac:dyDescent="0.25">
      <c r="B31" s="121">
        <f>B22+1</f>
        <v>4</v>
      </c>
      <c r="C31" s="122" t="str">
        <f>MO!C9</f>
        <v>Pilotes perforados de 40 cm de diámetro</v>
      </c>
      <c r="D31" s="123"/>
      <c r="E31" s="124"/>
      <c r="F31" s="125"/>
      <c r="G31" s="125"/>
    </row>
    <row r="32" spans="2:8" x14ac:dyDescent="0.25">
      <c r="B32" s="126"/>
      <c r="E32" s="126"/>
      <c r="F32" s="127"/>
      <c r="G32" s="127"/>
    </row>
    <row r="33" spans="2:8" x14ac:dyDescent="0.25">
      <c r="B33" s="128" t="s">
        <v>0</v>
      </c>
      <c r="C33" s="128" t="s">
        <v>158</v>
      </c>
      <c r="D33" s="128" t="s">
        <v>120</v>
      </c>
      <c r="E33" s="128" t="s">
        <v>3</v>
      </c>
      <c r="F33" s="129" t="s">
        <v>159</v>
      </c>
      <c r="G33" s="129" t="s">
        <v>160</v>
      </c>
      <c r="H33" s="130"/>
    </row>
    <row r="34" spans="2:8" x14ac:dyDescent="0.25">
      <c r="B34" s="131">
        <v>1</v>
      </c>
      <c r="C34" s="132" t="s">
        <v>148</v>
      </c>
      <c r="D34" s="131" t="s">
        <v>31</v>
      </c>
      <c r="E34" s="133">
        <f>(0.2^2*PI())*1.05</f>
        <v>0.13194689145077132</v>
      </c>
      <c r="F34" s="134">
        <f>Materiales!$D$25</f>
        <v>790000</v>
      </c>
      <c r="G34" s="134">
        <f>F34*E34</f>
        <v>104238.04424610935</v>
      </c>
    </row>
    <row r="35" spans="2:8" x14ac:dyDescent="0.25">
      <c r="B35" s="131">
        <v>2</v>
      </c>
      <c r="C35" s="132" t="s">
        <v>140</v>
      </c>
      <c r="D35" s="131" t="s">
        <v>126</v>
      </c>
      <c r="E35" s="133">
        <f>17.45*1.05</f>
        <v>18.322500000000002</v>
      </c>
      <c r="F35" s="134">
        <f>Materiales!$D$17</f>
        <v>4985.1499999999996</v>
      </c>
      <c r="G35" s="134">
        <f>F35*E35</f>
        <v>91340.410875000001</v>
      </c>
    </row>
    <row r="36" spans="2:8" x14ac:dyDescent="0.25">
      <c r="B36" s="131">
        <v>3</v>
      </c>
      <c r="C36" s="132" t="s">
        <v>162</v>
      </c>
      <c r="D36" s="131" t="s">
        <v>126</v>
      </c>
      <c r="E36" s="133">
        <f>0.5*E34</f>
        <v>6.597344572538566E-2</v>
      </c>
      <c r="F36" s="134">
        <f>(Materiales!$D$18+Materiales!$D$19)</f>
        <v>18000</v>
      </c>
      <c r="G36" s="134">
        <f>F36*E36</f>
        <v>1187.5220230569419</v>
      </c>
    </row>
    <row r="37" spans="2:8" x14ac:dyDescent="0.25">
      <c r="B37" s="131">
        <v>4</v>
      </c>
      <c r="C37" s="132" t="s">
        <v>161</v>
      </c>
      <c r="D37" s="131" t="s">
        <v>23</v>
      </c>
      <c r="E37" s="133">
        <v>1</v>
      </c>
      <c r="F37" s="134">
        <f>MO!E9</f>
        <v>198000</v>
      </c>
      <c r="G37" s="134">
        <f>F37*E37</f>
        <v>198000</v>
      </c>
    </row>
    <row r="38" spans="2:8" x14ac:dyDescent="0.25">
      <c r="B38" s="131"/>
      <c r="C38" s="146" t="s">
        <v>61</v>
      </c>
      <c r="D38" s="147"/>
      <c r="E38" s="147"/>
      <c r="F38" s="148"/>
      <c r="G38" s="135">
        <f>SUM(G34:G37)</f>
        <v>394765.9771441663</v>
      </c>
      <c r="H38" t="s">
        <v>23</v>
      </c>
    </row>
    <row r="40" spans="2:8" x14ac:dyDescent="0.25">
      <c r="B40" s="121">
        <f>B31+1</f>
        <v>5</v>
      </c>
      <c r="C40" s="122" t="str">
        <f>MO!C10</f>
        <v>Calafateado entre pilotes</v>
      </c>
      <c r="D40" s="123"/>
      <c r="E40" s="124"/>
      <c r="F40" s="125"/>
      <c r="G40" s="125"/>
    </row>
    <row r="41" spans="2:8" x14ac:dyDescent="0.25">
      <c r="B41" s="126"/>
      <c r="E41" s="126"/>
      <c r="F41" s="127"/>
      <c r="G41" s="127"/>
    </row>
    <row r="42" spans="2:8" x14ac:dyDescent="0.25">
      <c r="B42" s="128" t="s">
        <v>0</v>
      </c>
      <c r="C42" s="128" t="s">
        <v>158</v>
      </c>
      <c r="D42" s="128" t="s">
        <v>120</v>
      </c>
      <c r="E42" s="128" t="s">
        <v>3</v>
      </c>
      <c r="F42" s="129" t="s">
        <v>159</v>
      </c>
      <c r="G42" s="129" t="s">
        <v>160</v>
      </c>
      <c r="H42" s="130"/>
    </row>
    <row r="43" spans="2:8" x14ac:dyDescent="0.25">
      <c r="B43" s="131">
        <v>1</v>
      </c>
      <c r="C43" s="132" t="s">
        <v>163</v>
      </c>
      <c r="D43" s="131" t="s">
        <v>10</v>
      </c>
      <c r="E43" s="133">
        <v>95</v>
      </c>
      <c r="F43" s="134">
        <f>Materiales!$D$12</f>
        <v>460</v>
      </c>
      <c r="G43" s="134">
        <f>F43*E43</f>
        <v>43700</v>
      </c>
    </row>
    <row r="44" spans="2:8" x14ac:dyDescent="0.25">
      <c r="B44" s="131">
        <v>2</v>
      </c>
      <c r="C44" s="132" t="s">
        <v>164</v>
      </c>
      <c r="D44" s="131" t="s">
        <v>126</v>
      </c>
      <c r="E44" s="133">
        <v>8.8000000000000007</v>
      </c>
      <c r="F44" s="134">
        <f>Materiales!$D$4</f>
        <v>880</v>
      </c>
      <c r="G44" s="134">
        <f>F44*E44</f>
        <v>7744.0000000000009</v>
      </c>
    </row>
    <row r="45" spans="2:8" x14ac:dyDescent="0.25">
      <c r="B45" s="131">
        <v>3</v>
      </c>
      <c r="C45" s="132" t="s">
        <v>125</v>
      </c>
      <c r="D45" s="131" t="s">
        <v>126</v>
      </c>
      <c r="E45" s="133">
        <v>8.5</v>
      </c>
      <c r="F45" s="134">
        <f>Materiales!$D$6</f>
        <v>840</v>
      </c>
      <c r="G45" s="134">
        <f>F45*E45</f>
        <v>7140</v>
      </c>
    </row>
    <row r="46" spans="2:8" x14ac:dyDescent="0.25">
      <c r="B46" s="131">
        <v>4</v>
      </c>
      <c r="C46" s="132" t="s">
        <v>165</v>
      </c>
      <c r="D46" s="131" t="s">
        <v>31</v>
      </c>
      <c r="E46" s="133">
        <v>0.09</v>
      </c>
      <c r="F46" s="134">
        <f>Materiales!$D$5</f>
        <v>47000</v>
      </c>
      <c r="G46" s="134">
        <f>F46*E46</f>
        <v>4230</v>
      </c>
    </row>
    <row r="47" spans="2:8" x14ac:dyDescent="0.25">
      <c r="B47" s="131">
        <v>5</v>
      </c>
      <c r="C47" s="132" t="s">
        <v>161</v>
      </c>
      <c r="D47" s="131" t="s">
        <v>24</v>
      </c>
      <c r="E47" s="133">
        <v>1</v>
      </c>
      <c r="F47" s="134">
        <f>MO!E10</f>
        <v>60000</v>
      </c>
      <c r="G47" s="134">
        <f>F47*E47</f>
        <v>60000</v>
      </c>
    </row>
    <row r="48" spans="2:8" x14ac:dyDescent="0.25">
      <c r="B48" s="131"/>
      <c r="C48" s="146" t="s">
        <v>61</v>
      </c>
      <c r="D48" s="147"/>
      <c r="E48" s="147"/>
      <c r="F48" s="148"/>
      <c r="G48" s="135">
        <f>SUM(G43:G47)</f>
        <v>122814</v>
      </c>
      <c r="H48" t="s">
        <v>24</v>
      </c>
    </row>
    <row r="50" spans="2:8" x14ac:dyDescent="0.25">
      <c r="B50" s="121">
        <f>B40+1</f>
        <v>6</v>
      </c>
      <c r="C50" s="122" t="str">
        <f>MO!C13</f>
        <v>Cabezales de HºAº</v>
      </c>
      <c r="D50" s="123"/>
      <c r="E50" s="124"/>
      <c r="F50" s="125"/>
      <c r="G50" s="125"/>
    </row>
    <row r="51" spans="2:8" x14ac:dyDescent="0.25">
      <c r="B51" s="126"/>
      <c r="E51" s="126"/>
      <c r="F51" s="127"/>
      <c r="G51" s="127"/>
    </row>
    <row r="52" spans="2:8" x14ac:dyDescent="0.25">
      <c r="B52" s="128" t="s">
        <v>0</v>
      </c>
      <c r="C52" s="128" t="s">
        <v>158</v>
      </c>
      <c r="D52" s="128" t="s">
        <v>120</v>
      </c>
      <c r="E52" s="128" t="s">
        <v>3</v>
      </c>
      <c r="F52" s="129" t="s">
        <v>159</v>
      </c>
      <c r="G52" s="129" t="s">
        <v>160</v>
      </c>
      <c r="H52" s="130"/>
    </row>
    <row r="53" spans="2:8" x14ac:dyDescent="0.25">
      <c r="B53" s="131">
        <v>1</v>
      </c>
      <c r="C53" s="132" t="s">
        <v>148</v>
      </c>
      <c r="D53" s="131" t="s">
        <v>31</v>
      </c>
      <c r="E53" s="133">
        <v>1.05</v>
      </c>
      <c r="F53" s="134">
        <f>Materiales!$D$25</f>
        <v>790000</v>
      </c>
      <c r="G53" s="134">
        <f>F53*E53</f>
        <v>829500</v>
      </c>
    </row>
    <row r="54" spans="2:8" x14ac:dyDescent="0.25">
      <c r="B54" s="131">
        <v>2</v>
      </c>
      <c r="C54" s="132" t="s">
        <v>140</v>
      </c>
      <c r="D54" s="131" t="s">
        <v>126</v>
      </c>
      <c r="E54" s="133">
        <v>120</v>
      </c>
      <c r="F54" s="134">
        <f>Materiales!$D$17</f>
        <v>4985.1499999999996</v>
      </c>
      <c r="G54" s="134">
        <f>F54*E54</f>
        <v>598218</v>
      </c>
    </row>
    <row r="55" spans="2:8" x14ac:dyDescent="0.25">
      <c r="B55" s="131">
        <v>3</v>
      </c>
      <c r="C55" s="132" t="s">
        <v>162</v>
      </c>
      <c r="D55" s="131" t="s">
        <v>126</v>
      </c>
      <c r="E55" s="133">
        <f>0.5*E53</f>
        <v>0.52500000000000002</v>
      </c>
      <c r="F55" s="134">
        <f>(Materiales!$D$18+Materiales!$D$19)</f>
        <v>18000</v>
      </c>
      <c r="G55" s="134">
        <f>F55*E55</f>
        <v>9450</v>
      </c>
    </row>
    <row r="56" spans="2:8" x14ac:dyDescent="0.25">
      <c r="B56" s="131">
        <v>4</v>
      </c>
      <c r="C56" s="132" t="s">
        <v>161</v>
      </c>
      <c r="D56" s="131" t="s">
        <v>31</v>
      </c>
      <c r="E56" s="133">
        <v>1</v>
      </c>
      <c r="F56" s="134">
        <f>MO!E13</f>
        <v>550000</v>
      </c>
      <c r="G56" s="134">
        <f>F56*E56</f>
        <v>550000</v>
      </c>
    </row>
    <row r="57" spans="2:8" x14ac:dyDescent="0.25">
      <c r="B57" s="131"/>
      <c r="C57" s="146" t="s">
        <v>61</v>
      </c>
      <c r="D57" s="147"/>
      <c r="E57" s="147"/>
      <c r="F57" s="148"/>
      <c r="G57" s="135">
        <f>SUM(G53:G56)</f>
        <v>1987168</v>
      </c>
      <c r="H57" t="s">
        <v>31</v>
      </c>
    </row>
    <row r="59" spans="2:8" x14ac:dyDescent="0.25">
      <c r="B59" s="121">
        <f>B50+1</f>
        <v>7</v>
      </c>
      <c r="C59" s="122" t="str">
        <f>MO!C14</f>
        <v>Vigas de fundación de HºAº de 30x50</v>
      </c>
      <c r="D59" s="123"/>
      <c r="E59" s="124"/>
      <c r="F59" s="125"/>
      <c r="G59" s="125"/>
    </row>
    <row r="60" spans="2:8" x14ac:dyDescent="0.25">
      <c r="B60" s="126"/>
      <c r="E60" s="126"/>
      <c r="F60" s="127"/>
      <c r="G60" s="127"/>
    </row>
    <row r="61" spans="2:8" x14ac:dyDescent="0.25">
      <c r="B61" s="128" t="s">
        <v>0</v>
      </c>
      <c r="C61" s="128" t="s">
        <v>158</v>
      </c>
      <c r="D61" s="128" t="s">
        <v>120</v>
      </c>
      <c r="E61" s="128" t="s">
        <v>3</v>
      </c>
      <c r="F61" s="129" t="s">
        <v>159</v>
      </c>
      <c r="G61" s="129" t="s">
        <v>160</v>
      </c>
      <c r="H61" s="130"/>
    </row>
    <row r="62" spans="2:8" x14ac:dyDescent="0.25">
      <c r="B62" s="131">
        <v>1</v>
      </c>
      <c r="C62" s="132" t="s">
        <v>148</v>
      </c>
      <c r="D62" s="131" t="s">
        <v>31</v>
      </c>
      <c r="E62" s="133">
        <f>(0.3*0.5)*1.05</f>
        <v>0.1575</v>
      </c>
      <c r="F62" s="134">
        <f>Materiales!$D$25</f>
        <v>790000</v>
      </c>
      <c r="G62" s="134">
        <f>F62*E62</f>
        <v>124425</v>
      </c>
    </row>
    <row r="63" spans="2:8" x14ac:dyDescent="0.25">
      <c r="B63" s="131">
        <v>2</v>
      </c>
      <c r="C63" s="132" t="s">
        <v>140</v>
      </c>
      <c r="D63" s="131" t="s">
        <v>126</v>
      </c>
      <c r="E63" s="133">
        <f>100*E62</f>
        <v>15.75</v>
      </c>
      <c r="F63" s="134">
        <f>Materiales!$D$17</f>
        <v>4985.1499999999996</v>
      </c>
      <c r="G63" s="134">
        <f>F63*E63</f>
        <v>78516.112499999988</v>
      </c>
    </row>
    <row r="64" spans="2:8" x14ac:dyDescent="0.25">
      <c r="B64" s="131">
        <v>3</v>
      </c>
      <c r="C64" s="132" t="s">
        <v>162</v>
      </c>
      <c r="D64" s="131" t="s">
        <v>126</v>
      </c>
      <c r="E64" s="133">
        <f>0.5*E62</f>
        <v>7.8750000000000001E-2</v>
      </c>
      <c r="F64" s="134">
        <f>(Materiales!$D$18+Materiales!$D$19)</f>
        <v>18000</v>
      </c>
      <c r="G64" s="134">
        <f>F64*E64</f>
        <v>1417.5</v>
      </c>
    </row>
    <row r="65" spans="2:8" x14ac:dyDescent="0.25">
      <c r="B65" s="131">
        <v>4</v>
      </c>
      <c r="C65" s="132" t="s">
        <v>161</v>
      </c>
      <c r="D65" s="131" t="s">
        <v>23</v>
      </c>
      <c r="E65" s="133">
        <v>1</v>
      </c>
      <c r="F65" s="134">
        <f>MO!E14</f>
        <v>120000</v>
      </c>
      <c r="G65" s="134">
        <f>F65*E65</f>
        <v>120000</v>
      </c>
    </row>
    <row r="66" spans="2:8" x14ac:dyDescent="0.25">
      <c r="B66" s="131"/>
      <c r="C66" s="146" t="s">
        <v>61</v>
      </c>
      <c r="D66" s="147"/>
      <c r="E66" s="147"/>
      <c r="F66" s="148"/>
      <c r="G66" s="135">
        <f>SUM(G62:G65)</f>
        <v>324358.61249999999</v>
      </c>
      <c r="H66" t="s">
        <v>23</v>
      </c>
    </row>
    <row r="68" spans="2:8" x14ac:dyDescent="0.25">
      <c r="B68" s="121">
        <f>B59+1</f>
        <v>8</v>
      </c>
      <c r="C68" s="122" t="str">
        <f>MO!C15</f>
        <v>Tabique de HºAº</v>
      </c>
      <c r="D68" s="123"/>
      <c r="E68" s="124"/>
      <c r="F68" s="125"/>
      <c r="G68" s="125"/>
    </row>
    <row r="69" spans="2:8" x14ac:dyDescent="0.25">
      <c r="B69" s="126"/>
      <c r="E69" s="126"/>
      <c r="F69" s="127"/>
      <c r="G69" s="127"/>
    </row>
    <row r="70" spans="2:8" x14ac:dyDescent="0.25">
      <c r="B70" s="128" t="s">
        <v>0</v>
      </c>
      <c r="C70" s="128" t="s">
        <v>158</v>
      </c>
      <c r="D70" s="128" t="s">
        <v>120</v>
      </c>
      <c r="E70" s="128" t="s">
        <v>3</v>
      </c>
      <c r="F70" s="129" t="s">
        <v>159</v>
      </c>
      <c r="G70" s="129" t="s">
        <v>160</v>
      </c>
      <c r="H70" s="130"/>
    </row>
    <row r="71" spans="2:8" x14ac:dyDescent="0.25">
      <c r="B71" s="131">
        <v>1</v>
      </c>
      <c r="C71" s="132" t="s">
        <v>148</v>
      </c>
      <c r="D71" s="131" t="s">
        <v>31</v>
      </c>
      <c r="E71" s="133">
        <v>1.05</v>
      </c>
      <c r="F71" s="134">
        <f>Materiales!$D$25</f>
        <v>790000</v>
      </c>
      <c r="G71" s="134">
        <f>F71*E71</f>
        <v>829500</v>
      </c>
    </row>
    <row r="72" spans="2:8" x14ac:dyDescent="0.25">
      <c r="B72" s="131">
        <v>2</v>
      </c>
      <c r="C72" s="132" t="s">
        <v>140</v>
      </c>
      <c r="D72" s="131" t="s">
        <v>126</v>
      </c>
      <c r="E72" s="133">
        <v>150</v>
      </c>
      <c r="F72" s="134">
        <f>Materiales!$D$17</f>
        <v>4985.1499999999996</v>
      </c>
      <c r="G72" s="134">
        <f>F72*E72</f>
        <v>747772.5</v>
      </c>
    </row>
    <row r="73" spans="2:8" x14ac:dyDescent="0.25">
      <c r="B73" s="131">
        <v>3</v>
      </c>
      <c r="C73" s="132" t="s">
        <v>162</v>
      </c>
      <c r="D73" s="131" t="s">
        <v>126</v>
      </c>
      <c r="E73" s="133">
        <f>0.5*E71</f>
        <v>0.52500000000000002</v>
      </c>
      <c r="F73" s="134">
        <f>(Materiales!$D$18+Materiales!$D$19)</f>
        <v>18000</v>
      </c>
      <c r="G73" s="134">
        <f>F73*E73</f>
        <v>9450</v>
      </c>
    </row>
    <row r="74" spans="2:8" x14ac:dyDescent="0.25">
      <c r="B74" s="131">
        <v>4</v>
      </c>
      <c r="C74" s="132" t="s">
        <v>161</v>
      </c>
      <c r="D74" s="131" t="s">
        <v>31</v>
      </c>
      <c r="E74" s="133">
        <v>1</v>
      </c>
      <c r="F74" s="134">
        <f>MO!E15</f>
        <v>850000</v>
      </c>
      <c r="G74" s="134">
        <f>F74*E74</f>
        <v>850000</v>
      </c>
    </row>
    <row r="75" spans="2:8" x14ac:dyDescent="0.25">
      <c r="B75" s="131"/>
      <c r="C75" s="146" t="s">
        <v>61</v>
      </c>
      <c r="D75" s="147"/>
      <c r="E75" s="147"/>
      <c r="F75" s="148"/>
      <c r="G75" s="135">
        <f>SUM(G71:G74)</f>
        <v>2436722.5</v>
      </c>
      <c r="H75" t="s">
        <v>31</v>
      </c>
    </row>
    <row r="77" spans="2:8" x14ac:dyDescent="0.25">
      <c r="B77" s="121">
        <f>B68+1</f>
        <v>9</v>
      </c>
      <c r="C77" s="122" t="str">
        <f>MO!C16</f>
        <v>Pilares de HºAº de 35x70</v>
      </c>
      <c r="D77" s="123"/>
      <c r="E77" s="124"/>
      <c r="F77" s="125"/>
      <c r="G77" s="125"/>
    </row>
    <row r="78" spans="2:8" x14ac:dyDescent="0.25">
      <c r="B78" s="126"/>
      <c r="E78" s="126"/>
      <c r="F78" s="127"/>
      <c r="G78" s="127"/>
    </row>
    <row r="79" spans="2:8" x14ac:dyDescent="0.25">
      <c r="B79" s="128" t="s">
        <v>0</v>
      </c>
      <c r="C79" s="128" t="s">
        <v>158</v>
      </c>
      <c r="D79" s="128" t="s">
        <v>120</v>
      </c>
      <c r="E79" s="128" t="s">
        <v>3</v>
      </c>
      <c r="F79" s="129" t="s">
        <v>159</v>
      </c>
      <c r="G79" s="129" t="s">
        <v>160</v>
      </c>
      <c r="H79" s="130"/>
    </row>
    <row r="80" spans="2:8" x14ac:dyDescent="0.25">
      <c r="B80" s="131">
        <v>1</v>
      </c>
      <c r="C80" s="132" t="s">
        <v>148</v>
      </c>
      <c r="D80" s="131" t="s">
        <v>31</v>
      </c>
      <c r="E80" s="133">
        <f>(0.35*0.7)*1.05</f>
        <v>0.25724999999999998</v>
      </c>
      <c r="F80" s="134">
        <f>Materiales!$D$25</f>
        <v>790000</v>
      </c>
      <c r="G80" s="134">
        <f>F80*E80</f>
        <v>203227.49999999997</v>
      </c>
    </row>
    <row r="81" spans="2:8" x14ac:dyDescent="0.25">
      <c r="B81" s="131">
        <v>2</v>
      </c>
      <c r="C81" s="132" t="s">
        <v>140</v>
      </c>
      <c r="D81" s="131" t="s">
        <v>126</v>
      </c>
      <c r="E81" s="133">
        <f>200*E80</f>
        <v>51.449999999999996</v>
      </c>
      <c r="F81" s="134">
        <f>Materiales!$D$17</f>
        <v>4985.1499999999996</v>
      </c>
      <c r="G81" s="134">
        <f>F81*E81</f>
        <v>256485.96749999997</v>
      </c>
    </row>
    <row r="82" spans="2:8" x14ac:dyDescent="0.25">
      <c r="B82" s="131">
        <v>3</v>
      </c>
      <c r="C82" s="132" t="s">
        <v>162</v>
      </c>
      <c r="D82" s="131" t="s">
        <v>126</v>
      </c>
      <c r="E82" s="133">
        <f>0.5*E80</f>
        <v>0.12862499999999999</v>
      </c>
      <c r="F82" s="134">
        <f>(Materiales!$D$18+Materiales!$D$19)</f>
        <v>18000</v>
      </c>
      <c r="G82" s="134">
        <f>F82*E82</f>
        <v>2315.25</v>
      </c>
    </row>
    <row r="83" spans="2:8" x14ac:dyDescent="0.25">
      <c r="B83" s="131">
        <v>4</v>
      </c>
      <c r="C83" s="132" t="s">
        <v>161</v>
      </c>
      <c r="D83" s="131" t="s">
        <v>23</v>
      </c>
      <c r="E83" s="133">
        <v>1</v>
      </c>
      <c r="F83" s="134">
        <f>MO!E16</f>
        <v>175000</v>
      </c>
      <c r="G83" s="134">
        <f>F83*E83</f>
        <v>175000</v>
      </c>
    </row>
    <row r="84" spans="2:8" x14ac:dyDescent="0.25">
      <c r="B84" s="131"/>
      <c r="C84" s="146" t="s">
        <v>61</v>
      </c>
      <c r="D84" s="147"/>
      <c r="E84" s="147"/>
      <c r="F84" s="148"/>
      <c r="G84" s="135">
        <f>SUM(G80:G83)</f>
        <v>637028.71749999991</v>
      </c>
      <c r="H84" t="s">
        <v>23</v>
      </c>
    </row>
    <row r="86" spans="2:8" x14ac:dyDescent="0.25">
      <c r="B86" s="121">
        <f>B77+1</f>
        <v>10</v>
      </c>
      <c r="C86" s="122" t="str">
        <f>MO!C17</f>
        <v>Pilares de HºAº de 25x45</v>
      </c>
      <c r="D86" s="123"/>
      <c r="E86" s="124"/>
      <c r="F86" s="125"/>
      <c r="G86" s="125"/>
    </row>
    <row r="87" spans="2:8" x14ac:dyDescent="0.25">
      <c r="B87" s="126"/>
      <c r="E87" s="126"/>
      <c r="F87" s="127"/>
      <c r="G87" s="127"/>
    </row>
    <row r="88" spans="2:8" x14ac:dyDescent="0.25">
      <c r="B88" s="128" t="s">
        <v>0</v>
      </c>
      <c r="C88" s="128" t="s">
        <v>158</v>
      </c>
      <c r="D88" s="128" t="s">
        <v>120</v>
      </c>
      <c r="E88" s="128" t="s">
        <v>3</v>
      </c>
      <c r="F88" s="129" t="s">
        <v>159</v>
      </c>
      <c r="G88" s="129" t="s">
        <v>160</v>
      </c>
      <c r="H88" s="130"/>
    </row>
    <row r="89" spans="2:8" x14ac:dyDescent="0.25">
      <c r="B89" s="131">
        <v>1</v>
      </c>
      <c r="C89" s="132" t="s">
        <v>148</v>
      </c>
      <c r="D89" s="131" t="s">
        <v>31</v>
      </c>
      <c r="E89" s="133">
        <f>(0.25*0.45)*1.05</f>
        <v>0.11812500000000001</v>
      </c>
      <c r="F89" s="134">
        <f>Materiales!$D$25</f>
        <v>790000</v>
      </c>
      <c r="G89" s="134">
        <f>F89*E89</f>
        <v>93318.75</v>
      </c>
    </row>
    <row r="90" spans="2:8" x14ac:dyDescent="0.25">
      <c r="B90" s="131">
        <v>2</v>
      </c>
      <c r="C90" s="132" t="s">
        <v>140</v>
      </c>
      <c r="D90" s="131" t="s">
        <v>126</v>
      </c>
      <c r="E90" s="133">
        <f>200*E89</f>
        <v>23.625</v>
      </c>
      <c r="F90" s="134">
        <f>Materiales!$D$17</f>
        <v>4985.1499999999996</v>
      </c>
      <c r="G90" s="134">
        <f>F90*E90</f>
        <v>117774.16875</v>
      </c>
    </row>
    <row r="91" spans="2:8" x14ac:dyDescent="0.25">
      <c r="B91" s="131">
        <v>3</v>
      </c>
      <c r="C91" s="132" t="s">
        <v>162</v>
      </c>
      <c r="D91" s="131" t="s">
        <v>126</v>
      </c>
      <c r="E91" s="133">
        <f>0.5*E89</f>
        <v>5.9062500000000004E-2</v>
      </c>
      <c r="F91" s="134">
        <f>(Materiales!$D$18+Materiales!$D$19)</f>
        <v>18000</v>
      </c>
      <c r="G91" s="134">
        <f>F91*E91</f>
        <v>1063.125</v>
      </c>
    </row>
    <row r="92" spans="2:8" x14ac:dyDescent="0.25">
      <c r="B92" s="131">
        <v>4</v>
      </c>
      <c r="C92" s="132" t="s">
        <v>161</v>
      </c>
      <c r="D92" s="131" t="s">
        <v>23</v>
      </c>
      <c r="E92" s="133">
        <v>1</v>
      </c>
      <c r="F92" s="134">
        <f>MO!E17</f>
        <v>165000</v>
      </c>
      <c r="G92" s="134">
        <f>F92*E92</f>
        <v>165000</v>
      </c>
    </row>
    <row r="93" spans="2:8" x14ac:dyDescent="0.25">
      <c r="B93" s="131"/>
      <c r="C93" s="146" t="s">
        <v>61</v>
      </c>
      <c r="D93" s="147"/>
      <c r="E93" s="147"/>
      <c r="F93" s="148"/>
      <c r="G93" s="135">
        <f>SUM(G89:G92)</f>
        <v>377156.04375000001</v>
      </c>
      <c r="H93" t="s">
        <v>23</v>
      </c>
    </row>
    <row r="95" spans="2:8" x14ac:dyDescent="0.25">
      <c r="B95" s="121">
        <f>B86+1</f>
        <v>11</v>
      </c>
      <c r="C95" s="122" t="str">
        <f>MO!C18</f>
        <v>Vigas de HºAº de 20x50</v>
      </c>
      <c r="D95" s="123"/>
      <c r="E95" s="124"/>
      <c r="F95" s="125"/>
      <c r="G95" s="125"/>
    </row>
    <row r="96" spans="2:8" x14ac:dyDescent="0.25">
      <c r="B96" s="126"/>
      <c r="E96" s="126"/>
      <c r="F96" s="127"/>
      <c r="G96" s="127"/>
    </row>
    <row r="97" spans="2:8" x14ac:dyDescent="0.25">
      <c r="B97" s="128" t="s">
        <v>0</v>
      </c>
      <c r="C97" s="128" t="s">
        <v>158</v>
      </c>
      <c r="D97" s="128" t="s">
        <v>120</v>
      </c>
      <c r="E97" s="128" t="s">
        <v>3</v>
      </c>
      <c r="F97" s="129" t="s">
        <v>159</v>
      </c>
      <c r="G97" s="129" t="s">
        <v>160</v>
      </c>
      <c r="H97" s="130"/>
    </row>
    <row r="98" spans="2:8" x14ac:dyDescent="0.25">
      <c r="B98" s="131">
        <v>1</v>
      </c>
      <c r="C98" s="132" t="s">
        <v>148</v>
      </c>
      <c r="D98" s="131" t="s">
        <v>31</v>
      </c>
      <c r="E98" s="133">
        <f>(0.2*0.5)*1.05</f>
        <v>0.10500000000000001</v>
      </c>
      <c r="F98" s="134">
        <f>Materiales!$D$25</f>
        <v>790000</v>
      </c>
      <c r="G98" s="134">
        <f>F98*E98</f>
        <v>82950.000000000015</v>
      </c>
    </row>
    <row r="99" spans="2:8" x14ac:dyDescent="0.25">
      <c r="B99" s="131">
        <v>2</v>
      </c>
      <c r="C99" s="132" t="s">
        <v>140</v>
      </c>
      <c r="D99" s="131" t="s">
        <v>126</v>
      </c>
      <c r="E99" s="133">
        <f>120*E98</f>
        <v>12.600000000000001</v>
      </c>
      <c r="F99" s="134">
        <f>Materiales!$D$17</f>
        <v>4985.1499999999996</v>
      </c>
      <c r="G99" s="134">
        <f>F99*E99</f>
        <v>62812.89</v>
      </c>
    </row>
    <row r="100" spans="2:8" x14ac:dyDescent="0.25">
      <c r="B100" s="131">
        <v>3</v>
      </c>
      <c r="C100" s="132" t="s">
        <v>162</v>
      </c>
      <c r="D100" s="131" t="s">
        <v>126</v>
      </c>
      <c r="E100" s="133">
        <f>0.5*E98</f>
        <v>5.2500000000000005E-2</v>
      </c>
      <c r="F100" s="134">
        <f>(Materiales!$D$18+Materiales!$D$19)</f>
        <v>18000</v>
      </c>
      <c r="G100" s="134">
        <f>F100*E100</f>
        <v>945.00000000000011</v>
      </c>
    </row>
    <row r="101" spans="2:8" x14ac:dyDescent="0.25">
      <c r="B101" s="131">
        <v>4</v>
      </c>
      <c r="C101" s="132" t="s">
        <v>161</v>
      </c>
      <c r="D101" s="131" t="s">
        <v>23</v>
      </c>
      <c r="E101" s="133">
        <v>1</v>
      </c>
      <c r="F101" s="134">
        <f>MO!E18</f>
        <v>175000</v>
      </c>
      <c r="G101" s="134">
        <f>F101*E101</f>
        <v>175000</v>
      </c>
    </row>
    <row r="102" spans="2:8" x14ac:dyDescent="0.25">
      <c r="B102" s="131"/>
      <c r="C102" s="146" t="s">
        <v>61</v>
      </c>
      <c r="D102" s="147"/>
      <c r="E102" s="147"/>
      <c r="F102" s="148"/>
      <c r="G102" s="135">
        <f>SUM(G98:G101)</f>
        <v>321707.89</v>
      </c>
      <c r="H102" t="s">
        <v>23</v>
      </c>
    </row>
    <row r="104" spans="2:8" x14ac:dyDescent="0.25">
      <c r="B104" s="121">
        <f>B95+1</f>
        <v>12</v>
      </c>
      <c r="C104" s="122" t="str">
        <f>MO!C19</f>
        <v>Ménsulas de hormigón armado para apoyo de cubierta</v>
      </c>
      <c r="D104" s="123"/>
      <c r="E104" s="124"/>
      <c r="F104" s="125"/>
      <c r="G104" s="125"/>
    </row>
    <row r="105" spans="2:8" x14ac:dyDescent="0.25">
      <c r="B105" s="126"/>
      <c r="E105" s="126"/>
      <c r="F105" s="127"/>
      <c r="G105" s="127"/>
    </row>
    <row r="106" spans="2:8" x14ac:dyDescent="0.25">
      <c r="B106" s="128" t="s">
        <v>0</v>
      </c>
      <c r="C106" s="128" t="s">
        <v>158</v>
      </c>
      <c r="D106" s="128" t="s">
        <v>120</v>
      </c>
      <c r="E106" s="128" t="s">
        <v>3</v>
      </c>
      <c r="F106" s="129" t="s">
        <v>159</v>
      </c>
      <c r="G106" s="129" t="s">
        <v>160</v>
      </c>
      <c r="H106" s="130"/>
    </row>
    <row r="107" spans="2:8" x14ac:dyDescent="0.25">
      <c r="B107" s="131">
        <v>1</v>
      </c>
      <c r="C107" s="132" t="s">
        <v>148</v>
      </c>
      <c r="D107" s="131" t="s">
        <v>31</v>
      </c>
      <c r="E107" s="133">
        <f>0.2*1.05</f>
        <v>0.21000000000000002</v>
      </c>
      <c r="F107" s="134">
        <f>Materiales!$D$25</f>
        <v>790000</v>
      </c>
      <c r="G107" s="134">
        <f>F107*E107</f>
        <v>165900.00000000003</v>
      </c>
    </row>
    <row r="108" spans="2:8" x14ac:dyDescent="0.25">
      <c r="B108" s="131">
        <v>2</v>
      </c>
      <c r="C108" s="132" t="s">
        <v>140</v>
      </c>
      <c r="D108" s="131" t="s">
        <v>126</v>
      </c>
      <c r="E108" s="133">
        <f>150*E107</f>
        <v>31.500000000000004</v>
      </c>
      <c r="F108" s="134">
        <f>Materiales!$D$17</f>
        <v>4985.1499999999996</v>
      </c>
      <c r="G108" s="134">
        <f>F108*E108</f>
        <v>157032.22500000001</v>
      </c>
    </row>
    <row r="109" spans="2:8" x14ac:dyDescent="0.25">
      <c r="B109" s="131">
        <v>3</v>
      </c>
      <c r="C109" s="132" t="s">
        <v>162</v>
      </c>
      <c r="D109" s="131" t="s">
        <v>126</v>
      </c>
      <c r="E109" s="133">
        <f>0.5*E107</f>
        <v>0.10500000000000001</v>
      </c>
      <c r="F109" s="134">
        <f>(Materiales!$D$18+Materiales!$D$19)</f>
        <v>18000</v>
      </c>
      <c r="G109" s="134">
        <f>F109*E109</f>
        <v>1890.0000000000002</v>
      </c>
    </row>
    <row r="110" spans="2:8" x14ac:dyDescent="0.25">
      <c r="B110" s="131">
        <v>4</v>
      </c>
      <c r="C110" s="132" t="s">
        <v>161</v>
      </c>
      <c r="D110" s="131" t="s">
        <v>10</v>
      </c>
      <c r="E110" s="133">
        <v>1</v>
      </c>
      <c r="F110" s="134">
        <f>MO!E19</f>
        <v>150000</v>
      </c>
      <c r="G110" s="134">
        <f>F110*E110</f>
        <v>150000</v>
      </c>
    </row>
    <row r="111" spans="2:8" x14ac:dyDescent="0.25">
      <c r="B111" s="131"/>
      <c r="C111" s="146" t="s">
        <v>61</v>
      </c>
      <c r="D111" s="147"/>
      <c r="E111" s="147"/>
      <c r="F111" s="148"/>
      <c r="G111" s="135">
        <f>SUM(G107:G110)</f>
        <v>474822.22500000003</v>
      </c>
      <c r="H111" t="s">
        <v>10</v>
      </c>
    </row>
    <row r="113" spans="2:8" x14ac:dyDescent="0.25">
      <c r="B113" s="121">
        <f>B104+1</f>
        <v>13</v>
      </c>
      <c r="C113" s="122" t="str">
        <f>MO!C20</f>
        <v>Foso de HºAº para docks de carga/descarga</v>
      </c>
      <c r="D113" s="123"/>
      <c r="E113" s="124"/>
      <c r="F113" s="125"/>
      <c r="G113" s="125"/>
    </row>
    <row r="114" spans="2:8" x14ac:dyDescent="0.25">
      <c r="B114" s="126"/>
      <c r="E114" s="126"/>
      <c r="F114" s="127"/>
      <c r="G114" s="127"/>
    </row>
    <row r="115" spans="2:8" x14ac:dyDescent="0.25">
      <c r="B115" s="128" t="s">
        <v>0</v>
      </c>
      <c r="C115" s="128" t="s">
        <v>158</v>
      </c>
      <c r="D115" s="128" t="s">
        <v>120</v>
      </c>
      <c r="E115" s="128" t="s">
        <v>3</v>
      </c>
      <c r="F115" s="129" t="s">
        <v>159</v>
      </c>
      <c r="G115" s="129" t="s">
        <v>160</v>
      </c>
      <c r="H115" s="130"/>
    </row>
    <row r="116" spans="2:8" x14ac:dyDescent="0.25">
      <c r="B116" s="131">
        <v>1</v>
      </c>
      <c r="C116" s="132" t="s">
        <v>148</v>
      </c>
      <c r="D116" s="131" t="s">
        <v>31</v>
      </c>
      <c r="E116" s="133">
        <f>3.1*1.05</f>
        <v>3.2550000000000003</v>
      </c>
      <c r="F116" s="134">
        <f>Materiales!$D$25</f>
        <v>790000</v>
      </c>
      <c r="G116" s="134">
        <f>F116*E116</f>
        <v>2571450.0000000005</v>
      </c>
    </row>
    <row r="117" spans="2:8" x14ac:dyDescent="0.25">
      <c r="B117" s="131">
        <v>2</v>
      </c>
      <c r="C117" s="132" t="s">
        <v>140</v>
      </c>
      <c r="D117" s="131" t="s">
        <v>126</v>
      </c>
      <c r="E117" s="133">
        <f>150*E116</f>
        <v>488.25000000000006</v>
      </c>
      <c r="F117" s="134">
        <f>Materiales!$D$17</f>
        <v>4985.1499999999996</v>
      </c>
      <c r="G117" s="134">
        <f>F117*E117</f>
        <v>2433999.4875000003</v>
      </c>
    </row>
    <row r="118" spans="2:8" x14ac:dyDescent="0.25">
      <c r="B118" s="131">
        <v>3</v>
      </c>
      <c r="C118" s="132" t="s">
        <v>162</v>
      </c>
      <c r="D118" s="131" t="s">
        <v>126</v>
      </c>
      <c r="E118" s="133">
        <f>0.5*E116</f>
        <v>1.6275000000000002</v>
      </c>
      <c r="F118" s="134">
        <f>(Materiales!$D$18+Materiales!$D$19)</f>
        <v>18000</v>
      </c>
      <c r="G118" s="134">
        <f>F118*E118</f>
        <v>29295.000000000004</v>
      </c>
    </row>
    <row r="119" spans="2:8" x14ac:dyDescent="0.25">
      <c r="B119" s="131">
        <v>4</v>
      </c>
      <c r="C119" s="132" t="s">
        <v>161</v>
      </c>
      <c r="D119" s="131" t="s">
        <v>10</v>
      </c>
      <c r="E119" s="133">
        <v>1</v>
      </c>
      <c r="F119" s="134">
        <f>MO!E20</f>
        <v>2800000</v>
      </c>
      <c r="G119" s="134">
        <f>F119*E119</f>
        <v>2800000</v>
      </c>
    </row>
    <row r="120" spans="2:8" x14ac:dyDescent="0.25">
      <c r="B120" s="131"/>
      <c r="C120" s="146" t="s">
        <v>61</v>
      </c>
      <c r="D120" s="147"/>
      <c r="E120" s="147"/>
      <c r="F120" s="148"/>
      <c r="G120" s="135">
        <f>SUM(G116:G119)</f>
        <v>7834744.4875000007</v>
      </c>
      <c r="H120" t="s">
        <v>10</v>
      </c>
    </row>
    <row r="121" spans="2:8" ht="15.75" thickBot="1" x14ac:dyDescent="0.3"/>
    <row r="122" spans="2:8" s="120" customFormat="1" ht="15.75" thickBot="1" x14ac:dyDescent="0.3">
      <c r="B122" s="149" t="e">
        <f>MO!#REF!</f>
        <v>#REF!</v>
      </c>
      <c r="C122" s="150"/>
      <c r="D122" s="150"/>
      <c r="E122" s="150"/>
      <c r="F122" s="150"/>
      <c r="G122" s="151"/>
    </row>
    <row r="124" spans="2:8" x14ac:dyDescent="0.25">
      <c r="B124" s="121">
        <v>1</v>
      </c>
      <c r="C124" s="122" t="str">
        <f>MO!C21</f>
        <v>Mampostería de ladrillos comunes de 15 cm</v>
      </c>
      <c r="D124" s="123"/>
      <c r="E124" s="124"/>
      <c r="F124" s="125"/>
      <c r="G124" s="125"/>
    </row>
    <row r="125" spans="2:8" x14ac:dyDescent="0.25">
      <c r="B125" s="126"/>
      <c r="E125" s="126"/>
      <c r="F125" s="127"/>
      <c r="G125" s="127"/>
    </row>
    <row r="126" spans="2:8" x14ac:dyDescent="0.25">
      <c r="B126" s="128" t="s">
        <v>0</v>
      </c>
      <c r="C126" s="128" t="s">
        <v>158</v>
      </c>
      <c r="D126" s="128" t="s">
        <v>120</v>
      </c>
      <c r="E126" s="128" t="s">
        <v>3</v>
      </c>
      <c r="F126" s="129" t="s">
        <v>159</v>
      </c>
      <c r="G126" s="129" t="s">
        <v>160</v>
      </c>
      <c r="H126" s="130"/>
    </row>
    <row r="127" spans="2:8" x14ac:dyDescent="0.25">
      <c r="B127" s="131">
        <v>1</v>
      </c>
      <c r="C127" s="132" t="s">
        <v>163</v>
      </c>
      <c r="D127" s="131" t="s">
        <v>10</v>
      </c>
      <c r="E127" s="133">
        <v>65</v>
      </c>
      <c r="F127" s="134">
        <f>Materiales!$D$12</f>
        <v>460</v>
      </c>
      <c r="G127" s="134">
        <f>F127*E127</f>
        <v>29900</v>
      </c>
    </row>
    <row r="128" spans="2:8" x14ac:dyDescent="0.25">
      <c r="B128" s="131">
        <v>2</v>
      </c>
      <c r="C128" s="132" t="s">
        <v>164</v>
      </c>
      <c r="D128" s="131" t="s">
        <v>126</v>
      </c>
      <c r="E128" s="133">
        <v>6.3</v>
      </c>
      <c r="F128" s="134">
        <f>Materiales!$D$4</f>
        <v>880</v>
      </c>
      <c r="G128" s="134">
        <f>F128*E128</f>
        <v>5544</v>
      </c>
    </row>
    <row r="129" spans="2:8" x14ac:dyDescent="0.25">
      <c r="B129" s="131">
        <v>3</v>
      </c>
      <c r="C129" s="132" t="s">
        <v>125</v>
      </c>
      <c r="D129" s="131" t="s">
        <v>126</v>
      </c>
      <c r="E129" s="133">
        <v>5.53</v>
      </c>
      <c r="F129" s="134">
        <f>Materiales!$D$6</f>
        <v>840</v>
      </c>
      <c r="G129" s="134">
        <f>F129*E129</f>
        <v>4645.2</v>
      </c>
    </row>
    <row r="130" spans="2:8" x14ac:dyDescent="0.25">
      <c r="B130" s="131">
        <v>4</v>
      </c>
      <c r="C130" s="132" t="s">
        <v>165</v>
      </c>
      <c r="D130" s="131" t="s">
        <v>31</v>
      </c>
      <c r="E130" s="133">
        <v>0.05</v>
      </c>
      <c r="F130" s="134">
        <f>Materiales!$D$5</f>
        <v>47000</v>
      </c>
      <c r="G130" s="134">
        <f>F130*E130</f>
        <v>2350</v>
      </c>
    </row>
    <row r="131" spans="2:8" x14ac:dyDescent="0.25">
      <c r="B131" s="131">
        <v>5</v>
      </c>
      <c r="C131" s="132" t="s">
        <v>161</v>
      </c>
      <c r="D131" s="131" t="s">
        <v>24</v>
      </c>
      <c r="E131" s="133">
        <v>1</v>
      </c>
      <c r="F131" s="134">
        <f>MO!E21</f>
        <v>25000</v>
      </c>
      <c r="G131" s="134">
        <f>F131*E131</f>
        <v>25000</v>
      </c>
    </row>
    <row r="132" spans="2:8" x14ac:dyDescent="0.25">
      <c r="B132" s="131"/>
      <c r="C132" s="146" t="s">
        <v>61</v>
      </c>
      <c r="D132" s="147"/>
      <c r="E132" s="147"/>
      <c r="F132" s="148"/>
      <c r="G132" s="135">
        <f>SUM(G127:G131)</f>
        <v>67439.199999999997</v>
      </c>
      <c r="H132" t="s">
        <v>24</v>
      </c>
    </row>
    <row r="134" spans="2:8" x14ac:dyDescent="0.25">
      <c r="B134" s="121">
        <f>B124+1</f>
        <v>2</v>
      </c>
      <c r="C134" s="122" t="str">
        <f>MO!C22</f>
        <v>Mampostería de ladrillos comunes de 20 cm</v>
      </c>
      <c r="D134" s="123"/>
      <c r="E134" s="124"/>
      <c r="F134" s="125"/>
      <c r="G134" s="125"/>
    </row>
    <row r="135" spans="2:8" x14ac:dyDescent="0.25">
      <c r="B135" s="126"/>
      <c r="E135" s="126"/>
      <c r="F135" s="127"/>
      <c r="G135" s="127"/>
    </row>
    <row r="136" spans="2:8" x14ac:dyDescent="0.25">
      <c r="B136" s="128" t="s">
        <v>0</v>
      </c>
      <c r="C136" s="128" t="s">
        <v>158</v>
      </c>
      <c r="D136" s="128" t="s">
        <v>120</v>
      </c>
      <c r="E136" s="128" t="s">
        <v>3</v>
      </c>
      <c r="F136" s="129" t="s">
        <v>159</v>
      </c>
      <c r="G136" s="129" t="s">
        <v>160</v>
      </c>
      <c r="H136" s="130"/>
    </row>
    <row r="137" spans="2:8" x14ac:dyDescent="0.25">
      <c r="B137" s="131">
        <v>1</v>
      </c>
      <c r="C137" s="132" t="s">
        <v>163</v>
      </c>
      <c r="D137" s="131" t="s">
        <v>10</v>
      </c>
      <c r="E137" s="133">
        <v>95</v>
      </c>
      <c r="F137" s="134">
        <f>Materiales!$D$12</f>
        <v>460</v>
      </c>
      <c r="G137" s="134">
        <f>F137*E137</f>
        <v>43700</v>
      </c>
    </row>
    <row r="138" spans="2:8" x14ac:dyDescent="0.25">
      <c r="B138" s="131">
        <v>2</v>
      </c>
      <c r="C138" s="132" t="s">
        <v>164</v>
      </c>
      <c r="D138" s="131" t="s">
        <v>126</v>
      </c>
      <c r="E138" s="133">
        <v>8.8000000000000007</v>
      </c>
      <c r="F138" s="134">
        <f>Materiales!$D$4</f>
        <v>880</v>
      </c>
      <c r="G138" s="134">
        <f>F138*E138</f>
        <v>7744.0000000000009</v>
      </c>
    </row>
    <row r="139" spans="2:8" x14ac:dyDescent="0.25">
      <c r="B139" s="131">
        <v>3</v>
      </c>
      <c r="C139" s="132" t="s">
        <v>125</v>
      </c>
      <c r="D139" s="131" t="s">
        <v>126</v>
      </c>
      <c r="E139" s="133">
        <v>8.5</v>
      </c>
      <c r="F139" s="134">
        <f>Materiales!$D$6</f>
        <v>840</v>
      </c>
      <c r="G139" s="134">
        <f>F139*E139</f>
        <v>7140</v>
      </c>
    </row>
    <row r="140" spans="2:8" x14ac:dyDescent="0.25">
      <c r="B140" s="131">
        <v>4</v>
      </c>
      <c r="C140" s="132" t="s">
        <v>165</v>
      </c>
      <c r="D140" s="131" t="s">
        <v>31</v>
      </c>
      <c r="E140" s="133">
        <v>0.09</v>
      </c>
      <c r="F140" s="134">
        <f>Materiales!$D$5</f>
        <v>47000</v>
      </c>
      <c r="G140" s="134">
        <f>F140*E140</f>
        <v>4230</v>
      </c>
    </row>
    <row r="141" spans="2:8" x14ac:dyDescent="0.25">
      <c r="B141" s="131">
        <v>5</v>
      </c>
      <c r="C141" s="132" t="s">
        <v>161</v>
      </c>
      <c r="D141" s="131" t="s">
        <v>24</v>
      </c>
      <c r="E141" s="133">
        <v>1</v>
      </c>
      <c r="F141" s="134">
        <f>MO!E22</f>
        <v>29000</v>
      </c>
      <c r="G141" s="134">
        <f>F141*E141</f>
        <v>29000</v>
      </c>
    </row>
    <row r="142" spans="2:8" x14ac:dyDescent="0.25">
      <c r="B142" s="131"/>
      <c r="C142" s="146" t="s">
        <v>61</v>
      </c>
      <c r="D142" s="147"/>
      <c r="E142" s="147"/>
      <c r="F142" s="148"/>
      <c r="G142" s="135">
        <f>SUM(G137:G141)</f>
        <v>91814</v>
      </c>
      <c r="H142" t="s">
        <v>24</v>
      </c>
    </row>
    <row r="144" spans="2:8" x14ac:dyDescent="0.25">
      <c r="B144" s="121">
        <f>B134+1</f>
        <v>3</v>
      </c>
      <c r="C144" s="122" t="str">
        <f>MO!C23</f>
        <v>Mampostería de ladrillos comunes de 20 cm a la vista</v>
      </c>
      <c r="D144" s="123"/>
      <c r="E144" s="124"/>
      <c r="F144" s="125"/>
      <c r="G144" s="125"/>
    </row>
    <row r="145" spans="2:8" x14ac:dyDescent="0.25">
      <c r="B145" s="126"/>
      <c r="E145" s="126"/>
      <c r="F145" s="127"/>
      <c r="G145" s="127"/>
    </row>
    <row r="146" spans="2:8" x14ac:dyDescent="0.25">
      <c r="B146" s="128" t="s">
        <v>0</v>
      </c>
      <c r="C146" s="128" t="s">
        <v>158</v>
      </c>
      <c r="D146" s="128" t="s">
        <v>120</v>
      </c>
      <c r="E146" s="128" t="s">
        <v>3</v>
      </c>
      <c r="F146" s="129" t="s">
        <v>159</v>
      </c>
      <c r="G146" s="129" t="s">
        <v>160</v>
      </c>
      <c r="H146" s="130"/>
    </row>
    <row r="147" spans="2:8" x14ac:dyDescent="0.25">
      <c r="B147" s="131">
        <v>1</v>
      </c>
      <c r="C147" s="132" t="s">
        <v>166</v>
      </c>
      <c r="D147" s="131" t="s">
        <v>10</v>
      </c>
      <c r="E147" s="133">
        <v>95</v>
      </c>
      <c r="F147" s="134">
        <f>Materiales!$D$13</f>
        <v>900</v>
      </c>
      <c r="G147" s="134">
        <f>F147*E147</f>
        <v>85500</v>
      </c>
    </row>
    <row r="148" spans="2:8" x14ac:dyDescent="0.25">
      <c r="B148" s="131">
        <v>2</v>
      </c>
      <c r="C148" s="132" t="s">
        <v>164</v>
      </c>
      <c r="D148" s="131" t="s">
        <v>126</v>
      </c>
      <c r="E148" s="133">
        <v>8.8000000000000007</v>
      </c>
      <c r="F148" s="134">
        <f>Materiales!$D$4</f>
        <v>880</v>
      </c>
      <c r="G148" s="134">
        <f>F148*E148</f>
        <v>7744.0000000000009</v>
      </c>
    </row>
    <row r="149" spans="2:8" x14ac:dyDescent="0.25">
      <c r="B149" s="131">
        <v>3</v>
      </c>
      <c r="C149" s="132" t="s">
        <v>125</v>
      </c>
      <c r="D149" s="131" t="s">
        <v>126</v>
      </c>
      <c r="E149" s="133">
        <v>8.5</v>
      </c>
      <c r="F149" s="134">
        <f>Materiales!$D$6</f>
        <v>840</v>
      </c>
      <c r="G149" s="134">
        <f>F149*E149</f>
        <v>7140</v>
      </c>
    </row>
    <row r="150" spans="2:8" x14ac:dyDescent="0.25">
      <c r="B150" s="131">
        <v>4</v>
      </c>
      <c r="C150" s="132" t="s">
        <v>165</v>
      </c>
      <c r="D150" s="131" t="s">
        <v>31</v>
      </c>
      <c r="E150" s="133">
        <v>0.09</v>
      </c>
      <c r="F150" s="134">
        <f>Materiales!$D$5</f>
        <v>47000</v>
      </c>
      <c r="G150" s="134">
        <f>F150*E150</f>
        <v>4230</v>
      </c>
    </row>
    <row r="151" spans="2:8" x14ac:dyDescent="0.25">
      <c r="B151" s="131">
        <v>5</v>
      </c>
      <c r="C151" s="132" t="s">
        <v>161</v>
      </c>
      <c r="D151" s="131" t="s">
        <v>24</v>
      </c>
      <c r="E151" s="133">
        <v>1</v>
      </c>
      <c r="F151" s="134">
        <f>MO!E23</f>
        <v>31000</v>
      </c>
      <c r="G151" s="134">
        <f>F151*E151</f>
        <v>31000</v>
      </c>
    </row>
    <row r="152" spans="2:8" x14ac:dyDescent="0.25">
      <c r="B152" s="131"/>
      <c r="C152" s="146" t="s">
        <v>61</v>
      </c>
      <c r="D152" s="147"/>
      <c r="E152" s="147"/>
      <c r="F152" s="148"/>
      <c r="G152" s="135">
        <f>SUM(G147:G151)</f>
        <v>135614</v>
      </c>
      <c r="H152" t="s">
        <v>24</v>
      </c>
    </row>
    <row r="154" spans="2:8" x14ac:dyDescent="0.25">
      <c r="B154" s="121">
        <f>B144+1</f>
        <v>4</v>
      </c>
      <c r="C154" s="122" t="str">
        <f>MO!C24</f>
        <v>Muralla exterior con pilastras (Visto 1 cara)</v>
      </c>
      <c r="D154" s="123"/>
      <c r="E154" s="124"/>
      <c r="F154" s="125"/>
      <c r="G154" s="125"/>
    </row>
    <row r="155" spans="2:8" x14ac:dyDescent="0.25">
      <c r="B155" s="126"/>
      <c r="E155" s="126"/>
      <c r="F155" s="127"/>
      <c r="G155" s="127"/>
    </row>
    <row r="156" spans="2:8" x14ac:dyDescent="0.25">
      <c r="B156" s="128" t="s">
        <v>0</v>
      </c>
      <c r="C156" s="128" t="s">
        <v>158</v>
      </c>
      <c r="D156" s="128" t="s">
        <v>120</v>
      </c>
      <c r="E156" s="128" t="s">
        <v>3</v>
      </c>
      <c r="F156" s="129" t="s">
        <v>159</v>
      </c>
      <c r="G156" s="129" t="s">
        <v>160</v>
      </c>
      <c r="H156" s="130"/>
    </row>
    <row r="157" spans="2:8" x14ac:dyDescent="0.25">
      <c r="B157" s="131">
        <v>1</v>
      </c>
      <c r="C157" s="132" t="s">
        <v>166</v>
      </c>
      <c r="D157" s="131" t="s">
        <v>10</v>
      </c>
      <c r="E157" s="133">
        <f>95+6</f>
        <v>101</v>
      </c>
      <c r="F157" s="134">
        <f>Materiales!$D$13</f>
        <v>900</v>
      </c>
      <c r="G157" s="134">
        <f>F157*E157</f>
        <v>90900</v>
      </c>
    </row>
    <row r="158" spans="2:8" x14ac:dyDescent="0.25">
      <c r="B158" s="131">
        <v>2</v>
      </c>
      <c r="C158" s="132" t="s">
        <v>164</v>
      </c>
      <c r="D158" s="131" t="s">
        <v>126</v>
      </c>
      <c r="E158" s="133">
        <f>8.8+1.6</f>
        <v>10.4</v>
      </c>
      <c r="F158" s="134">
        <f>Materiales!$D$4</f>
        <v>880</v>
      </c>
      <c r="G158" s="134">
        <f>F158*E158</f>
        <v>9152</v>
      </c>
    </row>
    <row r="159" spans="2:8" x14ac:dyDescent="0.25">
      <c r="B159" s="131">
        <v>3</v>
      </c>
      <c r="C159" s="132" t="s">
        <v>125</v>
      </c>
      <c r="D159" s="131" t="s">
        <v>126</v>
      </c>
      <c r="E159" s="133">
        <f>8.5+0.75</f>
        <v>9.25</v>
      </c>
      <c r="F159" s="134">
        <f>Materiales!$D$6</f>
        <v>840</v>
      </c>
      <c r="G159" s="134">
        <f>F159*E159</f>
        <v>7770</v>
      </c>
    </row>
    <row r="160" spans="2:8" x14ac:dyDescent="0.25">
      <c r="B160" s="131">
        <v>4</v>
      </c>
      <c r="C160" s="132" t="s">
        <v>165</v>
      </c>
      <c r="D160" s="131" t="s">
        <v>31</v>
      </c>
      <c r="E160" s="133">
        <f>0.09+0.005</f>
        <v>9.5000000000000001E-2</v>
      </c>
      <c r="F160" s="134">
        <f>Materiales!$D$5</f>
        <v>47000</v>
      </c>
      <c r="G160" s="134">
        <f>F160*E160</f>
        <v>4465</v>
      </c>
    </row>
    <row r="161" spans="2:8" x14ac:dyDescent="0.25">
      <c r="B161" s="131">
        <v>5</v>
      </c>
      <c r="C161" s="132" t="s">
        <v>161</v>
      </c>
      <c r="D161" s="131" t="s">
        <v>24</v>
      </c>
      <c r="E161" s="133">
        <v>1</v>
      </c>
      <c r="F161" s="134">
        <f>MO!E24</f>
        <v>50000</v>
      </c>
      <c r="G161" s="134">
        <f>F161*E161</f>
        <v>50000</v>
      </c>
    </row>
    <row r="162" spans="2:8" x14ac:dyDescent="0.25">
      <c r="B162" s="131"/>
      <c r="C162" s="146" t="s">
        <v>61</v>
      </c>
      <c r="D162" s="147"/>
      <c r="E162" s="147"/>
      <c r="F162" s="148"/>
      <c r="G162" s="135">
        <f>SUM(G157:G161)</f>
        <v>162287</v>
      </c>
      <c r="H162" t="s">
        <v>24</v>
      </c>
    </row>
    <row r="164" spans="2:8" x14ac:dyDescent="0.25">
      <c r="B164" s="121">
        <f>B154+1</f>
        <v>5</v>
      </c>
      <c r="C164" s="122" t="str">
        <f>MO!C25</f>
        <v>Revoque interior filtrado a 2 capas</v>
      </c>
      <c r="D164" s="123"/>
      <c r="E164" s="124"/>
      <c r="F164" s="125"/>
      <c r="G164" s="125"/>
    </row>
    <row r="165" spans="2:8" x14ac:dyDescent="0.25">
      <c r="B165" s="126"/>
      <c r="E165" s="126"/>
      <c r="F165" s="127"/>
      <c r="G165" s="127"/>
    </row>
    <row r="166" spans="2:8" x14ac:dyDescent="0.25">
      <c r="B166" s="128" t="s">
        <v>0</v>
      </c>
      <c r="C166" s="128" t="s">
        <v>158</v>
      </c>
      <c r="D166" s="128" t="s">
        <v>120</v>
      </c>
      <c r="E166" s="128" t="s">
        <v>3</v>
      </c>
      <c r="F166" s="129" t="s">
        <v>159</v>
      </c>
      <c r="G166" s="129" t="s">
        <v>160</v>
      </c>
      <c r="H166" s="130"/>
    </row>
    <row r="167" spans="2:8" x14ac:dyDescent="0.25">
      <c r="B167" s="131">
        <v>1</v>
      </c>
      <c r="C167" s="132" t="s">
        <v>164</v>
      </c>
      <c r="D167" s="131" t="s">
        <v>126</v>
      </c>
      <c r="E167" s="133">
        <v>1.5</v>
      </c>
      <c r="F167" s="134">
        <f>Materiales!$D$4</f>
        <v>880</v>
      </c>
      <c r="G167" s="134">
        <f>F167*E167</f>
        <v>1320</v>
      </c>
    </row>
    <row r="168" spans="2:8" x14ac:dyDescent="0.25">
      <c r="B168" s="131">
        <v>2</v>
      </c>
      <c r="C168" s="132" t="s">
        <v>125</v>
      </c>
      <c r="D168" s="131" t="s">
        <v>126</v>
      </c>
      <c r="E168" s="133">
        <v>4</v>
      </c>
      <c r="F168" s="134">
        <f>Materiales!$D$6</f>
        <v>840</v>
      </c>
      <c r="G168" s="134">
        <f>F168*E168</f>
        <v>3360</v>
      </c>
    </row>
    <row r="169" spans="2:8" x14ac:dyDescent="0.25">
      <c r="B169" s="131">
        <v>3</v>
      </c>
      <c r="C169" s="132" t="s">
        <v>165</v>
      </c>
      <c r="D169" s="131" t="s">
        <v>31</v>
      </c>
      <c r="E169" s="133">
        <v>0.02</v>
      </c>
      <c r="F169" s="134">
        <f>Materiales!$D$5</f>
        <v>47000</v>
      </c>
      <c r="G169" s="134">
        <f>F169*E169</f>
        <v>940</v>
      </c>
    </row>
    <row r="170" spans="2:8" x14ac:dyDescent="0.25">
      <c r="B170" s="131">
        <v>4</v>
      </c>
      <c r="C170" s="132" t="s">
        <v>161</v>
      </c>
      <c r="D170" s="131" t="s">
        <v>24</v>
      </c>
      <c r="E170" s="133">
        <v>1</v>
      </c>
      <c r="F170" s="134">
        <f>MO!E25</f>
        <v>24000</v>
      </c>
      <c r="G170" s="134">
        <f>F170*E170</f>
        <v>24000</v>
      </c>
    </row>
    <row r="171" spans="2:8" x14ac:dyDescent="0.25">
      <c r="B171" s="131"/>
      <c r="C171" s="146" t="s">
        <v>61</v>
      </c>
      <c r="D171" s="147"/>
      <c r="E171" s="147"/>
      <c r="F171" s="148"/>
      <c r="G171" s="135">
        <f>SUM(G167:G170)</f>
        <v>29620</v>
      </c>
      <c r="H171" t="s">
        <v>24</v>
      </c>
    </row>
    <row r="173" spans="2:8" x14ac:dyDescent="0.25">
      <c r="B173" s="121">
        <f>B164+1</f>
        <v>6</v>
      </c>
      <c r="C173" s="122" t="str">
        <f>MO!C26</f>
        <v>Revoque exterior con hidrófugo filtrado a 2 capas</v>
      </c>
      <c r="D173" s="123"/>
      <c r="E173" s="124"/>
      <c r="F173" s="125"/>
      <c r="G173" s="125"/>
    </row>
    <row r="174" spans="2:8" x14ac:dyDescent="0.25">
      <c r="B174" s="126"/>
      <c r="E174" s="126"/>
      <c r="F174" s="127"/>
      <c r="G174" s="127"/>
    </row>
    <row r="175" spans="2:8" x14ac:dyDescent="0.25">
      <c r="B175" s="128" t="s">
        <v>0</v>
      </c>
      <c r="C175" s="128" t="s">
        <v>158</v>
      </c>
      <c r="D175" s="128" t="s">
        <v>120</v>
      </c>
      <c r="E175" s="128" t="s">
        <v>3</v>
      </c>
      <c r="F175" s="129" t="s">
        <v>159</v>
      </c>
      <c r="G175" s="129" t="s">
        <v>160</v>
      </c>
      <c r="H175" s="130"/>
    </row>
    <row r="176" spans="2:8" x14ac:dyDescent="0.25">
      <c r="B176" s="131">
        <v>1</v>
      </c>
      <c r="C176" s="132" t="s">
        <v>164</v>
      </c>
      <c r="D176" s="131" t="s">
        <v>126</v>
      </c>
      <c r="E176" s="133">
        <v>5.2</v>
      </c>
      <c r="F176" s="134">
        <f>Materiales!$D$4</f>
        <v>880</v>
      </c>
      <c r="G176" s="134">
        <f>F176*E176</f>
        <v>4576</v>
      </c>
    </row>
    <row r="177" spans="2:8" x14ac:dyDescent="0.25">
      <c r="B177" s="131">
        <v>2</v>
      </c>
      <c r="C177" s="132" t="s">
        <v>125</v>
      </c>
      <c r="D177" s="131" t="s">
        <v>126</v>
      </c>
      <c r="E177" s="133">
        <v>6</v>
      </c>
      <c r="F177" s="134">
        <f>Materiales!$D$6</f>
        <v>840</v>
      </c>
      <c r="G177" s="134">
        <f>F177*E177</f>
        <v>5040</v>
      </c>
    </row>
    <row r="178" spans="2:8" x14ac:dyDescent="0.25">
      <c r="B178" s="131">
        <v>3</v>
      </c>
      <c r="C178" s="132" t="s">
        <v>165</v>
      </c>
      <c r="D178" s="131" t="s">
        <v>31</v>
      </c>
      <c r="E178" s="133">
        <v>0.04</v>
      </c>
      <c r="F178" s="134">
        <f>Materiales!$D$5</f>
        <v>47000</v>
      </c>
      <c r="G178" s="134">
        <f>F178*E178</f>
        <v>1880</v>
      </c>
    </row>
    <row r="179" spans="2:8" x14ac:dyDescent="0.25">
      <c r="B179" s="131">
        <v>4</v>
      </c>
      <c r="C179" s="132" t="s">
        <v>144</v>
      </c>
      <c r="D179" s="131" t="s">
        <v>126</v>
      </c>
      <c r="E179" s="136">
        <v>6.0000000000000001E-3</v>
      </c>
      <c r="F179" s="134">
        <f>Materiales!$D$21</f>
        <v>22337</v>
      </c>
      <c r="G179" s="134">
        <f>F179*E179</f>
        <v>134.02199999999999</v>
      </c>
    </row>
    <row r="180" spans="2:8" x14ac:dyDescent="0.25">
      <c r="B180" s="131">
        <v>5</v>
      </c>
      <c r="C180" s="132" t="s">
        <v>161</v>
      </c>
      <c r="D180" s="131" t="s">
        <v>24</v>
      </c>
      <c r="E180" s="133">
        <v>1</v>
      </c>
      <c r="F180" s="134">
        <f>MO!E26</f>
        <v>40000</v>
      </c>
      <c r="G180" s="134">
        <f>F180*E180</f>
        <v>40000</v>
      </c>
    </row>
    <row r="181" spans="2:8" x14ac:dyDescent="0.25">
      <c r="B181" s="131"/>
      <c r="C181" s="146" t="s">
        <v>61</v>
      </c>
      <c r="D181" s="147"/>
      <c r="E181" s="147"/>
      <c r="F181" s="148"/>
      <c r="G181" s="135">
        <f>SUM(G176:G180)</f>
        <v>51630.021999999997</v>
      </c>
      <c r="H181" t="s">
        <v>24</v>
      </c>
    </row>
    <row r="183" spans="2:8" x14ac:dyDescent="0.25">
      <c r="B183" s="121">
        <f>B173+1</f>
        <v>7</v>
      </c>
      <c r="C183" s="122" t="str">
        <f>MO!C27</f>
        <v>Envarillado de paredes</v>
      </c>
      <c r="D183" s="123"/>
      <c r="E183" s="124"/>
      <c r="F183" s="125"/>
      <c r="G183" s="125"/>
    </row>
    <row r="184" spans="2:8" x14ac:dyDescent="0.25">
      <c r="B184" s="126"/>
      <c r="E184" s="126"/>
      <c r="F184" s="127"/>
      <c r="G184" s="127"/>
    </row>
    <row r="185" spans="2:8" x14ac:dyDescent="0.25">
      <c r="B185" s="128" t="s">
        <v>0</v>
      </c>
      <c r="C185" s="128" t="s">
        <v>158</v>
      </c>
      <c r="D185" s="128" t="s">
        <v>120</v>
      </c>
      <c r="E185" s="128" t="s">
        <v>3</v>
      </c>
      <c r="F185" s="129" t="s">
        <v>159</v>
      </c>
      <c r="G185" s="129" t="s">
        <v>160</v>
      </c>
      <c r="H185" s="130"/>
    </row>
    <row r="186" spans="2:8" x14ac:dyDescent="0.25">
      <c r="B186" s="131">
        <v>1</v>
      </c>
      <c r="C186" s="132" t="s">
        <v>164</v>
      </c>
      <c r="D186" s="131" t="s">
        <v>126</v>
      </c>
      <c r="E186" s="133">
        <v>2</v>
      </c>
      <c r="F186" s="134">
        <f>Materiales!$D$4</f>
        <v>880</v>
      </c>
      <c r="G186" s="134">
        <f>F186*E186</f>
        <v>1760</v>
      </c>
    </row>
    <row r="187" spans="2:8" x14ac:dyDescent="0.25">
      <c r="B187" s="131">
        <v>2</v>
      </c>
      <c r="C187" s="132" t="s">
        <v>140</v>
      </c>
      <c r="D187" s="131" t="s">
        <v>126</v>
      </c>
      <c r="E187" s="133">
        <v>0.8</v>
      </c>
      <c r="F187" s="134">
        <f>Materiales!$D$17</f>
        <v>4985.1499999999996</v>
      </c>
      <c r="G187" s="134">
        <f>F187*E187</f>
        <v>3988.12</v>
      </c>
    </row>
    <row r="188" spans="2:8" x14ac:dyDescent="0.25">
      <c r="B188" s="131">
        <v>3</v>
      </c>
      <c r="C188" s="132" t="s">
        <v>165</v>
      </c>
      <c r="D188" s="131" t="s">
        <v>31</v>
      </c>
      <c r="E188" s="133">
        <v>4.4999999999999998E-2</v>
      </c>
      <c r="F188" s="134">
        <f>Materiales!$D$5</f>
        <v>47000</v>
      </c>
      <c r="G188" s="134">
        <f>F188*E188</f>
        <v>2115</v>
      </c>
    </row>
    <row r="189" spans="2:8" x14ac:dyDescent="0.25">
      <c r="B189" s="131">
        <v>4</v>
      </c>
      <c r="C189" s="132" t="s">
        <v>161</v>
      </c>
      <c r="D189" s="131" t="s">
        <v>23</v>
      </c>
      <c r="E189" s="133">
        <v>1</v>
      </c>
      <c r="F189" s="134">
        <f>MO!E27</f>
        <v>9000</v>
      </c>
      <c r="G189" s="134">
        <f>F189*E189</f>
        <v>9000</v>
      </c>
    </row>
    <row r="190" spans="2:8" x14ac:dyDescent="0.25">
      <c r="B190" s="131"/>
      <c r="C190" s="146" t="s">
        <v>61</v>
      </c>
      <c r="D190" s="147"/>
      <c r="E190" s="147"/>
      <c r="F190" s="148"/>
      <c r="G190" s="135">
        <f>SUM(G186:G189)</f>
        <v>16863.12</v>
      </c>
      <c r="H190" t="s">
        <v>23</v>
      </c>
    </row>
    <row r="192" spans="2:8" x14ac:dyDescent="0.25">
      <c r="B192" s="121">
        <f>B183+1</f>
        <v>8</v>
      </c>
      <c r="C192" s="122" t="str">
        <f>MO!C28</f>
        <v>Contrapiso de cascotes sobre terreno compactado. Vereda</v>
      </c>
      <c r="D192" s="123"/>
      <c r="E192" s="124"/>
      <c r="F192" s="125"/>
      <c r="G192" s="125"/>
    </row>
    <row r="193" spans="2:8" x14ac:dyDescent="0.25">
      <c r="B193" s="126"/>
      <c r="E193" s="126"/>
      <c r="F193" s="127"/>
      <c r="G193" s="127"/>
    </row>
    <row r="194" spans="2:8" x14ac:dyDescent="0.25">
      <c r="B194" s="128" t="s">
        <v>0</v>
      </c>
      <c r="C194" s="128" t="s">
        <v>158</v>
      </c>
      <c r="D194" s="128" t="s">
        <v>120</v>
      </c>
      <c r="E194" s="128" t="s">
        <v>3</v>
      </c>
      <c r="F194" s="129" t="s">
        <v>159</v>
      </c>
      <c r="G194" s="129" t="s">
        <v>160</v>
      </c>
      <c r="H194" s="130"/>
    </row>
    <row r="195" spans="2:8" x14ac:dyDescent="0.25">
      <c r="B195" s="131">
        <v>1</v>
      </c>
      <c r="C195" s="132" t="s">
        <v>164</v>
      </c>
      <c r="D195" s="131" t="s">
        <v>126</v>
      </c>
      <c r="E195" s="133">
        <v>3.5</v>
      </c>
      <c r="F195" s="134">
        <f>Materiales!$D$4</f>
        <v>880</v>
      </c>
      <c r="G195" s="134">
        <f>F195*E195</f>
        <v>3080</v>
      </c>
    </row>
    <row r="196" spans="2:8" x14ac:dyDescent="0.25">
      <c r="B196" s="131">
        <v>2</v>
      </c>
      <c r="C196" s="132" t="s">
        <v>125</v>
      </c>
      <c r="D196" s="131" t="s">
        <v>126</v>
      </c>
      <c r="E196" s="133">
        <v>6</v>
      </c>
      <c r="F196" s="134">
        <f>Materiales!$D$6</f>
        <v>840</v>
      </c>
      <c r="G196" s="134">
        <f>F196*E196</f>
        <v>5040</v>
      </c>
    </row>
    <row r="197" spans="2:8" x14ac:dyDescent="0.25">
      <c r="B197" s="131">
        <v>3</v>
      </c>
      <c r="C197" s="132" t="s">
        <v>165</v>
      </c>
      <c r="D197" s="131" t="s">
        <v>31</v>
      </c>
      <c r="E197" s="133">
        <v>0.03</v>
      </c>
      <c r="F197" s="134">
        <f>Materiales!$D$5</f>
        <v>47000</v>
      </c>
      <c r="G197" s="134">
        <f>F197*E197</f>
        <v>1410</v>
      </c>
    </row>
    <row r="198" spans="2:8" x14ac:dyDescent="0.25">
      <c r="B198" s="131">
        <v>4</v>
      </c>
      <c r="C198" s="132" t="s">
        <v>167</v>
      </c>
      <c r="D198" s="131" t="s">
        <v>31</v>
      </c>
      <c r="E198" s="133">
        <v>7.0000000000000007E-2</v>
      </c>
      <c r="F198" s="134">
        <f>Materiales!$D$9</f>
        <v>65000</v>
      </c>
      <c r="G198" s="134">
        <f>F198*E198</f>
        <v>4550</v>
      </c>
    </row>
    <row r="199" spans="2:8" x14ac:dyDescent="0.25">
      <c r="B199" s="131">
        <v>5</v>
      </c>
      <c r="C199" s="132" t="s">
        <v>161</v>
      </c>
      <c r="D199" s="131" t="s">
        <v>24</v>
      </c>
      <c r="E199" s="133">
        <v>1</v>
      </c>
      <c r="F199" s="134">
        <f>MO!E28</f>
        <v>14000</v>
      </c>
      <c r="G199" s="134">
        <f>F199*E199</f>
        <v>14000</v>
      </c>
    </row>
    <row r="200" spans="2:8" x14ac:dyDescent="0.25">
      <c r="B200" s="131"/>
      <c r="C200" s="146" t="s">
        <v>61</v>
      </c>
      <c r="D200" s="147"/>
      <c r="E200" s="147"/>
      <c r="F200" s="148"/>
      <c r="G200" s="135">
        <f>SUM(G195:G199)</f>
        <v>28080</v>
      </c>
      <c r="H200" t="s">
        <v>24</v>
      </c>
    </row>
    <row r="202" spans="2:8" x14ac:dyDescent="0.25">
      <c r="B202" s="121">
        <f>B192+1</f>
        <v>9</v>
      </c>
      <c r="C202" s="122" t="str">
        <f>MO!C29</f>
        <v>Contrapiso de cascotes sobre terreno compactado</v>
      </c>
      <c r="D202" s="123"/>
      <c r="E202" s="124"/>
      <c r="F202" s="125"/>
      <c r="G202" s="125"/>
    </row>
    <row r="203" spans="2:8" x14ac:dyDescent="0.25">
      <c r="B203" s="126"/>
      <c r="E203" s="126"/>
      <c r="F203" s="127"/>
      <c r="G203" s="127"/>
    </row>
    <row r="204" spans="2:8" x14ac:dyDescent="0.25">
      <c r="B204" s="128" t="s">
        <v>0</v>
      </c>
      <c r="C204" s="128" t="s">
        <v>158</v>
      </c>
      <c r="D204" s="128" t="s">
        <v>120</v>
      </c>
      <c r="E204" s="128" t="s">
        <v>3</v>
      </c>
      <c r="F204" s="129" t="s">
        <v>159</v>
      </c>
      <c r="G204" s="129" t="s">
        <v>160</v>
      </c>
      <c r="H204" s="130"/>
    </row>
    <row r="205" spans="2:8" x14ac:dyDescent="0.25">
      <c r="B205" s="131">
        <v>1</v>
      </c>
      <c r="C205" s="132" t="s">
        <v>164</v>
      </c>
      <c r="D205" s="131" t="s">
        <v>126</v>
      </c>
      <c r="E205" s="133">
        <v>3.5</v>
      </c>
      <c r="F205" s="134">
        <f>Materiales!$D$4</f>
        <v>880</v>
      </c>
      <c r="G205" s="134">
        <f>F205*E205</f>
        <v>3080</v>
      </c>
    </row>
    <row r="206" spans="2:8" x14ac:dyDescent="0.25">
      <c r="B206" s="131">
        <v>2</v>
      </c>
      <c r="C206" s="132" t="s">
        <v>125</v>
      </c>
      <c r="D206" s="131" t="s">
        <v>126</v>
      </c>
      <c r="E206" s="133">
        <v>6</v>
      </c>
      <c r="F206" s="134">
        <f>Materiales!$D$6</f>
        <v>840</v>
      </c>
      <c r="G206" s="134">
        <f>F206*E206</f>
        <v>5040</v>
      </c>
    </row>
    <row r="207" spans="2:8" x14ac:dyDescent="0.25">
      <c r="B207" s="131">
        <v>3</v>
      </c>
      <c r="C207" s="132" t="s">
        <v>165</v>
      </c>
      <c r="D207" s="131" t="s">
        <v>31</v>
      </c>
      <c r="E207" s="133">
        <v>0.03</v>
      </c>
      <c r="F207" s="134">
        <f>Materiales!$D$5</f>
        <v>47000</v>
      </c>
      <c r="G207" s="134">
        <f>F207*E207</f>
        <v>1410</v>
      </c>
    </row>
    <row r="208" spans="2:8" x14ac:dyDescent="0.25">
      <c r="B208" s="131">
        <v>4</v>
      </c>
      <c r="C208" s="132" t="s">
        <v>167</v>
      </c>
      <c r="D208" s="131" t="s">
        <v>31</v>
      </c>
      <c r="E208" s="133">
        <v>7.0000000000000007E-2</v>
      </c>
      <c r="F208" s="134">
        <f>Materiales!$D$9</f>
        <v>65000</v>
      </c>
      <c r="G208" s="134">
        <f>F208*E208</f>
        <v>4550</v>
      </c>
    </row>
    <row r="209" spans="2:8" x14ac:dyDescent="0.25">
      <c r="B209" s="131">
        <v>5</v>
      </c>
      <c r="C209" s="132" t="s">
        <v>161</v>
      </c>
      <c r="D209" s="131" t="s">
        <v>24</v>
      </c>
      <c r="E209" s="133">
        <v>1</v>
      </c>
      <c r="F209" s="134">
        <f>MO!E29</f>
        <v>14000</v>
      </c>
      <c r="G209" s="134">
        <f>F209*E209</f>
        <v>14000</v>
      </c>
    </row>
    <row r="210" spans="2:8" x14ac:dyDescent="0.25">
      <c r="B210" s="131"/>
      <c r="C210" s="146" t="s">
        <v>61</v>
      </c>
      <c r="D210" s="147"/>
      <c r="E210" s="147"/>
      <c r="F210" s="148"/>
      <c r="G210" s="135">
        <f>SUM(G205:G209)</f>
        <v>28080</v>
      </c>
      <c r="H210" t="s">
        <v>24</v>
      </c>
    </row>
    <row r="212" spans="2:8" x14ac:dyDescent="0.25">
      <c r="B212" s="121">
        <f>B202+1</f>
        <v>10</v>
      </c>
      <c r="C212" s="122" t="str">
        <f>MO!C30</f>
        <v>Carpeta de regularización para asiento de pisos</v>
      </c>
      <c r="D212" s="123"/>
      <c r="E212" s="124"/>
      <c r="F212" s="125"/>
      <c r="G212" s="125"/>
    </row>
    <row r="213" spans="2:8" x14ac:dyDescent="0.25">
      <c r="B213" s="126"/>
      <c r="E213" s="126"/>
      <c r="F213" s="127"/>
      <c r="G213" s="127"/>
    </row>
    <row r="214" spans="2:8" x14ac:dyDescent="0.25">
      <c r="B214" s="128" t="s">
        <v>0</v>
      </c>
      <c r="C214" s="128" t="s">
        <v>158</v>
      </c>
      <c r="D214" s="128" t="s">
        <v>120</v>
      </c>
      <c r="E214" s="128" t="s">
        <v>3</v>
      </c>
      <c r="F214" s="129" t="s">
        <v>159</v>
      </c>
      <c r="G214" s="129" t="s">
        <v>160</v>
      </c>
      <c r="H214" s="130"/>
    </row>
    <row r="215" spans="2:8" x14ac:dyDescent="0.25">
      <c r="B215" s="131">
        <v>1</v>
      </c>
      <c r="C215" s="132" t="s">
        <v>164</v>
      </c>
      <c r="D215" s="131" t="s">
        <v>126</v>
      </c>
      <c r="E215" s="133">
        <v>5</v>
      </c>
      <c r="F215" s="134">
        <f>Materiales!$D$4</f>
        <v>880</v>
      </c>
      <c r="G215" s="134">
        <f>F215*E215</f>
        <v>4400</v>
      </c>
    </row>
    <row r="216" spans="2:8" x14ac:dyDescent="0.25">
      <c r="B216" s="131">
        <v>2</v>
      </c>
      <c r="C216" s="132" t="s">
        <v>165</v>
      </c>
      <c r="D216" s="131" t="s">
        <v>31</v>
      </c>
      <c r="E216" s="133">
        <v>0.02</v>
      </c>
      <c r="F216" s="134">
        <f>Materiales!$D$5</f>
        <v>47000</v>
      </c>
      <c r="G216" s="134">
        <f>F216*E216</f>
        <v>940</v>
      </c>
    </row>
    <row r="217" spans="2:8" x14ac:dyDescent="0.25">
      <c r="B217" s="131">
        <v>3</v>
      </c>
      <c r="C217" s="132" t="s">
        <v>144</v>
      </c>
      <c r="D217" s="131" t="s">
        <v>126</v>
      </c>
      <c r="E217" s="136">
        <v>6.0000000000000001E-3</v>
      </c>
      <c r="F217" s="134">
        <f>Materiales!$D$21</f>
        <v>22337</v>
      </c>
      <c r="G217" s="134">
        <f>F217*E217</f>
        <v>134.02199999999999</v>
      </c>
    </row>
    <row r="218" spans="2:8" x14ac:dyDescent="0.25">
      <c r="B218" s="131">
        <v>4</v>
      </c>
      <c r="C218" s="132" t="s">
        <v>161</v>
      </c>
      <c r="D218" s="131" t="s">
        <v>24</v>
      </c>
      <c r="E218" s="133">
        <v>1</v>
      </c>
      <c r="F218" s="134">
        <f>MO!E30</f>
        <v>14000</v>
      </c>
      <c r="G218" s="134">
        <f>F218*E218</f>
        <v>14000</v>
      </c>
    </row>
    <row r="219" spans="2:8" x14ac:dyDescent="0.25">
      <c r="B219" s="131"/>
      <c r="C219" s="146" t="s">
        <v>61</v>
      </c>
      <c r="D219" s="147"/>
      <c r="E219" s="147"/>
      <c r="F219" s="148"/>
      <c r="G219" s="135">
        <f>SUM(G215:G218)</f>
        <v>19474.022000000001</v>
      </c>
      <c r="H219" t="s">
        <v>24</v>
      </c>
    </row>
    <row r="220" spans="2:8" ht="15.75" thickBot="1" x14ac:dyDescent="0.3"/>
    <row r="221" spans="2:8" s="120" customFormat="1" ht="15.75" thickBot="1" x14ac:dyDescent="0.3">
      <c r="B221" s="149" t="e">
        <f>MO!#REF!</f>
        <v>#REF!</v>
      </c>
      <c r="C221" s="150"/>
      <c r="D221" s="150"/>
      <c r="E221" s="150"/>
      <c r="F221" s="150"/>
      <c r="G221" s="151"/>
    </row>
    <row r="223" spans="2:8" x14ac:dyDescent="0.25">
      <c r="B223" s="121">
        <v>1</v>
      </c>
      <c r="C223" s="122" t="str">
        <f>MO!C31</f>
        <v>Aislación horizontal de 0,15</v>
      </c>
      <c r="D223" s="123"/>
      <c r="E223" s="124"/>
      <c r="F223" s="125"/>
      <c r="G223" s="125"/>
    </row>
    <row r="224" spans="2:8" x14ac:dyDescent="0.25">
      <c r="B224" s="126"/>
      <c r="E224" s="126"/>
      <c r="F224" s="127"/>
      <c r="G224" s="127"/>
    </row>
    <row r="225" spans="2:8" x14ac:dyDescent="0.25">
      <c r="B225" s="128" t="s">
        <v>0</v>
      </c>
      <c r="C225" s="128" t="s">
        <v>158</v>
      </c>
      <c r="D225" s="128" t="s">
        <v>120</v>
      </c>
      <c r="E225" s="128" t="s">
        <v>3</v>
      </c>
      <c r="F225" s="129" t="s">
        <v>159</v>
      </c>
      <c r="G225" s="129" t="s">
        <v>160</v>
      </c>
      <c r="H225" s="130"/>
    </row>
    <row r="226" spans="2:8" x14ac:dyDescent="0.25">
      <c r="B226" s="131">
        <v>1</v>
      </c>
      <c r="C226" s="132" t="s">
        <v>168</v>
      </c>
      <c r="D226" s="131" t="s">
        <v>169</v>
      </c>
      <c r="E226" s="133">
        <v>0.1125</v>
      </c>
      <c r="F226" s="134">
        <f>Materiales!$D$15</f>
        <v>6481</v>
      </c>
      <c r="G226" s="134">
        <f>F226*E226</f>
        <v>729.11250000000007</v>
      </c>
    </row>
    <row r="227" spans="2:8" x14ac:dyDescent="0.25">
      <c r="B227" s="131">
        <v>2</v>
      </c>
      <c r="C227" s="132" t="s">
        <v>164</v>
      </c>
      <c r="D227" s="131" t="s">
        <v>126</v>
      </c>
      <c r="E227" s="133">
        <v>0.9</v>
      </c>
      <c r="F227" s="134">
        <f>Materiales!$D$4</f>
        <v>880</v>
      </c>
      <c r="G227" s="134">
        <f>F227*E227</f>
        <v>792</v>
      </c>
    </row>
    <row r="228" spans="2:8" x14ac:dyDescent="0.25">
      <c r="B228" s="131">
        <v>3</v>
      </c>
      <c r="C228" s="132" t="s">
        <v>125</v>
      </c>
      <c r="D228" s="131" t="s">
        <v>126</v>
      </c>
      <c r="E228" s="133">
        <v>0.7</v>
      </c>
      <c r="F228" s="134">
        <f>Materiales!$D$6</f>
        <v>840</v>
      </c>
      <c r="G228" s="134">
        <f>F228*E228</f>
        <v>588</v>
      </c>
    </row>
    <row r="229" spans="2:8" x14ac:dyDescent="0.25">
      <c r="B229" s="131">
        <v>4</v>
      </c>
      <c r="C229" s="132" t="s">
        <v>165</v>
      </c>
      <c r="D229" s="131" t="s">
        <v>31</v>
      </c>
      <c r="E229" s="133">
        <v>0.02</v>
      </c>
      <c r="F229" s="134">
        <f>Materiales!$D$5</f>
        <v>47000</v>
      </c>
      <c r="G229" s="134">
        <f>F229*E229</f>
        <v>940</v>
      </c>
    </row>
    <row r="230" spans="2:8" x14ac:dyDescent="0.25">
      <c r="B230" s="131">
        <v>5</v>
      </c>
      <c r="C230" s="132" t="s">
        <v>161</v>
      </c>
      <c r="D230" s="131" t="s">
        <v>23</v>
      </c>
      <c r="E230" s="133">
        <v>1</v>
      </c>
      <c r="F230" s="134">
        <f>MO!E31</f>
        <v>15000</v>
      </c>
      <c r="G230" s="134">
        <f>F230*E230</f>
        <v>15000</v>
      </c>
    </row>
    <row r="231" spans="2:8" x14ac:dyDescent="0.25">
      <c r="B231" s="131"/>
      <c r="C231" s="146" t="s">
        <v>61</v>
      </c>
      <c r="D231" s="147"/>
      <c r="E231" s="147"/>
      <c r="F231" s="148"/>
      <c r="G231" s="135">
        <f>SUM(G226:G230)</f>
        <v>18049.112499999999</v>
      </c>
      <c r="H231" t="s">
        <v>23</v>
      </c>
    </row>
    <row r="233" spans="2:8" x14ac:dyDescent="0.25">
      <c r="B233" s="121">
        <f>B223+1</f>
        <v>2</v>
      </c>
      <c r="C233" s="122" t="str">
        <f>MO!C32</f>
        <v>Aislación horizontal de 0,20</v>
      </c>
      <c r="D233" s="123"/>
      <c r="E233" s="124"/>
      <c r="F233" s="125"/>
      <c r="G233" s="125"/>
    </row>
    <row r="234" spans="2:8" x14ac:dyDescent="0.25">
      <c r="B234" s="126"/>
      <c r="E234" s="126"/>
      <c r="F234" s="127"/>
      <c r="G234" s="127"/>
    </row>
    <row r="235" spans="2:8" x14ac:dyDescent="0.25">
      <c r="B235" s="128" t="s">
        <v>0</v>
      </c>
      <c r="C235" s="128" t="s">
        <v>158</v>
      </c>
      <c r="D235" s="128" t="s">
        <v>120</v>
      </c>
      <c r="E235" s="128" t="s">
        <v>3</v>
      </c>
      <c r="F235" s="129" t="s">
        <v>159</v>
      </c>
      <c r="G235" s="129" t="s">
        <v>160</v>
      </c>
      <c r="H235" s="130"/>
    </row>
    <row r="236" spans="2:8" x14ac:dyDescent="0.25">
      <c r="B236" s="131">
        <v>1</v>
      </c>
      <c r="C236" s="132" t="s">
        <v>168</v>
      </c>
      <c r="D236" s="131" t="s">
        <v>169</v>
      </c>
      <c r="E236" s="133">
        <v>0.22499999999999998</v>
      </c>
      <c r="F236" s="134">
        <f>Materiales!$D$15</f>
        <v>6481</v>
      </c>
      <c r="G236" s="134">
        <f>F236*E236</f>
        <v>1458.2249999999999</v>
      </c>
    </row>
    <row r="237" spans="2:8" x14ac:dyDescent="0.25">
      <c r="B237" s="131">
        <v>2</v>
      </c>
      <c r="C237" s="132" t="s">
        <v>164</v>
      </c>
      <c r="D237" s="131" t="s">
        <v>126</v>
      </c>
      <c r="E237" s="133">
        <v>1.8</v>
      </c>
      <c r="F237" s="134">
        <f>Materiales!$D$4</f>
        <v>880</v>
      </c>
      <c r="G237" s="134">
        <f>F237*E237</f>
        <v>1584</v>
      </c>
    </row>
    <row r="238" spans="2:8" x14ac:dyDescent="0.25">
      <c r="B238" s="131">
        <v>3</v>
      </c>
      <c r="C238" s="132" t="s">
        <v>125</v>
      </c>
      <c r="D238" s="131" t="s">
        <v>126</v>
      </c>
      <c r="E238" s="133">
        <v>1.4</v>
      </c>
      <c r="F238" s="134">
        <f>Materiales!$D$6</f>
        <v>840</v>
      </c>
      <c r="G238" s="134">
        <f>F238*E238</f>
        <v>1176</v>
      </c>
    </row>
    <row r="239" spans="2:8" x14ac:dyDescent="0.25">
      <c r="B239" s="131">
        <v>4</v>
      </c>
      <c r="C239" s="132" t="s">
        <v>165</v>
      </c>
      <c r="D239" s="131" t="s">
        <v>31</v>
      </c>
      <c r="E239" s="133">
        <v>0.03</v>
      </c>
      <c r="F239" s="134">
        <f>Materiales!$D$5</f>
        <v>47000</v>
      </c>
      <c r="G239" s="134">
        <f>F239*E239</f>
        <v>1410</v>
      </c>
    </row>
    <row r="240" spans="2:8" x14ac:dyDescent="0.25">
      <c r="B240" s="131">
        <v>5</v>
      </c>
      <c r="C240" s="132" t="s">
        <v>161</v>
      </c>
      <c r="D240" s="131" t="s">
        <v>23</v>
      </c>
      <c r="E240" s="133">
        <v>1</v>
      </c>
      <c r="F240" s="134">
        <f>MO!E32</f>
        <v>20000</v>
      </c>
      <c r="G240" s="134">
        <f>F240*E240</f>
        <v>20000</v>
      </c>
    </row>
    <row r="241" spans="2:8" x14ac:dyDescent="0.25">
      <c r="B241" s="131"/>
      <c r="C241" s="146" t="s">
        <v>61</v>
      </c>
      <c r="D241" s="147"/>
      <c r="E241" s="147"/>
      <c r="F241" s="148"/>
      <c r="G241" s="135">
        <f>SUM(G236:G240)</f>
        <v>25628.224999999999</v>
      </c>
      <c r="H241" t="s">
        <v>23</v>
      </c>
    </row>
    <row r="243" spans="2:8" x14ac:dyDescent="0.25">
      <c r="B243" s="121">
        <f>B233+1</f>
        <v>3</v>
      </c>
      <c r="C243" s="122" t="str">
        <f>MO!C33</f>
        <v xml:space="preserve">Aislación vertical </v>
      </c>
      <c r="D243" s="123"/>
      <c r="E243" s="124"/>
      <c r="F243" s="125"/>
      <c r="G243" s="125"/>
    </row>
    <row r="244" spans="2:8" x14ac:dyDescent="0.25">
      <c r="B244" s="126"/>
      <c r="E244" s="126"/>
      <c r="F244" s="127"/>
      <c r="G244" s="127"/>
    </row>
    <row r="245" spans="2:8" x14ac:dyDescent="0.25">
      <c r="B245" s="128" t="s">
        <v>0</v>
      </c>
      <c r="C245" s="128" t="s">
        <v>158</v>
      </c>
      <c r="D245" s="128" t="s">
        <v>120</v>
      </c>
      <c r="E245" s="128" t="s">
        <v>3</v>
      </c>
      <c r="F245" s="129" t="s">
        <v>159</v>
      </c>
      <c r="G245" s="129" t="s">
        <v>160</v>
      </c>
      <c r="H245" s="130"/>
    </row>
    <row r="246" spans="2:8" x14ac:dyDescent="0.25">
      <c r="B246" s="131">
        <v>1</v>
      </c>
      <c r="C246" s="132" t="s">
        <v>170</v>
      </c>
      <c r="D246" s="131" t="s">
        <v>126</v>
      </c>
      <c r="E246" s="133">
        <v>2</v>
      </c>
      <c r="F246" s="134">
        <f>Materiales!$D$34</f>
        <v>5800</v>
      </c>
      <c r="G246" s="134">
        <f>F246*E246</f>
        <v>11600</v>
      </c>
    </row>
    <row r="247" spans="2:8" x14ac:dyDescent="0.25">
      <c r="B247" s="131">
        <v>2</v>
      </c>
      <c r="C247" s="132" t="s">
        <v>161</v>
      </c>
      <c r="D247" s="131" t="s">
        <v>24</v>
      </c>
      <c r="E247" s="133">
        <v>1</v>
      </c>
      <c r="F247" s="134">
        <f>MO!E33</f>
        <v>35000</v>
      </c>
      <c r="G247" s="134">
        <f>F247*E247</f>
        <v>35000</v>
      </c>
    </row>
    <row r="248" spans="2:8" x14ac:dyDescent="0.25">
      <c r="B248" s="131"/>
      <c r="C248" s="146" t="s">
        <v>61</v>
      </c>
      <c r="D248" s="147"/>
      <c r="E248" s="147"/>
      <c r="F248" s="148"/>
      <c r="G248" s="135">
        <f>SUM(G246:G247)</f>
        <v>46600</v>
      </c>
      <c r="H248" t="s">
        <v>24</v>
      </c>
    </row>
    <row r="250" spans="2:8" x14ac:dyDescent="0.25">
      <c r="B250" s="121">
        <f>B243+1</f>
        <v>4</v>
      </c>
      <c r="C250" s="122" t="str">
        <f>MO!C34</f>
        <v>Aislación de SSHH sobre terreno natural</v>
      </c>
      <c r="D250" s="123"/>
      <c r="E250" s="124"/>
      <c r="F250" s="125"/>
      <c r="G250" s="125"/>
    </row>
    <row r="251" spans="2:8" x14ac:dyDescent="0.25">
      <c r="B251" s="126"/>
      <c r="E251" s="126"/>
      <c r="F251" s="127"/>
      <c r="G251" s="127"/>
    </row>
    <row r="252" spans="2:8" x14ac:dyDescent="0.25">
      <c r="B252" s="128" t="s">
        <v>0</v>
      </c>
      <c r="C252" s="128" t="s">
        <v>158</v>
      </c>
      <c r="D252" s="128" t="s">
        <v>120</v>
      </c>
      <c r="E252" s="128" t="s">
        <v>3</v>
      </c>
      <c r="F252" s="129" t="s">
        <v>159</v>
      </c>
      <c r="G252" s="129" t="s">
        <v>160</v>
      </c>
      <c r="H252" s="130"/>
    </row>
    <row r="253" spans="2:8" x14ac:dyDescent="0.25">
      <c r="B253" s="131">
        <v>1</v>
      </c>
      <c r="C253" s="132" t="s">
        <v>146</v>
      </c>
      <c r="D253" s="131" t="s">
        <v>24</v>
      </c>
      <c r="E253" s="133">
        <v>1.1000000000000001</v>
      </c>
      <c r="F253" s="134">
        <f>Materiales!$D$23</f>
        <v>2333</v>
      </c>
      <c r="G253" s="134">
        <f>F253*E253</f>
        <v>2566.3000000000002</v>
      </c>
    </row>
    <row r="254" spans="2:8" x14ac:dyDescent="0.25">
      <c r="B254" s="131">
        <v>2</v>
      </c>
      <c r="C254" s="132" t="s">
        <v>147</v>
      </c>
      <c r="D254" s="131" t="s">
        <v>126</v>
      </c>
      <c r="E254" s="133">
        <v>2</v>
      </c>
      <c r="F254" s="134">
        <f>Materiales!$D$24</f>
        <v>14707</v>
      </c>
      <c r="G254" s="134">
        <f>F254*E254</f>
        <v>29414</v>
      </c>
    </row>
    <row r="255" spans="2:8" x14ac:dyDescent="0.25">
      <c r="B255" s="131">
        <v>3</v>
      </c>
      <c r="C255" s="132" t="s">
        <v>161</v>
      </c>
      <c r="D255" s="131" t="s">
        <v>24</v>
      </c>
      <c r="E255" s="133">
        <v>1</v>
      </c>
      <c r="F255" s="134">
        <f>MO!E34</f>
        <v>35000</v>
      </c>
      <c r="G255" s="134">
        <f>F255*E255</f>
        <v>35000</v>
      </c>
    </row>
    <row r="256" spans="2:8" x14ac:dyDescent="0.25">
      <c r="B256" s="131"/>
      <c r="C256" s="146" t="s">
        <v>61</v>
      </c>
      <c r="D256" s="147"/>
      <c r="E256" s="147"/>
      <c r="F256" s="148"/>
      <c r="G256" s="135">
        <f>SUM(G253:G255)</f>
        <v>66980.3</v>
      </c>
      <c r="H256" t="s">
        <v>24</v>
      </c>
    </row>
    <row r="257" spans="2:8" ht="15.75" thickBot="1" x14ac:dyDescent="0.3"/>
    <row r="258" spans="2:8" s="120" customFormat="1" ht="15.75" thickBot="1" x14ac:dyDescent="0.3">
      <c r="B258" s="149" t="e">
        <f>MO!#REF!</f>
        <v>#REF!</v>
      </c>
      <c r="C258" s="150"/>
      <c r="D258" s="150"/>
      <c r="E258" s="150"/>
      <c r="F258" s="150"/>
      <c r="G258" s="151"/>
    </row>
    <row r="260" spans="2:8" x14ac:dyDescent="0.25">
      <c r="B260" s="121">
        <v>1</v>
      </c>
      <c r="C260" s="122" t="str">
        <f>MO!C35</f>
        <v>Piso de HºAº con barrera de vapor y endurecedor. Depósito</v>
      </c>
      <c r="D260" s="123"/>
      <c r="E260" s="124"/>
      <c r="F260" s="125"/>
      <c r="G260" s="125"/>
    </row>
    <row r="261" spans="2:8" x14ac:dyDescent="0.25">
      <c r="B261" s="126"/>
      <c r="E261" s="126"/>
      <c r="F261" s="127"/>
      <c r="G261" s="127"/>
    </row>
    <row r="262" spans="2:8" x14ac:dyDescent="0.25">
      <c r="B262" s="128" t="s">
        <v>0</v>
      </c>
      <c r="C262" s="128" t="s">
        <v>158</v>
      </c>
      <c r="D262" s="128" t="s">
        <v>120</v>
      </c>
      <c r="E262" s="128" t="s">
        <v>3</v>
      </c>
      <c r="F262" s="129" t="s">
        <v>159</v>
      </c>
      <c r="G262" s="129" t="s">
        <v>160</v>
      </c>
      <c r="H262" s="130"/>
    </row>
    <row r="263" spans="2:8" x14ac:dyDescent="0.25">
      <c r="B263" s="131">
        <v>1</v>
      </c>
      <c r="C263" s="132" t="s">
        <v>148</v>
      </c>
      <c r="D263" s="131" t="s">
        <v>31</v>
      </c>
      <c r="E263" s="133">
        <f>1*0.1*1.05</f>
        <v>0.10500000000000001</v>
      </c>
      <c r="F263" s="134">
        <f>Materiales!$D$25</f>
        <v>790000</v>
      </c>
      <c r="G263" s="134">
        <f t="shared" ref="G263:G268" si="0">F263*E263</f>
        <v>82950.000000000015</v>
      </c>
    </row>
    <row r="264" spans="2:8" x14ac:dyDescent="0.25">
      <c r="B264" s="131">
        <v>2</v>
      </c>
      <c r="C264" s="132" t="s">
        <v>140</v>
      </c>
      <c r="D264" s="131" t="s">
        <v>126</v>
      </c>
      <c r="E264" s="133">
        <f>8</f>
        <v>8</v>
      </c>
      <c r="F264" s="134">
        <f>Materiales!$D$17</f>
        <v>4985.1499999999996</v>
      </c>
      <c r="G264" s="134">
        <f t="shared" si="0"/>
        <v>39881.199999999997</v>
      </c>
    </row>
    <row r="265" spans="2:8" x14ac:dyDescent="0.25">
      <c r="B265" s="131">
        <v>3</v>
      </c>
      <c r="C265" s="132" t="s">
        <v>162</v>
      </c>
      <c r="D265" s="131" t="s">
        <v>126</v>
      </c>
      <c r="E265" s="133">
        <f>0.5*E263</f>
        <v>5.2500000000000005E-2</v>
      </c>
      <c r="F265" s="134">
        <f>(Materiales!$D$18+Materiales!$D$19)</f>
        <v>18000</v>
      </c>
      <c r="G265" s="134">
        <f t="shared" si="0"/>
        <v>945.00000000000011</v>
      </c>
    </row>
    <row r="266" spans="2:8" x14ac:dyDescent="0.25">
      <c r="B266" s="131">
        <v>4</v>
      </c>
      <c r="C266" s="132" t="s">
        <v>129</v>
      </c>
      <c r="D266" s="131" t="s">
        <v>130</v>
      </c>
      <c r="E266" s="133">
        <f>1.4*0.05</f>
        <v>6.9999999999999993E-2</v>
      </c>
      <c r="F266" s="134">
        <f>Materiales!$D$8</f>
        <v>95000</v>
      </c>
      <c r="G266" s="134">
        <f t="shared" si="0"/>
        <v>6649.9999999999991</v>
      </c>
    </row>
    <row r="267" spans="2:8" x14ac:dyDescent="0.25">
      <c r="B267" s="131">
        <v>5</v>
      </c>
      <c r="C267" s="132" t="s">
        <v>171</v>
      </c>
      <c r="D267" s="131" t="s">
        <v>24</v>
      </c>
      <c r="E267" s="133">
        <v>1.1000000000000001</v>
      </c>
      <c r="F267" s="134">
        <f>Materiales!$D$33</f>
        <v>1700</v>
      </c>
      <c r="G267" s="134">
        <f t="shared" si="0"/>
        <v>1870.0000000000002</v>
      </c>
    </row>
    <row r="268" spans="2:8" x14ac:dyDescent="0.25">
      <c r="B268" s="131">
        <v>6</v>
      </c>
      <c r="C268" s="132" t="s">
        <v>161</v>
      </c>
      <c r="D268" s="131" t="s">
        <v>24</v>
      </c>
      <c r="E268" s="133">
        <v>1</v>
      </c>
      <c r="F268" s="134">
        <f>MO!E35</f>
        <v>35000</v>
      </c>
      <c r="G268" s="134">
        <f t="shared" si="0"/>
        <v>35000</v>
      </c>
    </row>
    <row r="269" spans="2:8" x14ac:dyDescent="0.25">
      <c r="B269" s="131"/>
      <c r="C269" s="146" t="s">
        <v>61</v>
      </c>
      <c r="D269" s="147"/>
      <c r="E269" s="147"/>
      <c r="F269" s="148"/>
      <c r="G269" s="135">
        <f>SUM(G263:G268)</f>
        <v>167296.20000000001</v>
      </c>
      <c r="H269" t="s">
        <v>24</v>
      </c>
    </row>
    <row r="271" spans="2:8" x14ac:dyDescent="0.25">
      <c r="B271" s="121">
        <f>B260+1</f>
        <v>2</v>
      </c>
      <c r="C271" s="122" t="str">
        <f>MO!C36</f>
        <v>Piso de HºAº con barrera de vapor y endurecedor. Área de carga y descarga</v>
      </c>
      <c r="D271" s="123"/>
      <c r="E271" s="124"/>
      <c r="F271" s="125"/>
      <c r="G271" s="125"/>
    </row>
    <row r="272" spans="2:8" x14ac:dyDescent="0.25">
      <c r="B272" s="126"/>
      <c r="E272" s="126"/>
      <c r="F272" s="127"/>
      <c r="G272" s="127"/>
    </row>
    <row r="273" spans="2:8" x14ac:dyDescent="0.25">
      <c r="B273" s="128" t="s">
        <v>0</v>
      </c>
      <c r="C273" s="128" t="s">
        <v>158</v>
      </c>
      <c r="D273" s="128" t="s">
        <v>120</v>
      </c>
      <c r="E273" s="128" t="s">
        <v>3</v>
      </c>
      <c r="F273" s="129" t="s">
        <v>159</v>
      </c>
      <c r="G273" s="129" t="s">
        <v>160</v>
      </c>
      <c r="H273" s="130"/>
    </row>
    <row r="274" spans="2:8" x14ac:dyDescent="0.25">
      <c r="B274" s="131">
        <v>1</v>
      </c>
      <c r="C274" s="132" t="s">
        <v>148</v>
      </c>
      <c r="D274" s="131" t="s">
        <v>31</v>
      </c>
      <c r="E274" s="133">
        <f>1*0.1*1.05</f>
        <v>0.10500000000000001</v>
      </c>
      <c r="F274" s="134">
        <f>Materiales!$D$25</f>
        <v>790000</v>
      </c>
      <c r="G274" s="134">
        <f t="shared" ref="G274:G279" si="1">F274*E274</f>
        <v>82950.000000000015</v>
      </c>
    </row>
    <row r="275" spans="2:8" x14ac:dyDescent="0.25">
      <c r="B275" s="131">
        <v>2</v>
      </c>
      <c r="C275" s="132" t="s">
        <v>140</v>
      </c>
      <c r="D275" s="131" t="s">
        <v>126</v>
      </c>
      <c r="E275" s="133">
        <f>8</f>
        <v>8</v>
      </c>
      <c r="F275" s="134">
        <f>Materiales!$D$17</f>
        <v>4985.1499999999996</v>
      </c>
      <c r="G275" s="134">
        <f t="shared" si="1"/>
        <v>39881.199999999997</v>
      </c>
    </row>
    <row r="276" spans="2:8" x14ac:dyDescent="0.25">
      <c r="B276" s="131">
        <v>3</v>
      </c>
      <c r="C276" s="132" t="s">
        <v>162</v>
      </c>
      <c r="D276" s="131" t="s">
        <v>126</v>
      </c>
      <c r="E276" s="133">
        <f>0.5*E274</f>
        <v>5.2500000000000005E-2</v>
      </c>
      <c r="F276" s="134">
        <f>(Materiales!$D$18+Materiales!$D$19)</f>
        <v>18000</v>
      </c>
      <c r="G276" s="134">
        <f t="shared" si="1"/>
        <v>945.00000000000011</v>
      </c>
    </row>
    <row r="277" spans="2:8" x14ac:dyDescent="0.25">
      <c r="B277" s="131">
        <v>4</v>
      </c>
      <c r="C277" s="132" t="s">
        <v>129</v>
      </c>
      <c r="D277" s="131" t="s">
        <v>130</v>
      </c>
      <c r="E277" s="133">
        <f>1.4*0.05</f>
        <v>6.9999999999999993E-2</v>
      </c>
      <c r="F277" s="134">
        <f>Materiales!$D$8</f>
        <v>95000</v>
      </c>
      <c r="G277" s="134">
        <f t="shared" si="1"/>
        <v>6649.9999999999991</v>
      </c>
    </row>
    <row r="278" spans="2:8" x14ac:dyDescent="0.25">
      <c r="B278" s="131">
        <v>5</v>
      </c>
      <c r="C278" s="132" t="s">
        <v>171</v>
      </c>
      <c r="D278" s="131" t="s">
        <v>24</v>
      </c>
      <c r="E278" s="133">
        <v>1.1000000000000001</v>
      </c>
      <c r="F278" s="134">
        <f>Materiales!$D$33</f>
        <v>1700</v>
      </c>
      <c r="G278" s="134">
        <f t="shared" si="1"/>
        <v>1870.0000000000002</v>
      </c>
    </row>
    <row r="279" spans="2:8" x14ac:dyDescent="0.25">
      <c r="B279" s="131">
        <v>6</v>
      </c>
      <c r="C279" s="132" t="s">
        <v>161</v>
      </c>
      <c r="D279" s="131" t="s">
        <v>24</v>
      </c>
      <c r="E279" s="133">
        <v>1</v>
      </c>
      <c r="F279" s="134">
        <f>MO!E36</f>
        <v>35000</v>
      </c>
      <c r="G279" s="134">
        <f t="shared" si="1"/>
        <v>35000</v>
      </c>
    </row>
    <row r="280" spans="2:8" x14ac:dyDescent="0.25">
      <c r="B280" s="131"/>
      <c r="C280" s="146" t="s">
        <v>61</v>
      </c>
      <c r="D280" s="147"/>
      <c r="E280" s="147"/>
      <c r="F280" s="148"/>
      <c r="G280" s="135">
        <f>SUM(G274:G279)</f>
        <v>167296.20000000001</v>
      </c>
      <c r="H280" t="s">
        <v>24</v>
      </c>
    </row>
    <row r="282" spans="2:8" x14ac:dyDescent="0.25">
      <c r="B282" s="121">
        <f>B271+1</f>
        <v>3</v>
      </c>
      <c r="C282" s="122" t="str">
        <f>MO!C37</f>
        <v>Isla de refuerzo para racks (Incluye insertos)</v>
      </c>
      <c r="D282" s="123"/>
      <c r="E282" s="124"/>
      <c r="F282" s="125"/>
      <c r="G282" s="125"/>
    </row>
    <row r="283" spans="2:8" x14ac:dyDescent="0.25">
      <c r="B283" s="126"/>
      <c r="E283" s="126"/>
      <c r="F283" s="127"/>
      <c r="G283" s="127"/>
    </row>
    <row r="284" spans="2:8" x14ac:dyDescent="0.25">
      <c r="B284" s="128" t="s">
        <v>0</v>
      </c>
      <c r="C284" s="128" t="s">
        <v>158</v>
      </c>
      <c r="D284" s="128" t="s">
        <v>120</v>
      </c>
      <c r="E284" s="128" t="s">
        <v>3</v>
      </c>
      <c r="F284" s="129" t="s">
        <v>159</v>
      </c>
      <c r="G284" s="129" t="s">
        <v>160</v>
      </c>
      <c r="H284" s="130"/>
    </row>
    <row r="285" spans="2:8" x14ac:dyDescent="0.25">
      <c r="B285" s="131">
        <v>1</v>
      </c>
      <c r="C285" s="132" t="s">
        <v>148</v>
      </c>
      <c r="D285" s="131" t="s">
        <v>31</v>
      </c>
      <c r="E285" s="133">
        <f>1*0.1*1.05</f>
        <v>0.10500000000000001</v>
      </c>
      <c r="F285" s="134">
        <f>Materiales!$D$25</f>
        <v>790000</v>
      </c>
      <c r="G285" s="134">
        <f>F285*E285</f>
        <v>82950.000000000015</v>
      </c>
    </row>
    <row r="286" spans="2:8" x14ac:dyDescent="0.25">
      <c r="B286" s="131">
        <v>2</v>
      </c>
      <c r="C286" s="132" t="s">
        <v>140</v>
      </c>
      <c r="D286" s="131" t="s">
        <v>126</v>
      </c>
      <c r="E286" s="133">
        <f>8</f>
        <v>8</v>
      </c>
      <c r="F286" s="134">
        <f>Materiales!$D$17</f>
        <v>4985.1499999999996</v>
      </c>
      <c r="G286" s="134">
        <f>F286*E286</f>
        <v>39881.199999999997</v>
      </c>
    </row>
    <row r="287" spans="2:8" x14ac:dyDescent="0.25">
      <c r="B287" s="131">
        <v>3</v>
      </c>
      <c r="C287" s="132" t="s">
        <v>162</v>
      </c>
      <c r="D287" s="131" t="s">
        <v>126</v>
      </c>
      <c r="E287" s="133">
        <f>0.5*E285</f>
        <v>5.2500000000000005E-2</v>
      </c>
      <c r="F287" s="134">
        <f>(Materiales!$D$18+Materiales!$D$19)</f>
        <v>18000</v>
      </c>
      <c r="G287" s="134">
        <f>F287*E287</f>
        <v>945.00000000000011</v>
      </c>
    </row>
    <row r="288" spans="2:8" x14ac:dyDescent="0.25">
      <c r="B288" s="131">
        <v>4</v>
      </c>
      <c r="C288" s="132" t="s">
        <v>172</v>
      </c>
      <c r="D288" s="131" t="s">
        <v>10</v>
      </c>
      <c r="E288" s="133">
        <v>6</v>
      </c>
      <c r="F288" s="134">
        <v>5000</v>
      </c>
      <c r="G288" s="134">
        <f>F288*E288</f>
        <v>30000</v>
      </c>
    </row>
    <row r="289" spans="2:8" x14ac:dyDescent="0.25">
      <c r="B289" s="131">
        <v>5</v>
      </c>
      <c r="C289" s="132" t="s">
        <v>161</v>
      </c>
      <c r="D289" s="131" t="s">
        <v>24</v>
      </c>
      <c r="E289" s="133">
        <v>1</v>
      </c>
      <c r="F289" s="134">
        <f>MO!E37</f>
        <v>37500</v>
      </c>
      <c r="G289" s="134">
        <f>F289*E289</f>
        <v>37500</v>
      </c>
    </row>
    <row r="290" spans="2:8" x14ac:dyDescent="0.25">
      <c r="B290" s="131"/>
      <c r="C290" s="146" t="s">
        <v>61</v>
      </c>
      <c r="D290" s="147"/>
      <c r="E290" s="147"/>
      <c r="F290" s="148"/>
      <c r="G290" s="135">
        <f>SUM(G285:G289)</f>
        <v>191276.2</v>
      </c>
      <c r="H290" t="s">
        <v>24</v>
      </c>
    </row>
    <row r="292" spans="2:8" x14ac:dyDescent="0.25">
      <c r="B292" s="121">
        <f>B282+1</f>
        <v>4</v>
      </c>
      <c r="C292" s="122" t="str">
        <f>MO!C38</f>
        <v>Piso cerámico</v>
      </c>
      <c r="D292" s="123"/>
      <c r="E292" s="124"/>
      <c r="F292" s="125"/>
      <c r="G292" s="125"/>
    </row>
    <row r="293" spans="2:8" x14ac:dyDescent="0.25">
      <c r="B293" s="126"/>
      <c r="E293" s="126"/>
      <c r="F293" s="127"/>
      <c r="G293" s="127"/>
    </row>
    <row r="294" spans="2:8" x14ac:dyDescent="0.25">
      <c r="B294" s="128" t="s">
        <v>0</v>
      </c>
      <c r="C294" s="128" t="s">
        <v>158</v>
      </c>
      <c r="D294" s="128" t="s">
        <v>120</v>
      </c>
      <c r="E294" s="128" t="s">
        <v>3</v>
      </c>
      <c r="F294" s="129" t="s">
        <v>159</v>
      </c>
      <c r="G294" s="129" t="s">
        <v>160</v>
      </c>
      <c r="H294" s="130"/>
    </row>
    <row r="295" spans="2:8" x14ac:dyDescent="0.25">
      <c r="B295" s="131">
        <v>1</v>
      </c>
      <c r="C295" s="132" t="s">
        <v>104</v>
      </c>
      <c r="D295" s="131" t="s">
        <v>24</v>
      </c>
      <c r="E295" s="133">
        <v>1.25</v>
      </c>
      <c r="F295" s="134">
        <f>Materiales!$D$28</f>
        <v>44949.9</v>
      </c>
      <c r="G295" s="134">
        <f>F295*E295</f>
        <v>56187.375</v>
      </c>
    </row>
    <row r="296" spans="2:8" x14ac:dyDescent="0.25">
      <c r="B296" s="131">
        <v>2</v>
      </c>
      <c r="C296" s="132" t="s">
        <v>151</v>
      </c>
      <c r="D296" s="131" t="s">
        <v>126</v>
      </c>
      <c r="E296" s="133">
        <v>4</v>
      </c>
      <c r="F296" s="134">
        <f>Materiales!$D$29</f>
        <v>1526</v>
      </c>
      <c r="G296" s="134">
        <f>F296*E296</f>
        <v>6104</v>
      </c>
    </row>
    <row r="297" spans="2:8" x14ac:dyDescent="0.25">
      <c r="B297" s="131">
        <v>3</v>
      </c>
      <c r="C297" s="132" t="s">
        <v>152</v>
      </c>
      <c r="D297" s="131" t="s">
        <v>126</v>
      </c>
      <c r="E297" s="133">
        <v>0.2</v>
      </c>
      <c r="F297" s="134">
        <f>Materiales!$D$30</f>
        <v>5372</v>
      </c>
      <c r="G297" s="134">
        <f>F297*E297</f>
        <v>1074.4000000000001</v>
      </c>
    </row>
    <row r="298" spans="2:8" x14ac:dyDescent="0.25">
      <c r="B298" s="131">
        <v>4</v>
      </c>
      <c r="C298" s="132" t="s">
        <v>173</v>
      </c>
      <c r="D298" s="131" t="s">
        <v>174</v>
      </c>
      <c r="E298" s="133">
        <v>0.1</v>
      </c>
      <c r="F298" s="134">
        <v>10000</v>
      </c>
      <c r="G298" s="134">
        <f>F298*E298</f>
        <v>1000</v>
      </c>
    </row>
    <row r="299" spans="2:8" x14ac:dyDescent="0.25">
      <c r="B299" s="131">
        <v>5</v>
      </c>
      <c r="C299" s="132" t="s">
        <v>161</v>
      </c>
      <c r="D299" s="131" t="s">
        <v>24</v>
      </c>
      <c r="E299" s="133">
        <v>1</v>
      </c>
      <c r="F299" s="134">
        <f>MO!E38</f>
        <v>24000</v>
      </c>
      <c r="G299" s="134">
        <f>F299*E299</f>
        <v>24000</v>
      </c>
    </row>
    <row r="300" spans="2:8" x14ac:dyDescent="0.25">
      <c r="B300" s="131"/>
      <c r="C300" s="146" t="s">
        <v>61</v>
      </c>
      <c r="D300" s="147"/>
      <c r="E300" s="147"/>
      <c r="F300" s="148"/>
      <c r="G300" s="135">
        <f>SUM(G295:G299)</f>
        <v>88365.774999999994</v>
      </c>
      <c r="H300" t="s">
        <v>24</v>
      </c>
    </row>
    <row r="302" spans="2:8" x14ac:dyDescent="0.25">
      <c r="B302" s="121">
        <f>B292+1</f>
        <v>5</v>
      </c>
      <c r="C302" s="122" t="str">
        <f>MO!C39</f>
        <v>Zócalo cerámico de 10 cm</v>
      </c>
      <c r="D302" s="123"/>
      <c r="E302" s="124"/>
      <c r="F302" s="125"/>
      <c r="G302" s="125"/>
    </row>
    <row r="303" spans="2:8" x14ac:dyDescent="0.25">
      <c r="B303" s="126"/>
      <c r="E303" s="126"/>
      <c r="F303" s="127"/>
      <c r="G303" s="127"/>
    </row>
    <row r="304" spans="2:8" x14ac:dyDescent="0.25">
      <c r="B304" s="128" t="s">
        <v>0</v>
      </c>
      <c r="C304" s="128" t="s">
        <v>158</v>
      </c>
      <c r="D304" s="128" t="s">
        <v>120</v>
      </c>
      <c r="E304" s="128" t="s">
        <v>3</v>
      </c>
      <c r="F304" s="129" t="s">
        <v>159</v>
      </c>
      <c r="G304" s="129" t="s">
        <v>160</v>
      </c>
      <c r="H304" s="130"/>
    </row>
    <row r="305" spans="2:8" x14ac:dyDescent="0.25">
      <c r="B305" s="131">
        <v>1</v>
      </c>
      <c r="C305" s="132" t="s">
        <v>104</v>
      </c>
      <c r="D305" s="131" t="s">
        <v>24</v>
      </c>
      <c r="E305" s="133">
        <f>1.25*0.1</f>
        <v>0.125</v>
      </c>
      <c r="F305" s="134">
        <f>Materiales!$D$28</f>
        <v>44949.9</v>
      </c>
      <c r="G305" s="134">
        <f>F305*E305</f>
        <v>5618.7375000000002</v>
      </c>
    </row>
    <row r="306" spans="2:8" x14ac:dyDescent="0.25">
      <c r="B306" s="131">
        <v>2</v>
      </c>
      <c r="C306" s="132" t="s">
        <v>151</v>
      </c>
      <c r="D306" s="131" t="s">
        <v>126</v>
      </c>
      <c r="E306" s="133">
        <f>4*0.1</f>
        <v>0.4</v>
      </c>
      <c r="F306" s="134">
        <f>Materiales!$D$29</f>
        <v>1526</v>
      </c>
      <c r="G306" s="134">
        <f>F306*E306</f>
        <v>610.4</v>
      </c>
    </row>
    <row r="307" spans="2:8" x14ac:dyDescent="0.25">
      <c r="B307" s="131">
        <v>3</v>
      </c>
      <c r="C307" s="132" t="s">
        <v>152</v>
      </c>
      <c r="D307" s="131" t="s">
        <v>126</v>
      </c>
      <c r="E307" s="133">
        <f>0.2*0.1</f>
        <v>2.0000000000000004E-2</v>
      </c>
      <c r="F307" s="134">
        <f>Materiales!$D$30</f>
        <v>5372</v>
      </c>
      <c r="G307" s="134">
        <f>F307*E307</f>
        <v>107.44000000000003</v>
      </c>
    </row>
    <row r="308" spans="2:8" x14ac:dyDescent="0.25">
      <c r="B308" s="131">
        <v>4</v>
      </c>
      <c r="C308" s="132" t="s">
        <v>173</v>
      </c>
      <c r="D308" s="131" t="s">
        <v>174</v>
      </c>
      <c r="E308" s="133">
        <f>0.1*0.1</f>
        <v>1.0000000000000002E-2</v>
      </c>
      <c r="F308" s="134">
        <v>10000</v>
      </c>
      <c r="G308" s="134">
        <f>F308*E308</f>
        <v>100.00000000000001</v>
      </c>
    </row>
    <row r="309" spans="2:8" x14ac:dyDescent="0.25">
      <c r="B309" s="131">
        <v>5</v>
      </c>
      <c r="C309" s="132" t="s">
        <v>161</v>
      </c>
      <c r="D309" s="131" t="s">
        <v>23</v>
      </c>
      <c r="E309" s="133">
        <v>1</v>
      </c>
      <c r="F309" s="134">
        <f>MO!E39</f>
        <v>12000</v>
      </c>
      <c r="G309" s="134">
        <f>F309*E309</f>
        <v>12000</v>
      </c>
    </row>
    <row r="310" spans="2:8" x14ac:dyDescent="0.25">
      <c r="B310" s="131"/>
      <c r="C310" s="146" t="s">
        <v>61</v>
      </c>
      <c r="D310" s="147"/>
      <c r="E310" s="147"/>
      <c r="F310" s="148"/>
      <c r="G310" s="135">
        <f>SUM(G305:G309)</f>
        <v>18436.577499999999</v>
      </c>
      <c r="H310" t="s">
        <v>23</v>
      </c>
    </row>
    <row r="312" spans="2:8" x14ac:dyDescent="0.25">
      <c r="B312" s="121">
        <f>B302+1</f>
        <v>6</v>
      </c>
      <c r="C312" s="122" t="str">
        <f>MO!C40</f>
        <v>Azulejado cerámico en SSHH</v>
      </c>
      <c r="D312" s="123"/>
      <c r="E312" s="124"/>
      <c r="F312" s="125"/>
      <c r="G312" s="125"/>
    </row>
    <row r="313" spans="2:8" x14ac:dyDescent="0.25">
      <c r="B313" s="126"/>
      <c r="E313" s="126"/>
      <c r="F313" s="127"/>
      <c r="G313" s="127"/>
    </row>
    <row r="314" spans="2:8" x14ac:dyDescent="0.25">
      <c r="B314" s="128" t="s">
        <v>0</v>
      </c>
      <c r="C314" s="128" t="s">
        <v>158</v>
      </c>
      <c r="D314" s="128" t="s">
        <v>120</v>
      </c>
      <c r="E314" s="128" t="s">
        <v>3</v>
      </c>
      <c r="F314" s="129" t="s">
        <v>159</v>
      </c>
      <c r="G314" s="129" t="s">
        <v>160</v>
      </c>
      <c r="H314" s="130"/>
    </row>
    <row r="315" spans="2:8" x14ac:dyDescent="0.25">
      <c r="B315" s="131">
        <v>1</v>
      </c>
      <c r="C315" s="132" t="s">
        <v>104</v>
      </c>
      <c r="D315" s="131" t="s">
        <v>24</v>
      </c>
      <c r="E315" s="133">
        <v>1.25</v>
      </c>
      <c r="F315" s="134">
        <f>Materiales!$D$28</f>
        <v>44949.9</v>
      </c>
      <c r="G315" s="134">
        <f>F315*E315</f>
        <v>56187.375</v>
      </c>
    </row>
    <row r="316" spans="2:8" x14ac:dyDescent="0.25">
      <c r="B316" s="131">
        <v>2</v>
      </c>
      <c r="C316" s="132" t="s">
        <v>151</v>
      </c>
      <c r="D316" s="131" t="s">
        <v>126</v>
      </c>
      <c r="E316" s="133">
        <v>4</v>
      </c>
      <c r="F316" s="134">
        <f>Materiales!$D$29</f>
        <v>1526</v>
      </c>
      <c r="G316" s="134">
        <f>F316*E316</f>
        <v>6104</v>
      </c>
    </row>
    <row r="317" spans="2:8" x14ac:dyDescent="0.25">
      <c r="B317" s="131">
        <v>3</v>
      </c>
      <c r="C317" s="132" t="s">
        <v>152</v>
      </c>
      <c r="D317" s="131" t="s">
        <v>126</v>
      </c>
      <c r="E317" s="133">
        <v>0.2</v>
      </c>
      <c r="F317" s="134">
        <f>Materiales!$D$30</f>
        <v>5372</v>
      </c>
      <c r="G317" s="134">
        <f>F317*E317</f>
        <v>1074.4000000000001</v>
      </c>
    </row>
    <row r="318" spans="2:8" x14ac:dyDescent="0.25">
      <c r="B318" s="131">
        <v>4</v>
      </c>
      <c r="C318" s="132" t="s">
        <v>173</v>
      </c>
      <c r="D318" s="131" t="s">
        <v>174</v>
      </c>
      <c r="E318" s="133">
        <v>0.1</v>
      </c>
      <c r="F318" s="134">
        <v>10000</v>
      </c>
      <c r="G318" s="134">
        <f>F318*E318</f>
        <v>1000</v>
      </c>
    </row>
    <row r="319" spans="2:8" x14ac:dyDescent="0.25">
      <c r="B319" s="131">
        <v>5</v>
      </c>
      <c r="C319" s="132" t="s">
        <v>161</v>
      </c>
      <c r="D319" s="131" t="s">
        <v>24</v>
      </c>
      <c r="E319" s="133">
        <v>1</v>
      </c>
      <c r="F319" s="134">
        <f>MO!E40</f>
        <v>25000</v>
      </c>
      <c r="G319" s="134">
        <f>F319*E319</f>
        <v>25000</v>
      </c>
    </row>
    <row r="320" spans="2:8" x14ac:dyDescent="0.25">
      <c r="B320" s="131"/>
      <c r="C320" s="146" t="s">
        <v>61</v>
      </c>
      <c r="D320" s="147"/>
      <c r="E320" s="147"/>
      <c r="F320" s="148"/>
      <c r="G320" s="135">
        <f>SUM(G315:G319)</f>
        <v>89365.774999999994</v>
      </c>
      <c r="H320" t="s">
        <v>24</v>
      </c>
    </row>
    <row r="322" spans="2:8" x14ac:dyDescent="0.25">
      <c r="B322" s="121">
        <f>B312+1</f>
        <v>7</v>
      </c>
      <c r="C322" s="122" t="str">
        <f>MO!C41</f>
        <v xml:space="preserve">Piso de HºAº con barrera de vapor para camineros exterior (Incluye escalones) </v>
      </c>
      <c r="D322" s="123"/>
      <c r="E322" s="124"/>
      <c r="F322" s="125"/>
      <c r="G322" s="125"/>
    </row>
    <row r="323" spans="2:8" x14ac:dyDescent="0.25">
      <c r="B323" s="126"/>
      <c r="E323" s="126"/>
      <c r="F323" s="127"/>
      <c r="G323" s="127"/>
    </row>
    <row r="324" spans="2:8" x14ac:dyDescent="0.25">
      <c r="B324" s="128" t="s">
        <v>0</v>
      </c>
      <c r="C324" s="128" t="s">
        <v>158</v>
      </c>
      <c r="D324" s="128" t="s">
        <v>120</v>
      </c>
      <c r="E324" s="128" t="s">
        <v>3</v>
      </c>
      <c r="F324" s="129" t="s">
        <v>159</v>
      </c>
      <c r="G324" s="129" t="s">
        <v>160</v>
      </c>
      <c r="H324" s="130"/>
    </row>
    <row r="325" spans="2:8" x14ac:dyDescent="0.25">
      <c r="B325" s="131">
        <v>1</v>
      </c>
      <c r="C325" s="132" t="s">
        <v>148</v>
      </c>
      <c r="D325" s="131" t="s">
        <v>31</v>
      </c>
      <c r="E325" s="133">
        <f>1*0.1*1.05</f>
        <v>0.10500000000000001</v>
      </c>
      <c r="F325" s="134">
        <f>Materiales!$D$25</f>
        <v>790000</v>
      </c>
      <c r="G325" s="134">
        <f t="shared" ref="G325:G330" si="2">F325*E325</f>
        <v>82950.000000000015</v>
      </c>
    </row>
    <row r="326" spans="2:8" x14ac:dyDescent="0.25">
      <c r="B326" s="131">
        <v>2</v>
      </c>
      <c r="C326" s="132" t="s">
        <v>140</v>
      </c>
      <c r="D326" s="131" t="s">
        <v>126</v>
      </c>
      <c r="E326" s="133">
        <f>8</f>
        <v>8</v>
      </c>
      <c r="F326" s="134">
        <f>Materiales!$D$17</f>
        <v>4985.1499999999996</v>
      </c>
      <c r="G326" s="134">
        <f t="shared" si="2"/>
        <v>39881.199999999997</v>
      </c>
    </row>
    <row r="327" spans="2:8" x14ac:dyDescent="0.25">
      <c r="B327" s="131">
        <v>3</v>
      </c>
      <c r="C327" s="132" t="s">
        <v>162</v>
      </c>
      <c r="D327" s="131" t="s">
        <v>126</v>
      </c>
      <c r="E327" s="133">
        <f>0.5*E325</f>
        <v>5.2500000000000005E-2</v>
      </c>
      <c r="F327" s="134">
        <f>(Materiales!$D$18+Materiales!$D$19)</f>
        <v>18000</v>
      </c>
      <c r="G327" s="134">
        <f t="shared" si="2"/>
        <v>945.00000000000011</v>
      </c>
    </row>
    <row r="328" spans="2:8" x14ac:dyDescent="0.25">
      <c r="B328" s="131">
        <v>4</v>
      </c>
      <c r="C328" s="132" t="s">
        <v>129</v>
      </c>
      <c r="D328" s="131" t="s">
        <v>130</v>
      </c>
      <c r="E328" s="133">
        <f>1.4*0.05</f>
        <v>6.9999999999999993E-2</v>
      </c>
      <c r="F328" s="134">
        <f>Materiales!$D$8</f>
        <v>95000</v>
      </c>
      <c r="G328" s="134">
        <f t="shared" si="2"/>
        <v>6649.9999999999991</v>
      </c>
    </row>
    <row r="329" spans="2:8" x14ac:dyDescent="0.25">
      <c r="B329" s="131">
        <v>5</v>
      </c>
      <c r="C329" s="132" t="s">
        <v>171</v>
      </c>
      <c r="D329" s="131" t="s">
        <v>24</v>
      </c>
      <c r="E329" s="133">
        <v>1.1000000000000001</v>
      </c>
      <c r="F329" s="134">
        <f>Materiales!$D$33</f>
        <v>1700</v>
      </c>
      <c r="G329" s="134">
        <f t="shared" si="2"/>
        <v>1870.0000000000002</v>
      </c>
    </row>
    <row r="330" spans="2:8" x14ac:dyDescent="0.25">
      <c r="B330" s="131">
        <v>6</v>
      </c>
      <c r="C330" s="132" t="s">
        <v>161</v>
      </c>
      <c r="D330" s="131" t="s">
        <v>24</v>
      </c>
      <c r="E330" s="133">
        <v>1</v>
      </c>
      <c r="F330" s="134">
        <f>MO!E41</f>
        <v>35000</v>
      </c>
      <c r="G330" s="134">
        <f t="shared" si="2"/>
        <v>35000</v>
      </c>
    </row>
    <row r="331" spans="2:8" x14ac:dyDescent="0.25">
      <c r="B331" s="131"/>
      <c r="C331" s="146" t="s">
        <v>61</v>
      </c>
      <c r="D331" s="147"/>
      <c r="E331" s="147"/>
      <c r="F331" s="148"/>
      <c r="G331" s="135">
        <f>SUM(G325:G330)</f>
        <v>167296.20000000001</v>
      </c>
      <c r="H331" t="s">
        <v>24</v>
      </c>
    </row>
    <row r="333" spans="2:8" x14ac:dyDescent="0.25">
      <c r="B333" s="121">
        <f>B322+1</f>
        <v>8</v>
      </c>
      <c r="C333" s="122" t="str">
        <f>MO!C42</f>
        <v>Vereda de granito reconstituido antideslizante</v>
      </c>
      <c r="D333" s="123"/>
      <c r="E333" s="124"/>
      <c r="F333" s="125"/>
      <c r="G333" s="125"/>
    </row>
    <row r="334" spans="2:8" x14ac:dyDescent="0.25">
      <c r="B334" s="126"/>
      <c r="E334" s="126"/>
      <c r="F334" s="127"/>
      <c r="G334" s="127"/>
    </row>
    <row r="335" spans="2:8" x14ac:dyDescent="0.25">
      <c r="B335" s="128" t="s">
        <v>0</v>
      </c>
      <c r="C335" s="128" t="s">
        <v>158</v>
      </c>
      <c r="D335" s="128" t="s">
        <v>120</v>
      </c>
      <c r="E335" s="128" t="s">
        <v>3</v>
      </c>
      <c r="F335" s="129" t="s">
        <v>159</v>
      </c>
      <c r="G335" s="129" t="s">
        <v>160</v>
      </c>
      <c r="H335" s="130"/>
    </row>
    <row r="336" spans="2:8" x14ac:dyDescent="0.25">
      <c r="B336" s="131">
        <v>1</v>
      </c>
      <c r="C336" s="132" t="s">
        <v>176</v>
      </c>
      <c r="D336" s="131" t="s">
        <v>24</v>
      </c>
      <c r="E336" s="133">
        <v>1.25</v>
      </c>
      <c r="F336" s="134">
        <f>Materiales!$D$35</f>
        <v>60500.000000000007</v>
      </c>
      <c r="G336" s="134">
        <f t="shared" ref="G336:G341" si="3">F336*E336</f>
        <v>75625.000000000015</v>
      </c>
    </row>
    <row r="337" spans="2:8" x14ac:dyDescent="0.25">
      <c r="B337" s="131">
        <v>2</v>
      </c>
      <c r="C337" s="132" t="s">
        <v>164</v>
      </c>
      <c r="D337" s="131" t="s">
        <v>126</v>
      </c>
      <c r="E337" s="133">
        <v>7</v>
      </c>
      <c r="F337" s="134">
        <f>Materiales!$D$4</f>
        <v>880</v>
      </c>
      <c r="G337" s="134">
        <f t="shared" si="3"/>
        <v>6160</v>
      </c>
    </row>
    <row r="338" spans="2:8" x14ac:dyDescent="0.25">
      <c r="B338" s="131">
        <v>3</v>
      </c>
      <c r="C338" s="132" t="s">
        <v>125</v>
      </c>
      <c r="D338" s="131" t="s">
        <v>126</v>
      </c>
      <c r="E338" s="133">
        <v>4.5</v>
      </c>
      <c r="F338" s="134">
        <f>Materiales!$D$6</f>
        <v>840</v>
      </c>
      <c r="G338" s="134">
        <f t="shared" si="3"/>
        <v>3780</v>
      </c>
    </row>
    <row r="339" spans="2:8" x14ac:dyDescent="0.25">
      <c r="B339" s="131">
        <v>4</v>
      </c>
      <c r="C339" s="132" t="s">
        <v>165</v>
      </c>
      <c r="D339" s="131" t="s">
        <v>31</v>
      </c>
      <c r="E339" s="133">
        <v>0.03</v>
      </c>
      <c r="F339" s="134">
        <f>Materiales!$D$5</f>
        <v>47000</v>
      </c>
      <c r="G339" s="134">
        <f t="shared" si="3"/>
        <v>1410</v>
      </c>
    </row>
    <row r="340" spans="2:8" x14ac:dyDescent="0.25">
      <c r="B340" s="131">
        <v>5</v>
      </c>
      <c r="C340" s="132" t="s">
        <v>175</v>
      </c>
      <c r="D340" s="131" t="s">
        <v>24</v>
      </c>
      <c r="E340" s="133">
        <v>1</v>
      </c>
      <c r="F340" s="134">
        <v>7000</v>
      </c>
      <c r="G340" s="134">
        <f t="shared" si="3"/>
        <v>7000</v>
      </c>
    </row>
    <row r="341" spans="2:8" x14ac:dyDescent="0.25">
      <c r="B341" s="131">
        <v>6</v>
      </c>
      <c r="C341" s="132" t="s">
        <v>161</v>
      </c>
      <c r="D341" s="131" t="s">
        <v>24</v>
      </c>
      <c r="E341" s="133">
        <v>1</v>
      </c>
      <c r="F341" s="134">
        <f>MO!E42</f>
        <v>24000</v>
      </c>
      <c r="G341" s="134">
        <f t="shared" si="3"/>
        <v>24000</v>
      </c>
    </row>
    <row r="342" spans="2:8" x14ac:dyDescent="0.25">
      <c r="B342" s="131"/>
      <c r="C342" s="146" t="s">
        <v>61</v>
      </c>
      <c r="D342" s="147"/>
      <c r="E342" s="147"/>
      <c r="F342" s="148"/>
      <c r="G342" s="135">
        <f>SUM(G336:G341)</f>
        <v>117975.00000000001</v>
      </c>
      <c r="H342" t="s">
        <v>24</v>
      </c>
    </row>
    <row r="344" spans="2:8" x14ac:dyDescent="0.25">
      <c r="B344" s="121">
        <f>B333+1</f>
        <v>9</v>
      </c>
      <c r="C344" s="122" t="str">
        <f>MO!C43</f>
        <v>Empedrado</v>
      </c>
      <c r="D344" s="123"/>
      <c r="E344" s="124"/>
      <c r="F344" s="125"/>
      <c r="G344" s="125"/>
    </row>
    <row r="345" spans="2:8" x14ac:dyDescent="0.25">
      <c r="B345" s="126"/>
      <c r="E345" s="126"/>
      <c r="F345" s="127"/>
      <c r="G345" s="127"/>
    </row>
    <row r="346" spans="2:8" x14ac:dyDescent="0.25">
      <c r="B346" s="128" t="s">
        <v>0</v>
      </c>
      <c r="C346" s="128" t="s">
        <v>158</v>
      </c>
      <c r="D346" s="128" t="s">
        <v>120</v>
      </c>
      <c r="E346" s="128" t="s">
        <v>3</v>
      </c>
      <c r="F346" s="129" t="s">
        <v>159</v>
      </c>
      <c r="G346" s="129" t="s">
        <v>160</v>
      </c>
      <c r="H346" s="130"/>
    </row>
    <row r="347" spans="2:8" x14ac:dyDescent="0.25">
      <c r="B347" s="131">
        <v>1</v>
      </c>
      <c r="C347" s="132" t="s">
        <v>177</v>
      </c>
      <c r="D347" s="131" t="s">
        <v>31</v>
      </c>
      <c r="E347" s="133">
        <v>0.2</v>
      </c>
      <c r="F347" s="134">
        <f>Materiales!$D$14</f>
        <v>75000</v>
      </c>
      <c r="G347" s="134">
        <f>F347*E347</f>
        <v>15000</v>
      </c>
    </row>
    <row r="348" spans="2:8" x14ac:dyDescent="0.25">
      <c r="B348" s="131">
        <v>2</v>
      </c>
      <c r="C348" s="132" t="s">
        <v>178</v>
      </c>
      <c r="D348" s="131" t="s">
        <v>130</v>
      </c>
      <c r="E348" s="133">
        <v>7.0000000000000007E-2</v>
      </c>
      <c r="F348" s="134">
        <f>Materiales!$D$36</f>
        <v>75000</v>
      </c>
      <c r="G348" s="134">
        <f>F348*E348</f>
        <v>5250.0000000000009</v>
      </c>
    </row>
    <row r="349" spans="2:8" x14ac:dyDescent="0.25">
      <c r="B349" s="131">
        <v>3</v>
      </c>
      <c r="C349" s="132" t="s">
        <v>165</v>
      </c>
      <c r="D349" s="131" t="s">
        <v>31</v>
      </c>
      <c r="E349" s="133">
        <v>0.15</v>
      </c>
      <c r="F349" s="134">
        <f>Materiales!$D$5</f>
        <v>47000</v>
      </c>
      <c r="G349" s="134">
        <f>F349*E349</f>
        <v>7050</v>
      </c>
    </row>
    <row r="350" spans="2:8" x14ac:dyDescent="0.25">
      <c r="B350" s="131">
        <v>4</v>
      </c>
      <c r="C350" s="132" t="s">
        <v>161</v>
      </c>
      <c r="D350" s="131" t="s">
        <v>24</v>
      </c>
      <c r="E350" s="133">
        <v>1</v>
      </c>
      <c r="F350" s="134">
        <f>MO!E43</f>
        <v>25000</v>
      </c>
      <c r="G350" s="134">
        <f>F350*E350</f>
        <v>25000</v>
      </c>
    </row>
    <row r="351" spans="2:8" x14ac:dyDescent="0.25">
      <c r="B351" s="131"/>
      <c r="C351" s="146" t="s">
        <v>61</v>
      </c>
      <c r="D351" s="147"/>
      <c r="E351" s="147"/>
      <c r="F351" s="148"/>
      <c r="G351" s="135">
        <f>SUM(G347:G350)</f>
        <v>52300</v>
      </c>
      <c r="H351" t="s">
        <v>24</v>
      </c>
    </row>
  </sheetData>
  <mergeCells count="40">
    <mergeCell ref="B258:G258"/>
    <mergeCell ref="C269:F269"/>
    <mergeCell ref="C280:F280"/>
    <mergeCell ref="C290:F290"/>
    <mergeCell ref="B221:G221"/>
    <mergeCell ref="C231:F231"/>
    <mergeCell ref="C241:F241"/>
    <mergeCell ref="C248:F248"/>
    <mergeCell ref="C256:F256"/>
    <mergeCell ref="C181:F181"/>
    <mergeCell ref="C190:F190"/>
    <mergeCell ref="C200:F200"/>
    <mergeCell ref="C210:F210"/>
    <mergeCell ref="C219:F219"/>
    <mergeCell ref="C132:F132"/>
    <mergeCell ref="C142:F142"/>
    <mergeCell ref="C152:F152"/>
    <mergeCell ref="C171:F171"/>
    <mergeCell ref="C93:F93"/>
    <mergeCell ref="C102:F102"/>
    <mergeCell ref="C111:F111"/>
    <mergeCell ref="C120:F120"/>
    <mergeCell ref="B122:G122"/>
    <mergeCell ref="C162:F162"/>
    <mergeCell ref="C48:F48"/>
    <mergeCell ref="C57:F57"/>
    <mergeCell ref="C66:F66"/>
    <mergeCell ref="C75:F75"/>
    <mergeCell ref="C84:F84"/>
    <mergeCell ref="B2:G2"/>
    <mergeCell ref="C11:F11"/>
    <mergeCell ref="C20:F20"/>
    <mergeCell ref="C29:F29"/>
    <mergeCell ref="C38:F38"/>
    <mergeCell ref="C351:F351"/>
    <mergeCell ref="C300:F300"/>
    <mergeCell ref="C310:F310"/>
    <mergeCell ref="C320:F320"/>
    <mergeCell ref="C331:F331"/>
    <mergeCell ref="C342:F3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3</vt:i4>
      </vt:variant>
    </vt:vector>
  </HeadingPairs>
  <TitlesOfParts>
    <vt:vector size="8" baseType="lpstr">
      <vt:lpstr>OFERTA</vt:lpstr>
      <vt:lpstr>Costo</vt:lpstr>
      <vt:lpstr>Materiales</vt:lpstr>
      <vt:lpstr>MO</vt:lpstr>
      <vt:lpstr>Rubros</vt:lpstr>
      <vt:lpstr>Costo!Área_de_impresión</vt:lpstr>
      <vt:lpstr>MO!Área_de_impresión</vt:lpstr>
      <vt:lpstr>OFERTA!Área_de_impresión</vt:lpstr>
    </vt:vector>
  </TitlesOfParts>
  <Company>Pre_instaled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2016-03-01T11:45:01Z</cp:lastPrinted>
  <dcterms:created xsi:type="dcterms:W3CDTF">2013-01-07T12:39:20Z</dcterms:created>
  <dcterms:modified xsi:type="dcterms:W3CDTF">2017-04-10T12:03:27Z</dcterms:modified>
</cp:coreProperties>
</file>