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guelphca-my.sharepoint.com/personal/aolivo_uoguelph_ca/Documents/0_all_files_postdoc/1_projects/1_modeling_div_conv/1_modeling/r_analysis/data/measured_crop/"/>
    </mc:Choice>
  </mc:AlternateContent>
  <xr:revisionPtr revIDLastSave="400" documentId="8_{E786BD3C-164E-4648-8E8C-88096A2ABFF8}" xr6:coauthVersionLast="47" xr6:coauthVersionMax="47" xr10:uidLastSave="{6EB75087-6726-4047-9C07-03D337B7F092}"/>
  <bookViews>
    <workbookView xWindow="28680" yWindow="-120" windowWidth="29040" windowHeight="15720" xr2:uid="{28E8ABF2-1F91-4B35-BD5E-AD8FC7AD1FEB}"/>
  </bookViews>
  <sheets>
    <sheet name="obs_yield_main" sheetId="3" r:id="rId1"/>
    <sheet name="obs_yield_c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3" l="1"/>
  <c r="T6" i="3"/>
  <c r="T7" i="3"/>
  <c r="T9" i="3"/>
  <c r="T8" i="3"/>
  <c r="P10" i="3"/>
  <c r="S29" i="3" l="1"/>
  <c r="S28" i="3"/>
  <c r="S2" i="3"/>
  <c r="F2" i="2"/>
  <c r="G2" i="2"/>
  <c r="H2" i="2"/>
  <c r="I2" i="2"/>
  <c r="J2" i="2"/>
  <c r="K2" i="2"/>
  <c r="L2" i="2"/>
  <c r="F3" i="2"/>
  <c r="G3" i="2"/>
  <c r="H3" i="2"/>
  <c r="I3" i="2"/>
  <c r="J3" i="2"/>
  <c r="K3" i="2"/>
  <c r="L3" i="2"/>
  <c r="F4" i="2"/>
  <c r="G4" i="2"/>
  <c r="H4" i="2"/>
  <c r="I4" i="2"/>
  <c r="J4" i="2"/>
  <c r="K4" i="2"/>
  <c r="L4" i="2"/>
  <c r="F5" i="2"/>
  <c r="G5" i="2"/>
  <c r="H5" i="2"/>
  <c r="I5" i="2"/>
  <c r="J5" i="2"/>
  <c r="K5" i="2"/>
  <c r="L5" i="2"/>
  <c r="F6" i="2"/>
  <c r="G6" i="2"/>
  <c r="H6" i="2"/>
  <c r="I6" i="2"/>
  <c r="J6" i="2"/>
  <c r="K6" i="2"/>
  <c r="L6" i="2"/>
  <c r="F7" i="2"/>
  <c r="G7" i="2"/>
  <c r="H7" i="2"/>
  <c r="I7" i="2"/>
  <c r="J7" i="2"/>
  <c r="K7" i="2"/>
  <c r="L7" i="2"/>
  <c r="F8" i="2"/>
  <c r="G8" i="2"/>
  <c r="H8" i="2"/>
  <c r="I8" i="2"/>
  <c r="J8" i="2"/>
  <c r="K8" i="2"/>
  <c r="L8" i="2"/>
  <c r="F9" i="2"/>
  <c r="G9" i="2"/>
  <c r="H9" i="2"/>
  <c r="I9" i="2"/>
  <c r="J9" i="2"/>
  <c r="K9" i="2"/>
  <c r="L9" i="2"/>
  <c r="F10" i="2"/>
  <c r="G10" i="2"/>
  <c r="H10" i="2"/>
  <c r="I10" i="2"/>
  <c r="J10" i="2"/>
  <c r="K10" i="2"/>
  <c r="L10" i="2"/>
  <c r="F11" i="2"/>
  <c r="G11" i="2"/>
  <c r="H11" i="2"/>
  <c r="I11" i="2"/>
  <c r="J11" i="2"/>
  <c r="K11" i="2"/>
  <c r="L11" i="2"/>
  <c r="F12" i="2"/>
  <c r="G12" i="2"/>
  <c r="H12" i="2"/>
  <c r="I12" i="2"/>
  <c r="J12" i="2"/>
  <c r="K12" i="2"/>
  <c r="L12" i="2"/>
  <c r="F13" i="2"/>
  <c r="G13" i="2"/>
  <c r="H13" i="2"/>
  <c r="I13" i="2"/>
  <c r="J13" i="2"/>
  <c r="K13" i="2"/>
  <c r="L13" i="2"/>
  <c r="F14" i="2"/>
  <c r="G14" i="2"/>
  <c r="H14" i="2"/>
  <c r="I14" i="2"/>
  <c r="J14" i="2"/>
  <c r="K14" i="2"/>
  <c r="L14" i="2"/>
  <c r="F15" i="2"/>
  <c r="G15" i="2"/>
  <c r="H15" i="2"/>
  <c r="I15" i="2"/>
  <c r="J15" i="2"/>
  <c r="K15" i="2"/>
  <c r="L15" i="2"/>
  <c r="F16" i="2"/>
  <c r="G16" i="2"/>
  <c r="H16" i="2"/>
  <c r="I16" i="2"/>
  <c r="J16" i="2"/>
  <c r="K16" i="2"/>
  <c r="L16" i="2"/>
  <c r="F17" i="2"/>
  <c r="G17" i="2"/>
  <c r="H17" i="2"/>
  <c r="I17" i="2"/>
  <c r="J17" i="2"/>
  <c r="K17" i="2"/>
  <c r="L17" i="2"/>
  <c r="F18" i="2"/>
  <c r="G18" i="2"/>
  <c r="H18" i="2"/>
  <c r="I18" i="2"/>
  <c r="J18" i="2"/>
  <c r="K18" i="2"/>
  <c r="L18" i="2"/>
  <c r="F19" i="2"/>
  <c r="G19" i="2"/>
  <c r="H19" i="2"/>
  <c r="I19" i="2"/>
  <c r="J19" i="2"/>
  <c r="K19" i="2"/>
  <c r="L19" i="2"/>
  <c r="F20" i="2"/>
  <c r="G20" i="2"/>
  <c r="H20" i="2"/>
  <c r="I20" i="2"/>
  <c r="J20" i="2"/>
  <c r="K20" i="2"/>
  <c r="L20" i="2"/>
  <c r="F21" i="2"/>
  <c r="G21" i="2"/>
  <c r="H21" i="2"/>
  <c r="I21" i="2"/>
  <c r="J21" i="2"/>
  <c r="K21" i="2"/>
  <c r="L21" i="2"/>
  <c r="F22" i="2"/>
  <c r="G22" i="2"/>
  <c r="H22" i="2"/>
  <c r="I22" i="2"/>
  <c r="J22" i="2"/>
  <c r="K22" i="2"/>
  <c r="L22" i="2"/>
  <c r="F23" i="2"/>
  <c r="G23" i="2"/>
  <c r="H23" i="2"/>
  <c r="I23" i="2"/>
  <c r="J23" i="2"/>
  <c r="K23" i="2"/>
  <c r="L23" i="2"/>
  <c r="F24" i="2"/>
  <c r="G24" i="2"/>
  <c r="H24" i="2"/>
  <c r="J24" i="2"/>
  <c r="K24" i="2"/>
  <c r="L24" i="2"/>
  <c r="F25" i="2"/>
  <c r="G25" i="2"/>
  <c r="H25" i="2"/>
  <c r="J25" i="2"/>
  <c r="K25" i="2"/>
  <c r="L25" i="2"/>
  <c r="F26" i="2"/>
  <c r="G26" i="2"/>
  <c r="H26" i="2"/>
  <c r="I26" i="2"/>
  <c r="J26" i="2"/>
  <c r="K26" i="2"/>
  <c r="L26" i="2"/>
  <c r="F27" i="2"/>
  <c r="G27" i="2"/>
  <c r="H27" i="2"/>
  <c r="I27" i="2"/>
  <c r="J27" i="2"/>
  <c r="K27" i="2"/>
  <c r="L27" i="2"/>
  <c r="F28" i="2"/>
  <c r="G28" i="2"/>
  <c r="H28" i="2"/>
  <c r="J28" i="2"/>
  <c r="K28" i="2"/>
  <c r="L28" i="2"/>
  <c r="F29" i="2"/>
  <c r="G29" i="2"/>
  <c r="H29" i="2"/>
  <c r="J29" i="2"/>
  <c r="K29" i="2"/>
  <c r="L29" i="2"/>
  <c r="F30" i="2"/>
  <c r="G30" i="2"/>
  <c r="H30" i="2"/>
  <c r="I30" i="2"/>
  <c r="J30" i="2"/>
  <c r="K30" i="2"/>
  <c r="F31" i="2"/>
  <c r="G31" i="2"/>
  <c r="H31" i="2"/>
  <c r="I31" i="2"/>
  <c r="J31" i="2"/>
  <c r="K31" i="2"/>
  <c r="F32" i="2"/>
  <c r="G32" i="2"/>
  <c r="H32" i="2"/>
  <c r="I32" i="2"/>
  <c r="J32" i="2"/>
  <c r="K32" i="2"/>
  <c r="F33" i="2"/>
  <c r="G33" i="2"/>
  <c r="H33" i="2"/>
  <c r="I33" i="2"/>
  <c r="J33" i="2"/>
  <c r="K33" i="2"/>
  <c r="F38" i="2"/>
  <c r="G38" i="2"/>
  <c r="H38" i="2"/>
  <c r="J38" i="2"/>
  <c r="K38" i="2"/>
  <c r="L38" i="2"/>
  <c r="F39" i="2"/>
  <c r="G39" i="2"/>
  <c r="H39" i="2"/>
  <c r="J39" i="2"/>
  <c r="K39" i="2"/>
  <c r="L39" i="2"/>
  <c r="F40" i="2"/>
  <c r="G40" i="2"/>
  <c r="H40" i="2"/>
  <c r="J40" i="2"/>
  <c r="K40" i="2"/>
  <c r="L40" i="2"/>
  <c r="F41" i="2"/>
  <c r="G41" i="2"/>
  <c r="H41" i="2"/>
  <c r="J41" i="2"/>
  <c r="K41" i="2"/>
  <c r="L41" i="2"/>
  <c r="F42" i="2"/>
  <c r="G42" i="2"/>
  <c r="H42" i="2"/>
  <c r="I42" i="2"/>
  <c r="J42" i="2"/>
  <c r="K42" i="2"/>
  <c r="L42" i="2"/>
  <c r="F43" i="2"/>
  <c r="G43" i="2"/>
  <c r="H43" i="2"/>
  <c r="I43" i="2"/>
  <c r="J43" i="2"/>
  <c r="K43" i="2"/>
  <c r="L43" i="2"/>
  <c r="F44" i="2"/>
  <c r="G44" i="2"/>
  <c r="H44" i="2"/>
  <c r="I44" i="2"/>
  <c r="J44" i="2"/>
  <c r="K44" i="2"/>
  <c r="L44" i="2"/>
  <c r="F45" i="2"/>
  <c r="G45" i="2"/>
  <c r="H45" i="2"/>
  <c r="I45" i="2"/>
  <c r="J45" i="2"/>
  <c r="K45" i="2"/>
  <c r="L45" i="2"/>
  <c r="F46" i="2"/>
  <c r="G46" i="2"/>
  <c r="H46" i="2"/>
  <c r="I46" i="2"/>
  <c r="J46" i="2"/>
  <c r="K46" i="2"/>
  <c r="L46" i="2"/>
  <c r="F47" i="2"/>
  <c r="G47" i="2"/>
  <c r="H47" i="2"/>
  <c r="I47" i="2"/>
  <c r="J47" i="2"/>
  <c r="K47" i="2"/>
  <c r="L47" i="2"/>
  <c r="G48" i="2"/>
  <c r="H48" i="2"/>
  <c r="I48" i="2"/>
  <c r="J48" i="2"/>
  <c r="K48" i="2"/>
  <c r="L48" i="2"/>
  <c r="G49" i="2"/>
  <c r="H49" i="2"/>
  <c r="I49" i="2"/>
  <c r="J49" i="2"/>
  <c r="K49" i="2"/>
  <c r="L49" i="2"/>
  <c r="G1" i="2"/>
  <c r="H1" i="2"/>
  <c r="I1" i="2"/>
  <c r="J1" i="2"/>
  <c r="K1" i="2"/>
  <c r="L1" i="2"/>
  <c r="F1" i="2"/>
  <c r="O25" i="3"/>
  <c r="P14" i="3"/>
  <c r="O15" i="3"/>
  <c r="O16" i="3"/>
  <c r="O17" i="3"/>
  <c r="O18" i="3"/>
  <c r="O19" i="3"/>
  <c r="O20" i="3"/>
  <c r="O21" i="3"/>
  <c r="O14" i="3"/>
  <c r="S14" i="3"/>
  <c r="U14" i="3"/>
  <c r="N15" i="3"/>
  <c r="N16" i="3"/>
  <c r="N17" i="3"/>
  <c r="N18" i="3"/>
  <c r="N19" i="3"/>
  <c r="N14" i="3"/>
  <c r="T14" i="3" l="1"/>
  <c r="R2" i="3"/>
  <c r="M33" i="3"/>
  <c r="L33" i="3"/>
  <c r="L33" i="2" s="1"/>
  <c r="M32" i="3"/>
  <c r="L32" i="3"/>
  <c r="L32" i="2" s="1"/>
  <c r="M31" i="3"/>
  <c r="L31" i="3"/>
  <c r="L31" i="2" s="1"/>
  <c r="M30" i="3"/>
  <c r="L30" i="3"/>
  <c r="L30" i="2" s="1"/>
  <c r="P30" i="3" l="1"/>
  <c r="P31" i="3"/>
  <c r="P33" i="3"/>
  <c r="P32" i="3"/>
  <c r="I29" i="3"/>
  <c r="I29" i="2" s="1"/>
  <c r="I28" i="3"/>
  <c r="I28" i="2" s="1"/>
  <c r="I25" i="3"/>
  <c r="I25" i="2" s="1"/>
  <c r="I24" i="3"/>
  <c r="I24" i="2" s="1"/>
  <c r="O29" i="3" l="1"/>
  <c r="O28" i="3"/>
  <c r="N29" i="3"/>
  <c r="N28" i="3"/>
  <c r="O2" i="3"/>
  <c r="N25" i="3"/>
  <c r="O24" i="3"/>
  <c r="N24" i="3"/>
  <c r="P27" i="3"/>
  <c r="P26" i="3"/>
  <c r="S20" i="3"/>
  <c r="S21" i="3"/>
  <c r="S17" i="3"/>
  <c r="S16" i="3"/>
  <c r="S15" i="3"/>
  <c r="S3" i="3"/>
  <c r="S4" i="3"/>
  <c r="S5" i="3"/>
  <c r="F45" i="3"/>
  <c r="F49" i="2" s="1"/>
  <c r="F44" i="3"/>
  <c r="F48" i="2" s="1"/>
  <c r="I37" i="3"/>
  <c r="I41" i="2" s="1"/>
  <c r="I36" i="3"/>
  <c r="I40" i="2" s="1"/>
  <c r="I35" i="3"/>
  <c r="I39" i="2" s="1"/>
  <c r="I34" i="3"/>
  <c r="I38" i="2" s="1"/>
  <c r="P23" i="3" l="1"/>
  <c r="P22" i="3"/>
  <c r="O3" i="3"/>
  <c r="O4" i="3"/>
  <c r="O5" i="3"/>
  <c r="N3" i="3"/>
  <c r="N4" i="3"/>
  <c r="N5" i="3"/>
  <c r="N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Agustin Olivo</author>
  </authors>
  <commentList>
    <comment ref="F1" authorId="0" shapeId="0" xr:uid="{C45A7CB1-0644-499A-A8F8-A35BB34EA746}">
      <text>
        <r>
          <rPr>
            <b/>
            <sz val="9"/>
            <color indexed="81"/>
            <rFont val="Tahoma"/>
            <family val="2"/>
          </rPr>
          <t>Agustin Olivo:</t>
        </r>
        <r>
          <rPr>
            <sz val="9"/>
            <color indexed="81"/>
            <rFont val="Tahoma"/>
            <family val="2"/>
          </rPr>
          <t xml:space="preserve">
This columns contains grain yield (cash crops) and biomass yield (cover crops)</t>
        </r>
      </text>
    </comment>
    <comment ref="G34" authorId="0" shapeId="0" xr:uid="{0DDA648F-62D4-4957-ADB4-FB37E23CDA03}">
      <text>
        <r>
          <rPr>
            <b/>
            <sz val="9"/>
            <color indexed="81"/>
            <rFont val="Tahoma"/>
            <charset val="1"/>
          </rPr>
          <t>Agustin Olivo:</t>
        </r>
        <r>
          <rPr>
            <sz val="9"/>
            <color indexed="81"/>
            <rFont val="Tahoma"/>
            <charset val="1"/>
          </rPr>
          <t xml:space="preserve">
Everything in yellow I am waiting on plant analysis to be completed.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Agustin Olivo</author>
  </authors>
  <commentList>
    <comment ref="A1" authorId="0" shapeId="0" xr:uid="{9AD7ABCB-F541-4903-86FB-F03FB7A9A8FA}">
      <text>
        <r>
          <rPr>
            <b/>
            <sz val="9"/>
            <color indexed="81"/>
            <rFont val="Tahoma"/>
            <charset val="1"/>
          </rPr>
          <t>Agustin Olivo:</t>
        </r>
        <r>
          <rPr>
            <sz val="9"/>
            <color indexed="81"/>
            <rFont val="Tahoma"/>
            <charset val="1"/>
          </rPr>
          <t xml:space="preserve">
This tab contains the same values as the main one, except that they are organized in a slightly different way due to the format I needed to read thins into R.</t>
        </r>
      </text>
    </comment>
  </commentList>
</comments>
</file>

<file path=xl/sharedStrings.xml><?xml version="1.0" encoding="utf-8"?>
<sst xmlns="http://schemas.openxmlformats.org/spreadsheetml/2006/main" count="250" uniqueCount="45">
  <si>
    <t>year</t>
  </si>
  <si>
    <t>rotation</t>
  </si>
  <si>
    <t>plot</t>
  </si>
  <si>
    <t>crop_type</t>
  </si>
  <si>
    <t>grain_t_ha</t>
  </si>
  <si>
    <t>grain_n_kg_ha</t>
  </si>
  <si>
    <t>straw_t_ha</t>
  </si>
  <si>
    <t>straw_c_kg_ha</t>
  </si>
  <si>
    <t>straw_n_kg_ha</t>
  </si>
  <si>
    <t>conv</t>
  </si>
  <si>
    <t>corn</t>
  </si>
  <si>
    <t>div</t>
  </si>
  <si>
    <t>cover crop</t>
  </si>
  <si>
    <t>NA</t>
  </si>
  <si>
    <t>soybean</t>
  </si>
  <si>
    <t>winter wheat</t>
  </si>
  <si>
    <t>crop_order</t>
  </si>
  <si>
    <t>notes</t>
  </si>
  <si>
    <t>biomass_c_kg_ha</t>
  </si>
  <si>
    <t>biomass_n_kg_ha</t>
  </si>
  <si>
    <t>c_n_ratio_grain</t>
  </si>
  <si>
    <t>c_n_ratio_straw</t>
  </si>
  <si>
    <t>c_n_ratio_biomass</t>
  </si>
  <si>
    <t>C:N ration for mix of rye and clover was 11.1 for P3 (0.4037/0.0365) and 9.9 for P4 (0.4003/0.0406)</t>
  </si>
  <si>
    <t>values for soybean yield were updated based on estimations suggested by Claudia and Nirmani (original records + moisture adjustment of 10.5%); I deleted values for other variables as I could not find how to update them (did ot find values for C and N)</t>
  </si>
  <si>
    <t>manual data</t>
  </si>
  <si>
    <t>yield monitor data - elided indicated he did not trust manual soybean data for 2023</t>
  </si>
  <si>
    <t>c_content_grain</t>
  </si>
  <si>
    <t>grain_c_kg_ha_obs</t>
  </si>
  <si>
    <t>the values for corn stover for 2021 (from Nicole's data) look much lower than those from 2018</t>
  </si>
  <si>
    <t>nicole indicated cover crops were not sampled in 2022, likely because there was not much there</t>
  </si>
  <si>
    <t>rye, fall</t>
  </si>
  <si>
    <t>clover, fall</t>
  </si>
  <si>
    <t>rye, spring</t>
  </si>
  <si>
    <t>rye, spring - no cc survied in plot 4 (neither clover nor rye)</t>
  </si>
  <si>
    <t>clover, spring</t>
  </si>
  <si>
    <t>fall, all crop - 4 CC; wheigth values correspond to the entire cover crop; I think C:N ratios correspond to the above ground biomass to all the crop BUT raddish; for raddish, shoot had 36.2% C and 2.1% N (averages), and root had 36.2% C, 1.3% N (average)</t>
  </si>
  <si>
    <t>fall, all crop - 4 CC; wheigth values correspond to the entire crops; I think C:N ratios correspond to the above ground biomass to all the crop BUT raddish; for raddish, shoot had 36.2% C and 2.1% N (averages), and root had 36.2% C, 1.3% N (average)</t>
  </si>
  <si>
    <t>spring, seems like both plots were sampled together here</t>
  </si>
  <si>
    <t>spring seems like both plots were sampled together here</t>
  </si>
  <si>
    <t>fall, rye</t>
  </si>
  <si>
    <t>fall, clover</t>
  </si>
  <si>
    <t>fall, all crop - 4 CC</t>
  </si>
  <si>
    <t>spring, all crop - 4 CC - taken on May 5, 2024</t>
  </si>
  <si>
    <t>srping, all crop - 4 CC; taken on may 5,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</si>
</sst>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0" fillId="33" borderId="0" xfId="0" applyFill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0" borderId="11" xfId="0" applyNumberFormat="1" applyBorder="1"/>
    <xf numFmtId="0" fontId="0" fillId="33" borderId="11" xfId="0" applyFill="1" applyBorder="1"/>
    <xf numFmtId="2" fontId="0" fillId="33" borderId="11" xfId="0" applyNumberFormat="1" applyFill="1" applyBorder="1"/>
    <xf numFmtId="0" fontId="0" fillId="33" borderId="12" xfId="0" applyFill="1" applyBorder="1"/>
    <xf numFmtId="2" fontId="0" fillId="33" borderId="0" xfId="0" applyNumberFormat="1" applyFill="1"/>
    <xf numFmtId="0" fontId="0" fillId="33" borderId="14" xfId="0" applyFill="1" applyBorder="1"/>
    <xf numFmtId="2" fontId="0" fillId="0" borderId="16" xfId="0" applyNumberFormat="1" applyBorder="1"/>
    <xf numFmtId="0" fontId="0" fillId="33" borderId="16" xfId="0" applyFill="1" applyBorder="1"/>
    <xf numFmtId="2" fontId="0" fillId="33" borderId="16" xfId="0" applyNumberFormat="1" applyFill="1" applyBorder="1"/>
    <xf numFmtId="0" fontId="0" fillId="33" borderId="17" xfId="0" applyFill="1" applyBorder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4433-4330-44A0-ADFA-6674CAD71DDA}">
  <dimension ref="A1:U45"/>
  <sheetViews>
    <sheetView tabSelected="1" zoomScale="70" zoomScaleNormal="70" workbookViewId="0">
      <pane ySplit="1" topLeftCell="A19" activePane="bottomLeft" state="frozen"/>
      <selection pane="bottomLeft" activeCell="F44" sqref="A44:F45"/>
    </sheetView>
  </sheetViews>
  <sheetFormatPr defaultRowHeight="14.5" x14ac:dyDescent="0.35"/>
  <cols>
    <col min="5" max="5" width="15.81640625" customWidth="1"/>
    <col min="6" max="6" width="9.90625" customWidth="1"/>
    <col min="7" max="7" width="15.1796875" customWidth="1"/>
    <col min="8" max="8" width="13.36328125" customWidth="1"/>
    <col min="9" max="9" width="13.54296875" customWidth="1"/>
    <col min="10" max="10" width="14.1796875" customWidth="1"/>
    <col min="11" max="11" width="16.26953125" customWidth="1"/>
    <col min="12" max="12" width="16.08984375" customWidth="1"/>
    <col min="13" max="13" width="18.7265625" customWidth="1"/>
    <col min="14" max="14" width="19.453125" customWidth="1"/>
    <col min="15" max="15" width="17.08984375" customWidth="1"/>
    <col min="16" max="16" width="30.453125" customWidth="1"/>
    <col min="17" max="17" width="59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16</v>
      </c>
      <c r="E1" t="s">
        <v>3</v>
      </c>
      <c r="F1" t="s">
        <v>4</v>
      </c>
      <c r="G1" t="s">
        <v>5</v>
      </c>
      <c r="H1" t="s">
        <v>28</v>
      </c>
      <c r="I1" t="s">
        <v>6</v>
      </c>
      <c r="J1" t="s">
        <v>7</v>
      </c>
      <c r="K1" t="s">
        <v>8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s="24" t="s">
        <v>17</v>
      </c>
      <c r="S1" t="s">
        <v>27</v>
      </c>
    </row>
    <row r="2" spans="1:21" x14ac:dyDescent="0.35">
      <c r="A2">
        <v>2018</v>
      </c>
      <c r="B2" t="s">
        <v>9</v>
      </c>
      <c r="C2">
        <v>1</v>
      </c>
      <c r="D2">
        <v>1</v>
      </c>
      <c r="E2" t="s">
        <v>10</v>
      </c>
      <c r="F2">
        <v>10.57</v>
      </c>
      <c r="G2">
        <v>126.66</v>
      </c>
      <c r="H2">
        <v>4450.6099999999997</v>
      </c>
      <c r="I2">
        <v>9.68</v>
      </c>
      <c r="J2">
        <v>4391.1099999999997</v>
      </c>
      <c r="K2">
        <v>71.040000000000006</v>
      </c>
      <c r="N2" s="4">
        <f>H2/G2</f>
        <v>35.13824411811148</v>
      </c>
      <c r="O2" s="4">
        <f>J2/K2</f>
        <v>61.81179617117116</v>
      </c>
      <c r="Q2" s="25"/>
      <c r="R2">
        <f>F2/I2</f>
        <v>1.0919421487603307</v>
      </c>
      <c r="S2" s="4">
        <f>H2/(F2*1000)*100</f>
        <v>42.106054872280033</v>
      </c>
    </row>
    <row r="3" spans="1:21" x14ac:dyDescent="0.35">
      <c r="A3">
        <v>2018</v>
      </c>
      <c r="B3" t="s">
        <v>9</v>
      </c>
      <c r="C3">
        <v>2</v>
      </c>
      <c r="D3">
        <v>1</v>
      </c>
      <c r="E3" t="s">
        <v>10</v>
      </c>
      <c r="F3">
        <v>11.25</v>
      </c>
      <c r="G3">
        <v>145.63999999999999</v>
      </c>
      <c r="H3">
        <v>4738.54</v>
      </c>
      <c r="I3">
        <v>9.83</v>
      </c>
      <c r="J3">
        <v>4435.1499999999996</v>
      </c>
      <c r="K3">
        <v>82.19</v>
      </c>
      <c r="N3" s="4">
        <f t="shared" ref="N3:N5" si="0">H3/G3</f>
        <v>32.535979126613569</v>
      </c>
      <c r="O3" s="4">
        <f t="shared" ref="O3:O5" si="1">J3/K3</f>
        <v>53.962160846818342</v>
      </c>
      <c r="Q3" s="25"/>
      <c r="S3" s="4">
        <f t="shared" ref="S3:S5" si="2">H3/(F3*1000)*100</f>
        <v>42.120355555555555</v>
      </c>
    </row>
    <row r="4" spans="1:21" x14ac:dyDescent="0.35">
      <c r="A4">
        <v>2018</v>
      </c>
      <c r="B4" t="s">
        <v>11</v>
      </c>
      <c r="C4">
        <v>3</v>
      </c>
      <c r="D4">
        <v>1</v>
      </c>
      <c r="E4" t="s">
        <v>10</v>
      </c>
      <c r="F4">
        <v>11.05</v>
      </c>
      <c r="G4">
        <v>133.96</v>
      </c>
      <c r="H4">
        <v>4644.8500000000004</v>
      </c>
      <c r="I4">
        <v>9.73</v>
      </c>
      <c r="J4">
        <v>4431.1000000000004</v>
      </c>
      <c r="K4">
        <v>72.69</v>
      </c>
      <c r="N4" s="4">
        <f t="shared" si="0"/>
        <v>34.673409973126304</v>
      </c>
      <c r="O4" s="4">
        <f t="shared" si="1"/>
        <v>60.958866419039765</v>
      </c>
      <c r="Q4" s="25"/>
      <c r="S4" s="4">
        <f t="shared" si="2"/>
        <v>42.034841628959278</v>
      </c>
    </row>
    <row r="5" spans="1:21" x14ac:dyDescent="0.35">
      <c r="A5">
        <v>2018</v>
      </c>
      <c r="B5" t="s">
        <v>11</v>
      </c>
      <c r="C5">
        <v>4</v>
      </c>
      <c r="D5">
        <v>1</v>
      </c>
      <c r="E5" t="s">
        <v>10</v>
      </c>
      <c r="F5">
        <v>11.56</v>
      </c>
      <c r="G5">
        <v>144.76</v>
      </c>
      <c r="H5">
        <v>4880.62</v>
      </c>
      <c r="I5">
        <v>9.94</v>
      </c>
      <c r="J5">
        <v>4536.51</v>
      </c>
      <c r="K5">
        <v>78.52</v>
      </c>
      <c r="N5" s="4">
        <f t="shared" si="0"/>
        <v>33.715252832274111</v>
      </c>
      <c r="O5" s="4">
        <f t="shared" si="1"/>
        <v>57.775216505348965</v>
      </c>
      <c r="Q5" s="25"/>
      <c r="S5" s="4">
        <f t="shared" si="2"/>
        <v>42.219896193771625</v>
      </c>
    </row>
    <row r="6" spans="1:21" x14ac:dyDescent="0.35">
      <c r="A6">
        <v>2018</v>
      </c>
      <c r="B6" t="s">
        <v>11</v>
      </c>
      <c r="C6">
        <v>3</v>
      </c>
      <c r="D6">
        <v>2</v>
      </c>
      <c r="E6" t="s">
        <v>12</v>
      </c>
      <c r="F6">
        <v>5.7000000000000002E-2</v>
      </c>
      <c r="P6" s="26" t="s">
        <v>23</v>
      </c>
      <c r="Q6" s="25" t="s">
        <v>31</v>
      </c>
      <c r="T6">
        <f t="shared" ref="T6:T7" si="3">F6*1000</f>
        <v>57</v>
      </c>
    </row>
    <row r="7" spans="1:21" x14ac:dyDescent="0.35">
      <c r="A7">
        <v>2018</v>
      </c>
      <c r="B7" t="s">
        <v>11</v>
      </c>
      <c r="C7">
        <v>4</v>
      </c>
      <c r="D7">
        <v>2</v>
      </c>
      <c r="E7" t="s">
        <v>12</v>
      </c>
      <c r="F7">
        <v>6.8000000000000005E-2</v>
      </c>
      <c r="P7" s="26"/>
      <c r="Q7" s="25" t="s">
        <v>31</v>
      </c>
      <c r="T7">
        <f t="shared" si="3"/>
        <v>68</v>
      </c>
    </row>
    <row r="8" spans="1:21" x14ac:dyDescent="0.35">
      <c r="A8">
        <v>2018</v>
      </c>
      <c r="B8" t="s">
        <v>11</v>
      </c>
      <c r="C8">
        <v>3</v>
      </c>
      <c r="D8">
        <v>3</v>
      </c>
      <c r="E8" t="s">
        <v>12</v>
      </c>
      <c r="F8">
        <v>0.11700000000000001</v>
      </c>
      <c r="P8" s="26"/>
      <c r="Q8" s="25" t="s">
        <v>32</v>
      </c>
      <c r="T8">
        <f>F8*1000</f>
        <v>117</v>
      </c>
    </row>
    <row r="9" spans="1:21" x14ac:dyDescent="0.35">
      <c r="A9">
        <v>2018</v>
      </c>
      <c r="B9" t="s">
        <v>11</v>
      </c>
      <c r="C9">
        <v>4</v>
      </c>
      <c r="D9">
        <v>3</v>
      </c>
      <c r="E9" t="s">
        <v>12</v>
      </c>
      <c r="F9">
        <v>0.13500000000000001</v>
      </c>
      <c r="P9" s="26"/>
      <c r="Q9" s="25" t="s">
        <v>32</v>
      </c>
      <c r="T9">
        <f>F9*1000</f>
        <v>135</v>
      </c>
    </row>
    <row r="10" spans="1:21" x14ac:dyDescent="0.35">
      <c r="A10">
        <v>2019</v>
      </c>
      <c r="B10" t="s">
        <v>11</v>
      </c>
      <c r="C10">
        <v>3</v>
      </c>
      <c r="D10">
        <v>1</v>
      </c>
      <c r="E10" t="s">
        <v>12</v>
      </c>
      <c r="F10">
        <v>0.17399999999999999</v>
      </c>
      <c r="L10">
        <v>7.4071799999999993E-2</v>
      </c>
      <c r="M10">
        <v>4.5935999999999998E-3</v>
      </c>
      <c r="P10" s="4">
        <f>L10/M10</f>
        <v>16.125</v>
      </c>
      <c r="Q10" s="25" t="s">
        <v>33</v>
      </c>
      <c r="T10">
        <f>F10*1000</f>
        <v>174</v>
      </c>
    </row>
    <row r="11" spans="1:21" x14ac:dyDescent="0.35">
      <c r="A11">
        <v>2019</v>
      </c>
      <c r="B11" t="s">
        <v>11</v>
      </c>
      <c r="C11">
        <v>4</v>
      </c>
      <c r="D11">
        <v>1</v>
      </c>
      <c r="E11" t="s">
        <v>12</v>
      </c>
      <c r="F11" t="s">
        <v>13</v>
      </c>
      <c r="Q11" s="25" t="s">
        <v>34</v>
      </c>
    </row>
    <row r="12" spans="1:21" x14ac:dyDescent="0.35">
      <c r="A12">
        <v>2019</v>
      </c>
      <c r="B12" t="s">
        <v>11</v>
      </c>
      <c r="C12">
        <v>3</v>
      </c>
      <c r="D12">
        <v>2</v>
      </c>
      <c r="E12" t="s">
        <v>12</v>
      </c>
      <c r="F12" t="s">
        <v>13</v>
      </c>
      <c r="Q12" s="25" t="s">
        <v>35</v>
      </c>
    </row>
    <row r="13" spans="1:21" x14ac:dyDescent="0.35">
      <c r="A13">
        <v>2019</v>
      </c>
      <c r="B13" t="s">
        <v>11</v>
      </c>
      <c r="C13">
        <v>4</v>
      </c>
      <c r="D13">
        <v>2</v>
      </c>
      <c r="E13" t="s">
        <v>12</v>
      </c>
      <c r="F13" t="s">
        <v>13</v>
      </c>
      <c r="Q13" s="25" t="s">
        <v>35</v>
      </c>
    </row>
    <row r="14" spans="1:21" x14ac:dyDescent="0.35">
      <c r="A14">
        <v>2019</v>
      </c>
      <c r="B14" t="s">
        <v>9</v>
      </c>
      <c r="C14">
        <v>1</v>
      </c>
      <c r="D14">
        <v>3</v>
      </c>
      <c r="E14" t="s">
        <v>14</v>
      </c>
      <c r="F14">
        <v>3.94</v>
      </c>
      <c r="G14">
        <v>214.51</v>
      </c>
      <c r="H14">
        <v>1979.23</v>
      </c>
      <c r="I14">
        <v>5.48</v>
      </c>
      <c r="J14">
        <v>2308.5100000000002</v>
      </c>
      <c r="K14">
        <v>37.64</v>
      </c>
      <c r="N14" s="4">
        <f>H14/G14</f>
        <v>9.2267493356953061</v>
      </c>
      <c r="O14" s="4">
        <f>J14/K14</f>
        <v>61.331296493092459</v>
      </c>
      <c r="P14">
        <f>K14/(I14*1000)</f>
        <v>6.8686131386861311E-3</v>
      </c>
      <c r="Q14" s="25"/>
      <c r="S14" s="4">
        <f>H14/(F14*1000)*100</f>
        <v>50.234263959390866</v>
      </c>
      <c r="T14" s="4">
        <f>AVERAGE(O14:O17)</f>
        <v>59.22844943975803</v>
      </c>
      <c r="U14">
        <f>F14/I14</f>
        <v>0.71897810218978098</v>
      </c>
    </row>
    <row r="15" spans="1:21" x14ac:dyDescent="0.35">
      <c r="A15">
        <v>2019</v>
      </c>
      <c r="B15" t="s">
        <v>9</v>
      </c>
      <c r="C15">
        <v>2</v>
      </c>
      <c r="D15">
        <v>3</v>
      </c>
      <c r="E15" t="s">
        <v>14</v>
      </c>
      <c r="F15">
        <v>3.85</v>
      </c>
      <c r="G15">
        <v>214.09</v>
      </c>
      <c r="H15">
        <v>1924.43</v>
      </c>
      <c r="I15">
        <v>6.29</v>
      </c>
      <c r="J15">
        <v>2653.31</v>
      </c>
      <c r="K15">
        <v>43.69</v>
      </c>
      <c r="N15" s="4">
        <f t="shared" ref="N15:N19" si="4">H15/G15</f>
        <v>8.9888831799710402</v>
      </c>
      <c r="O15" s="4">
        <f t="shared" ref="O15:O21" si="5">J15/K15</f>
        <v>60.730373083085375</v>
      </c>
      <c r="Q15" s="25"/>
      <c r="S15" s="4">
        <f t="shared" ref="S15:S17" si="6">H15/(F15*1000)*100</f>
        <v>49.985194805194801</v>
      </c>
    </row>
    <row r="16" spans="1:21" x14ac:dyDescent="0.35">
      <c r="A16">
        <v>2019</v>
      </c>
      <c r="B16" t="s">
        <v>11</v>
      </c>
      <c r="C16">
        <v>3</v>
      </c>
      <c r="D16">
        <v>3</v>
      </c>
      <c r="E16" t="s">
        <v>14</v>
      </c>
      <c r="F16">
        <v>3.64</v>
      </c>
      <c r="G16">
        <v>204.17</v>
      </c>
      <c r="H16">
        <v>1818.7</v>
      </c>
      <c r="I16">
        <v>4.97</v>
      </c>
      <c r="J16">
        <v>2119.0500000000002</v>
      </c>
      <c r="K16">
        <v>37.69</v>
      </c>
      <c r="N16" s="4">
        <f t="shared" si="4"/>
        <v>8.9077729343194409</v>
      </c>
      <c r="O16" s="4">
        <f t="shared" si="5"/>
        <v>56.223136110374114</v>
      </c>
      <c r="Q16" s="25"/>
      <c r="S16" s="4">
        <f t="shared" si="6"/>
        <v>49.964285714285715</v>
      </c>
    </row>
    <row r="17" spans="1:19" x14ac:dyDescent="0.35">
      <c r="A17">
        <v>2019</v>
      </c>
      <c r="B17" t="s">
        <v>11</v>
      </c>
      <c r="C17">
        <v>4</v>
      </c>
      <c r="D17">
        <v>3</v>
      </c>
      <c r="E17" t="s">
        <v>14</v>
      </c>
      <c r="F17">
        <v>3.88</v>
      </c>
      <c r="G17">
        <v>216.05</v>
      </c>
      <c r="H17">
        <v>1932.91</v>
      </c>
      <c r="I17">
        <v>6.08</v>
      </c>
      <c r="J17">
        <v>2588.4699999999998</v>
      </c>
      <c r="K17">
        <v>44.15</v>
      </c>
      <c r="N17" s="4">
        <f t="shared" si="4"/>
        <v>8.9465864383244611</v>
      </c>
      <c r="O17" s="4">
        <f t="shared" si="5"/>
        <v>58.62899207248018</v>
      </c>
      <c r="Q17" s="25"/>
      <c r="S17" s="4">
        <f t="shared" si="6"/>
        <v>49.817268041237114</v>
      </c>
    </row>
    <row r="18" spans="1:19" ht="58" x14ac:dyDescent="0.35">
      <c r="A18">
        <v>2020</v>
      </c>
      <c r="B18" t="s">
        <v>9</v>
      </c>
      <c r="C18">
        <v>1</v>
      </c>
      <c r="D18">
        <v>1</v>
      </c>
      <c r="E18" t="s">
        <v>14</v>
      </c>
      <c r="F18">
        <v>4.67</v>
      </c>
      <c r="G18">
        <v>266.41000000000003</v>
      </c>
      <c r="H18">
        <v>2290.1999999999998</v>
      </c>
      <c r="I18">
        <v>5.27</v>
      </c>
      <c r="J18">
        <v>2176.5100000000002</v>
      </c>
      <c r="K18">
        <v>47.43</v>
      </c>
      <c r="N18" s="4">
        <f t="shared" si="4"/>
        <v>8.5965241544987041</v>
      </c>
      <c r="O18" s="4">
        <f t="shared" si="5"/>
        <v>45.888888888888893</v>
      </c>
      <c r="Q18" s="25" t="s">
        <v>24</v>
      </c>
    </row>
    <row r="19" spans="1:19" ht="58" x14ac:dyDescent="0.35">
      <c r="A19">
        <v>2020</v>
      </c>
      <c r="B19" t="s">
        <v>9</v>
      </c>
      <c r="C19">
        <v>2</v>
      </c>
      <c r="D19">
        <v>1</v>
      </c>
      <c r="E19" t="s">
        <v>14</v>
      </c>
      <c r="F19">
        <v>4.58</v>
      </c>
      <c r="G19">
        <v>260.97000000000003</v>
      </c>
      <c r="H19">
        <v>2229.69</v>
      </c>
      <c r="I19">
        <v>5.35</v>
      </c>
      <c r="J19">
        <v>2209.5500000000002</v>
      </c>
      <c r="K19">
        <v>48.15</v>
      </c>
      <c r="N19" s="4">
        <f t="shared" si="4"/>
        <v>8.5438556155879972</v>
      </c>
      <c r="O19" s="4">
        <f t="shared" si="5"/>
        <v>45.888888888888893</v>
      </c>
      <c r="Q19" s="25" t="s">
        <v>24</v>
      </c>
    </row>
    <row r="20" spans="1:19" x14ac:dyDescent="0.35">
      <c r="A20">
        <v>2020</v>
      </c>
      <c r="B20" t="s">
        <v>11</v>
      </c>
      <c r="C20">
        <v>3</v>
      </c>
      <c r="D20">
        <v>1</v>
      </c>
      <c r="E20" t="s">
        <v>15</v>
      </c>
      <c r="F20">
        <v>6.73</v>
      </c>
      <c r="G20">
        <v>96.05</v>
      </c>
      <c r="H20">
        <v>2752.59</v>
      </c>
      <c r="I20">
        <v>6.55</v>
      </c>
      <c r="J20">
        <v>2888.55</v>
      </c>
      <c r="K20">
        <v>45.85</v>
      </c>
      <c r="N20">
        <v>29</v>
      </c>
      <c r="O20" s="4">
        <f t="shared" si="5"/>
        <v>63</v>
      </c>
      <c r="Q20" s="25"/>
      <c r="S20" s="4">
        <f>H20/(F20*1000)*100</f>
        <v>40.90029717682021</v>
      </c>
    </row>
    <row r="21" spans="1:19" x14ac:dyDescent="0.35">
      <c r="A21">
        <v>2020</v>
      </c>
      <c r="B21" t="s">
        <v>11</v>
      </c>
      <c r="C21">
        <v>4</v>
      </c>
      <c r="D21">
        <v>1</v>
      </c>
      <c r="E21" t="s">
        <v>15</v>
      </c>
      <c r="F21">
        <v>6.31</v>
      </c>
      <c r="G21">
        <v>93.59</v>
      </c>
      <c r="H21">
        <v>2583.15</v>
      </c>
      <c r="I21">
        <v>6.52</v>
      </c>
      <c r="J21">
        <v>2855.76</v>
      </c>
      <c r="K21">
        <v>52.16</v>
      </c>
      <c r="N21">
        <v>28</v>
      </c>
      <c r="O21" s="4">
        <f t="shared" si="5"/>
        <v>54.750000000000007</v>
      </c>
      <c r="Q21" s="25"/>
      <c r="S21" s="4">
        <f t="shared" ref="S21" si="7">H21/(F21*1000)*100</f>
        <v>40.937400950871634</v>
      </c>
    </row>
    <row r="22" spans="1:19" ht="58" x14ac:dyDescent="0.35">
      <c r="A22">
        <v>2020</v>
      </c>
      <c r="B22" t="s">
        <v>11</v>
      </c>
      <c r="C22">
        <v>3</v>
      </c>
      <c r="D22">
        <v>2</v>
      </c>
      <c r="E22" t="s">
        <v>12</v>
      </c>
      <c r="F22">
        <v>1.81</v>
      </c>
      <c r="L22" s="3">
        <v>734.12900000000002</v>
      </c>
      <c r="M22" s="3">
        <v>39.78</v>
      </c>
      <c r="P22" s="4">
        <f>L22/M22</f>
        <v>18.454725992961286</v>
      </c>
      <c r="Q22" s="25" t="s">
        <v>36</v>
      </c>
    </row>
    <row r="23" spans="1:19" ht="58" x14ac:dyDescent="0.35">
      <c r="A23">
        <v>2020</v>
      </c>
      <c r="B23" t="s">
        <v>11</v>
      </c>
      <c r="C23">
        <v>4</v>
      </c>
      <c r="D23">
        <v>2</v>
      </c>
      <c r="E23" t="s">
        <v>12</v>
      </c>
      <c r="F23">
        <v>2.14</v>
      </c>
      <c r="L23" s="3">
        <v>870.61400000000003</v>
      </c>
      <c r="M23" s="3">
        <v>44.920999999999999</v>
      </c>
      <c r="P23" s="4">
        <f>L23/M23</f>
        <v>19.381002203869016</v>
      </c>
      <c r="Q23" s="25" t="s">
        <v>37</v>
      </c>
    </row>
    <row r="24" spans="1:19" ht="29" x14ac:dyDescent="0.35">
      <c r="A24">
        <v>2021</v>
      </c>
      <c r="B24" t="s">
        <v>9</v>
      </c>
      <c r="C24">
        <v>1</v>
      </c>
      <c r="D24">
        <v>1</v>
      </c>
      <c r="E24" t="s">
        <v>10</v>
      </c>
      <c r="F24" s="5">
        <v>10.83</v>
      </c>
      <c r="G24" s="3">
        <v>152.68770538055554</v>
      </c>
      <c r="H24" s="3">
        <v>5103.3060251416664</v>
      </c>
      <c r="I24" s="5">
        <f>5735.0287037037/1000</f>
        <v>5.7350287037036995</v>
      </c>
      <c r="J24" s="4">
        <v>2474.3739888888886</v>
      </c>
      <c r="K24" s="4">
        <v>45.22839046296297</v>
      </c>
      <c r="N24" s="4">
        <f>H24/G24</f>
        <v>33.423162738756844</v>
      </c>
      <c r="O24" s="4">
        <f>J24/K24</f>
        <v>54.70842458820475</v>
      </c>
      <c r="Q24" s="25" t="s">
        <v>29</v>
      </c>
    </row>
    <row r="25" spans="1:19" ht="29" x14ac:dyDescent="0.35">
      <c r="A25">
        <v>2021</v>
      </c>
      <c r="B25" t="s">
        <v>9</v>
      </c>
      <c r="C25">
        <v>2</v>
      </c>
      <c r="D25">
        <v>1</v>
      </c>
      <c r="E25" t="s">
        <v>10</v>
      </c>
      <c r="F25" s="5">
        <v>10.96</v>
      </c>
      <c r="G25" s="3">
        <v>157.24331007777778</v>
      </c>
      <c r="H25" s="3">
        <v>5108.9298811305553</v>
      </c>
      <c r="I25" s="5">
        <f>5883.03796296296/1000</f>
        <v>5.8830379629629599</v>
      </c>
      <c r="J25" s="4">
        <v>2563.1370604629628</v>
      </c>
      <c r="K25" s="4">
        <v>39.32269324074074</v>
      </c>
      <c r="N25" s="4">
        <f t="shared" ref="N25:N29" si="8">H25/G25</f>
        <v>32.490602484795751</v>
      </c>
      <c r="O25" s="4">
        <f>J25/K25</f>
        <v>65.182134010276656</v>
      </c>
      <c r="Q25" s="25" t="s">
        <v>29</v>
      </c>
    </row>
    <row r="26" spans="1:19" x14ac:dyDescent="0.35">
      <c r="A26">
        <v>2021</v>
      </c>
      <c r="B26" t="s">
        <v>11</v>
      </c>
      <c r="C26">
        <v>3</v>
      </c>
      <c r="D26">
        <v>1</v>
      </c>
      <c r="E26" t="s">
        <v>12</v>
      </c>
      <c r="F26" s="5">
        <v>2.71</v>
      </c>
      <c r="G26" s="3"/>
      <c r="H26" s="3"/>
      <c r="J26" s="4"/>
      <c r="K26" s="4"/>
      <c r="L26" s="3">
        <v>1099.321488888889</v>
      </c>
      <c r="M26" s="3">
        <v>55.878822222222212</v>
      </c>
      <c r="N26" s="4"/>
      <c r="O26" s="4"/>
      <c r="P26" s="4">
        <f>L26/M26</f>
        <v>19.673311733684045</v>
      </c>
      <c r="Q26" s="25" t="s">
        <v>38</v>
      </c>
    </row>
    <row r="27" spans="1:19" x14ac:dyDescent="0.35">
      <c r="A27">
        <v>2021</v>
      </c>
      <c r="B27" t="s">
        <v>11</v>
      </c>
      <c r="C27">
        <v>4</v>
      </c>
      <c r="D27">
        <v>1</v>
      </c>
      <c r="E27" t="s">
        <v>12</v>
      </c>
      <c r="F27" s="5">
        <v>2.71</v>
      </c>
      <c r="G27" s="3"/>
      <c r="H27" s="3"/>
      <c r="J27" s="4"/>
      <c r="K27" s="4"/>
      <c r="L27" s="3">
        <v>1099.321488888889</v>
      </c>
      <c r="M27" s="3">
        <v>55.878822222222212</v>
      </c>
      <c r="N27" s="4"/>
      <c r="O27" s="4"/>
      <c r="P27" s="4">
        <f>L27/M27</f>
        <v>19.673311733684045</v>
      </c>
      <c r="Q27" s="25" t="s">
        <v>39</v>
      </c>
    </row>
    <row r="28" spans="1:19" ht="29" x14ac:dyDescent="0.35">
      <c r="A28">
        <v>2021</v>
      </c>
      <c r="B28" t="s">
        <v>11</v>
      </c>
      <c r="C28">
        <v>3</v>
      </c>
      <c r="D28">
        <v>2</v>
      </c>
      <c r="E28" t="s">
        <v>10</v>
      </c>
      <c r="F28" s="5">
        <v>10.45</v>
      </c>
      <c r="G28" s="3">
        <v>141.04981105277778</v>
      </c>
      <c r="H28" s="3">
        <v>4889.8360072666655</v>
      </c>
      <c r="I28" s="3">
        <f>5893.08981481481/1000</f>
        <v>5.8930898148148101</v>
      </c>
      <c r="J28" s="4">
        <v>2560.1527572222212</v>
      </c>
      <c r="K28" s="4">
        <v>45.474479814814813</v>
      </c>
      <c r="N28" s="4">
        <f>H28/G28</f>
        <v>34.667441032140019</v>
      </c>
      <c r="O28" s="4">
        <f>J28/K28</f>
        <v>56.298670543300354</v>
      </c>
      <c r="Q28" s="25" t="s">
        <v>29</v>
      </c>
      <c r="S28" s="4">
        <f t="shared" ref="S28:S29" si="9">H28/(F28*1000)*100</f>
        <v>46.792689064752778</v>
      </c>
    </row>
    <row r="29" spans="1:19" ht="29" x14ac:dyDescent="0.35">
      <c r="A29">
        <v>2021</v>
      </c>
      <c r="B29" t="s">
        <v>11</v>
      </c>
      <c r="C29">
        <v>4</v>
      </c>
      <c r="D29">
        <v>2</v>
      </c>
      <c r="E29" t="s">
        <v>10</v>
      </c>
      <c r="F29" s="5">
        <v>11.07</v>
      </c>
      <c r="G29" s="3">
        <v>154.56994558333332</v>
      </c>
      <c r="H29" s="3">
        <v>5182.0500050416667</v>
      </c>
      <c r="I29" s="3">
        <f>5967.73333333333/1000</f>
        <v>5.9677333333333298</v>
      </c>
      <c r="J29" s="4">
        <v>2590.8898848148151</v>
      </c>
      <c r="K29" s="4">
        <v>41.042548055555542</v>
      </c>
      <c r="N29" s="4">
        <f t="shared" si="8"/>
        <v>33.525598948004202</v>
      </c>
      <c r="O29" s="4">
        <f t="shared" ref="O29" si="10">J29/K29</f>
        <v>63.126925777311989</v>
      </c>
      <c r="Q29" s="25" t="s">
        <v>29</v>
      </c>
      <c r="S29" s="4">
        <f t="shared" si="9"/>
        <v>46.811653162074677</v>
      </c>
    </row>
    <row r="30" spans="1:19" x14ac:dyDescent="0.35">
      <c r="A30">
        <v>2021</v>
      </c>
      <c r="B30" t="s">
        <v>11</v>
      </c>
      <c r="C30">
        <v>3</v>
      </c>
      <c r="D30">
        <v>3</v>
      </c>
      <c r="E30" t="s">
        <v>12</v>
      </c>
      <c r="F30" s="1">
        <v>0.23300000000000001</v>
      </c>
      <c r="L30" s="5">
        <f>F30*0.35*1000</f>
        <v>81.55</v>
      </c>
      <c r="M30" s="5">
        <f>F30*0.047*1000</f>
        <v>10.951000000000001</v>
      </c>
      <c r="P30" s="4">
        <f>L30/M30</f>
        <v>7.4468085106382969</v>
      </c>
      <c r="Q30" s="25" t="s">
        <v>40</v>
      </c>
    </row>
    <row r="31" spans="1:19" x14ac:dyDescent="0.35">
      <c r="A31">
        <v>2021</v>
      </c>
      <c r="B31" t="s">
        <v>11</v>
      </c>
      <c r="C31">
        <v>4</v>
      </c>
      <c r="D31">
        <v>3</v>
      </c>
      <c r="E31" t="s">
        <v>12</v>
      </c>
      <c r="F31" s="1">
        <v>0.26400000000000001</v>
      </c>
      <c r="L31" s="5">
        <f>F31*0.361*1000</f>
        <v>95.304000000000002</v>
      </c>
      <c r="M31" s="5">
        <f>F31*0.051*1000</f>
        <v>13.464</v>
      </c>
      <c r="P31" s="4">
        <f>L31/M31</f>
        <v>7.0784313725490193</v>
      </c>
      <c r="Q31" s="25" t="s">
        <v>40</v>
      </c>
    </row>
    <row r="32" spans="1:19" x14ac:dyDescent="0.35">
      <c r="A32">
        <v>2021</v>
      </c>
      <c r="B32" t="s">
        <v>11</v>
      </c>
      <c r="C32">
        <v>3</v>
      </c>
      <c r="D32">
        <v>4</v>
      </c>
      <c r="E32" t="s">
        <v>12</v>
      </c>
      <c r="F32" s="1">
        <v>8.9999999999999993E-3</v>
      </c>
      <c r="L32" s="5">
        <f>F32*0.378*1000</f>
        <v>3.4019999999999997</v>
      </c>
      <c r="M32" s="5">
        <f>F32*0.0266*1000</f>
        <v>0.23939999999999997</v>
      </c>
      <c r="P32" s="4">
        <f>L32/M32</f>
        <v>14.210526315789474</v>
      </c>
      <c r="Q32" s="25" t="s">
        <v>41</v>
      </c>
    </row>
    <row r="33" spans="1:17" ht="15" thickBot="1" x14ac:dyDescent="0.4">
      <c r="A33">
        <v>2021</v>
      </c>
      <c r="B33" t="s">
        <v>11</v>
      </c>
      <c r="C33">
        <v>4</v>
      </c>
      <c r="D33">
        <v>4</v>
      </c>
      <c r="E33" t="s">
        <v>12</v>
      </c>
      <c r="F33" s="1">
        <v>2.9000000000000001E-2</v>
      </c>
      <c r="L33" s="5">
        <f>F33*0.3375*1000</f>
        <v>9.7875000000000014</v>
      </c>
      <c r="M33" s="5">
        <f>F33*0.0254*1000</f>
        <v>0.73660000000000003</v>
      </c>
      <c r="P33" s="4">
        <f>L33/M33</f>
        <v>13.287401574803152</v>
      </c>
      <c r="Q33" s="25" t="s">
        <v>41</v>
      </c>
    </row>
    <row r="34" spans="1:17" x14ac:dyDescent="0.35">
      <c r="A34" s="6">
        <v>2022</v>
      </c>
      <c r="B34" s="7" t="s">
        <v>9</v>
      </c>
      <c r="C34" s="7">
        <v>1</v>
      </c>
      <c r="D34" s="7">
        <v>1</v>
      </c>
      <c r="E34" s="7" t="s">
        <v>14</v>
      </c>
      <c r="F34" s="14">
        <v>4.0229999999999997</v>
      </c>
      <c r="G34" s="15"/>
      <c r="H34" s="15"/>
      <c r="I34" s="16">
        <f>5655.106/1000</f>
        <v>5.655106</v>
      </c>
      <c r="J34" s="15"/>
      <c r="K34" s="15"/>
      <c r="L34" s="15"/>
      <c r="M34" s="15"/>
      <c r="N34" s="15"/>
      <c r="O34" s="17"/>
      <c r="Q34" s="25" t="s">
        <v>25</v>
      </c>
    </row>
    <row r="35" spans="1:17" x14ac:dyDescent="0.35">
      <c r="A35" s="9">
        <v>2022</v>
      </c>
      <c r="B35" t="s">
        <v>9</v>
      </c>
      <c r="C35">
        <v>2</v>
      </c>
      <c r="D35">
        <v>1</v>
      </c>
      <c r="E35" t="s">
        <v>14</v>
      </c>
      <c r="F35" s="5">
        <v>4.319</v>
      </c>
      <c r="G35" s="2"/>
      <c r="H35" s="2"/>
      <c r="I35" s="18">
        <f>5277.931/1000</f>
        <v>5.2779309999999997</v>
      </c>
      <c r="J35" s="2"/>
      <c r="K35" s="2"/>
      <c r="L35" s="2"/>
      <c r="M35" s="2"/>
      <c r="N35" s="2"/>
      <c r="O35" s="19"/>
      <c r="Q35" s="25" t="s">
        <v>25</v>
      </c>
    </row>
    <row r="36" spans="1:17" x14ac:dyDescent="0.35">
      <c r="A36" s="9">
        <v>2022</v>
      </c>
      <c r="B36" t="s">
        <v>11</v>
      </c>
      <c r="C36">
        <v>3</v>
      </c>
      <c r="D36">
        <v>2</v>
      </c>
      <c r="E36" t="s">
        <v>14</v>
      </c>
      <c r="F36" s="5">
        <v>4.1900000000000004</v>
      </c>
      <c r="G36" s="2"/>
      <c r="H36" s="2"/>
      <c r="I36" s="18">
        <f>5585.827/1000</f>
        <v>5.5858270000000001</v>
      </c>
      <c r="J36" s="2"/>
      <c r="K36" s="2"/>
      <c r="L36" s="2"/>
      <c r="M36" s="2"/>
      <c r="N36" s="2"/>
      <c r="O36" s="19"/>
      <c r="Q36" s="25" t="s">
        <v>25</v>
      </c>
    </row>
    <row r="37" spans="1:17" ht="15" thickBot="1" x14ac:dyDescent="0.4">
      <c r="A37" s="11">
        <v>2022</v>
      </c>
      <c r="B37" s="12" t="s">
        <v>11</v>
      </c>
      <c r="C37" s="12">
        <v>4</v>
      </c>
      <c r="D37" s="12">
        <v>2</v>
      </c>
      <c r="E37" s="12" t="s">
        <v>14</v>
      </c>
      <c r="F37" s="20">
        <v>4.4829999999999997</v>
      </c>
      <c r="G37" s="21"/>
      <c r="H37" s="21"/>
      <c r="I37" s="22">
        <f>5804.262/1000</f>
        <v>5.8042619999999996</v>
      </c>
      <c r="J37" s="21"/>
      <c r="K37" s="21"/>
      <c r="L37" s="21"/>
      <c r="M37" s="21"/>
      <c r="N37" s="21"/>
      <c r="O37" s="23"/>
      <c r="Q37" s="25" t="s">
        <v>25</v>
      </c>
    </row>
    <row r="38" spans="1:17" ht="29" x14ac:dyDescent="0.35">
      <c r="A38">
        <v>2023</v>
      </c>
      <c r="B38" t="s">
        <v>9</v>
      </c>
      <c r="C38">
        <v>1</v>
      </c>
      <c r="D38">
        <v>1</v>
      </c>
      <c r="E38" t="s">
        <v>14</v>
      </c>
      <c r="F38" s="5">
        <v>3.6850000000000001</v>
      </c>
      <c r="G38" s="2"/>
      <c r="H38" s="2"/>
      <c r="I38" s="2"/>
      <c r="J38" s="2"/>
      <c r="K38" s="2"/>
      <c r="L38" s="2"/>
      <c r="M38" s="2"/>
      <c r="N38" s="2"/>
      <c r="O38" s="2"/>
      <c r="Q38" s="25" t="s">
        <v>26</v>
      </c>
    </row>
    <row r="39" spans="1:17" ht="29" x14ac:dyDescent="0.35">
      <c r="A39">
        <v>2023</v>
      </c>
      <c r="B39" t="s">
        <v>9</v>
      </c>
      <c r="C39">
        <v>2</v>
      </c>
      <c r="D39">
        <v>1</v>
      </c>
      <c r="E39" t="s">
        <v>14</v>
      </c>
      <c r="F39" s="5">
        <v>3.77</v>
      </c>
      <c r="G39" s="2"/>
      <c r="H39" s="2"/>
      <c r="I39" s="2"/>
      <c r="J39" s="2"/>
      <c r="K39" s="2"/>
      <c r="L39" s="2"/>
      <c r="M39" s="2"/>
      <c r="N39" s="2"/>
      <c r="O39" s="2"/>
      <c r="Q39" s="25" t="s">
        <v>26</v>
      </c>
    </row>
    <row r="40" spans="1:17" ht="29" x14ac:dyDescent="0.35">
      <c r="A40">
        <v>2023</v>
      </c>
      <c r="B40" t="s">
        <v>11</v>
      </c>
      <c r="C40">
        <v>3</v>
      </c>
      <c r="D40">
        <v>1</v>
      </c>
      <c r="E40" t="s">
        <v>15</v>
      </c>
      <c r="F40" s="5">
        <v>4.8209999999999997</v>
      </c>
      <c r="G40" s="2"/>
      <c r="H40" s="2"/>
      <c r="I40" s="2"/>
      <c r="J40" s="2"/>
      <c r="K40" s="2"/>
      <c r="L40" s="2"/>
      <c r="M40" s="2"/>
      <c r="N40" s="2"/>
      <c r="O40" s="2"/>
      <c r="Q40" s="25" t="s">
        <v>26</v>
      </c>
    </row>
    <row r="41" spans="1:17" ht="29" x14ac:dyDescent="0.35">
      <c r="A41">
        <v>2023</v>
      </c>
      <c r="B41" t="s">
        <v>11</v>
      </c>
      <c r="C41">
        <v>4</v>
      </c>
      <c r="D41">
        <v>1</v>
      </c>
      <c r="E41" t="s">
        <v>15</v>
      </c>
      <c r="F41" s="5">
        <v>5.16</v>
      </c>
      <c r="G41" s="2"/>
      <c r="H41" s="2"/>
      <c r="I41" s="2"/>
      <c r="J41" s="2"/>
      <c r="K41" s="2"/>
      <c r="L41" s="2"/>
      <c r="M41" s="2"/>
      <c r="N41" s="2"/>
      <c r="O41" s="2"/>
      <c r="Q41" s="25" t="s">
        <v>26</v>
      </c>
    </row>
    <row r="42" spans="1:17" x14ac:dyDescent="0.35">
      <c r="A42">
        <v>2023</v>
      </c>
      <c r="B42" t="s">
        <v>11</v>
      </c>
      <c r="C42">
        <v>3</v>
      </c>
      <c r="D42">
        <v>2</v>
      </c>
      <c r="E42" t="s">
        <v>12</v>
      </c>
      <c r="F42" s="5">
        <v>0.67200000000000004</v>
      </c>
      <c r="G42" s="2"/>
      <c r="H42" s="2"/>
      <c r="I42" s="2"/>
      <c r="J42" s="2"/>
      <c r="K42" s="2"/>
      <c r="L42" s="2"/>
      <c r="M42" s="2"/>
      <c r="N42" s="2"/>
      <c r="O42" s="2"/>
      <c r="Q42" s="25" t="s">
        <v>42</v>
      </c>
    </row>
    <row r="43" spans="1:17" x14ac:dyDescent="0.35">
      <c r="A43">
        <v>2023</v>
      </c>
      <c r="B43" t="s">
        <v>11</v>
      </c>
      <c r="C43">
        <v>4</v>
      </c>
      <c r="D43">
        <v>2</v>
      </c>
      <c r="E43" t="s">
        <v>12</v>
      </c>
      <c r="F43" s="5">
        <v>0.69099999999999995</v>
      </c>
      <c r="G43" s="2"/>
      <c r="H43" s="2"/>
      <c r="I43" s="2"/>
      <c r="J43" s="2"/>
      <c r="K43" s="2"/>
      <c r="L43" s="2"/>
      <c r="M43" s="2"/>
      <c r="N43" s="2"/>
      <c r="O43" s="2"/>
      <c r="Q43" s="25" t="s">
        <v>42</v>
      </c>
    </row>
    <row r="44" spans="1:17" x14ac:dyDescent="0.35">
      <c r="A44">
        <v>2024</v>
      </c>
      <c r="B44" t="s">
        <v>11</v>
      </c>
      <c r="C44">
        <v>3</v>
      </c>
      <c r="D44">
        <v>1</v>
      </c>
      <c r="E44" t="s">
        <v>12</v>
      </c>
      <c r="F44" s="5">
        <f>1056.933/1000</f>
        <v>1.0569329999999999</v>
      </c>
      <c r="G44" s="2"/>
      <c r="H44" s="2"/>
      <c r="I44" s="2"/>
      <c r="J44" s="2"/>
      <c r="K44" s="2"/>
      <c r="L44" s="2"/>
      <c r="M44" s="2"/>
      <c r="N44" s="2"/>
      <c r="O44" s="2"/>
      <c r="Q44" s="25" t="s">
        <v>43</v>
      </c>
    </row>
    <row r="45" spans="1:17" x14ac:dyDescent="0.35">
      <c r="A45">
        <v>2024</v>
      </c>
      <c r="B45" t="s">
        <v>11</v>
      </c>
      <c r="C45">
        <v>4</v>
      </c>
      <c r="D45">
        <v>1</v>
      </c>
      <c r="E45" t="s">
        <v>12</v>
      </c>
      <c r="F45" s="5">
        <f>1024.933/1000</f>
        <v>1.0249330000000001</v>
      </c>
      <c r="G45" s="2"/>
      <c r="H45" s="2"/>
      <c r="I45" s="2"/>
      <c r="J45" s="2"/>
      <c r="K45" s="2"/>
      <c r="L45" s="2"/>
      <c r="M45" s="2"/>
      <c r="N45" s="2"/>
      <c r="O45" s="2"/>
      <c r="Q45" s="25" t="s">
        <v>44</v>
      </c>
    </row>
  </sheetData>
  <mergeCells count="1">
    <mergeCell ref="P6:P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9D79-710C-4724-8B37-65DFAB94B8F9}">
  <dimension ref="A1:M49"/>
  <sheetViews>
    <sheetView zoomScale="70" zoomScaleNormal="70" workbookViewId="0"/>
  </sheetViews>
  <sheetFormatPr defaultRowHeight="14.5" x14ac:dyDescent="0.35"/>
  <cols>
    <col min="1" max="1" width="7" customWidth="1"/>
    <col min="2" max="2" width="8.453125" customWidth="1"/>
    <col min="3" max="4" width="14.36328125" customWidth="1"/>
    <col min="5" max="5" width="17.54296875" customWidth="1"/>
    <col min="6" max="12" width="14.36328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16</v>
      </c>
      <c r="E1" t="s">
        <v>3</v>
      </c>
      <c r="F1" t="str">
        <f>obs_yield_main!F1</f>
        <v>grain_t_ha</v>
      </c>
      <c r="G1" t="str">
        <f>obs_yield_main!G1</f>
        <v>grain_n_kg_ha</v>
      </c>
      <c r="H1" t="str">
        <f>obs_yield_main!H1</f>
        <v>grain_c_kg_ha_obs</v>
      </c>
      <c r="I1" t="str">
        <f>obs_yield_main!I1</f>
        <v>straw_t_ha</v>
      </c>
      <c r="J1" t="str">
        <f>obs_yield_main!J1</f>
        <v>straw_c_kg_ha</v>
      </c>
      <c r="K1" t="str">
        <f>obs_yield_main!K1</f>
        <v>straw_n_kg_ha</v>
      </c>
      <c r="L1" t="str">
        <f>obs_yield_main!L1</f>
        <v>biomass_c_kg_ha</v>
      </c>
    </row>
    <row r="2" spans="1:12" x14ac:dyDescent="0.35">
      <c r="A2">
        <v>2018</v>
      </c>
      <c r="B2" t="s">
        <v>9</v>
      </c>
      <c r="C2">
        <v>1</v>
      </c>
      <c r="D2">
        <v>1</v>
      </c>
      <c r="E2" t="s">
        <v>10</v>
      </c>
      <c r="F2">
        <f>obs_yield_main!F2</f>
        <v>10.57</v>
      </c>
      <c r="G2">
        <f>obs_yield_main!G2</f>
        <v>126.66</v>
      </c>
      <c r="H2">
        <f>obs_yield_main!H2</f>
        <v>4450.6099999999997</v>
      </c>
      <c r="I2">
        <f>obs_yield_main!I2</f>
        <v>9.68</v>
      </c>
      <c r="J2">
        <f>obs_yield_main!J2</f>
        <v>4391.1099999999997</v>
      </c>
      <c r="K2">
        <f>obs_yield_main!K2</f>
        <v>71.040000000000006</v>
      </c>
      <c r="L2">
        <f>obs_yield_main!L2</f>
        <v>0</v>
      </c>
    </row>
    <row r="3" spans="1:12" x14ac:dyDescent="0.35">
      <c r="A3">
        <v>2018</v>
      </c>
      <c r="B3" t="s">
        <v>9</v>
      </c>
      <c r="C3">
        <v>2</v>
      </c>
      <c r="D3">
        <v>1</v>
      </c>
      <c r="E3" t="s">
        <v>10</v>
      </c>
      <c r="F3">
        <f>obs_yield_main!F3</f>
        <v>11.25</v>
      </c>
      <c r="G3">
        <f>obs_yield_main!G3</f>
        <v>145.63999999999999</v>
      </c>
      <c r="H3">
        <f>obs_yield_main!H3</f>
        <v>4738.54</v>
      </c>
      <c r="I3">
        <f>obs_yield_main!I3</f>
        <v>9.83</v>
      </c>
      <c r="J3">
        <f>obs_yield_main!J3</f>
        <v>4435.1499999999996</v>
      </c>
      <c r="K3">
        <f>obs_yield_main!K3</f>
        <v>82.19</v>
      </c>
      <c r="L3">
        <f>obs_yield_main!L3</f>
        <v>0</v>
      </c>
    </row>
    <row r="4" spans="1:12" x14ac:dyDescent="0.35">
      <c r="A4">
        <v>2018</v>
      </c>
      <c r="B4" t="s">
        <v>11</v>
      </c>
      <c r="C4">
        <v>3</v>
      </c>
      <c r="D4">
        <v>1</v>
      </c>
      <c r="E4" t="s">
        <v>10</v>
      </c>
      <c r="F4">
        <f>obs_yield_main!F4</f>
        <v>11.05</v>
      </c>
      <c r="G4">
        <f>obs_yield_main!G4</f>
        <v>133.96</v>
      </c>
      <c r="H4">
        <f>obs_yield_main!H4</f>
        <v>4644.8500000000004</v>
      </c>
      <c r="I4">
        <f>obs_yield_main!I4</f>
        <v>9.73</v>
      </c>
      <c r="J4">
        <f>obs_yield_main!J4</f>
        <v>4431.1000000000004</v>
      </c>
      <c r="K4">
        <f>obs_yield_main!K4</f>
        <v>72.69</v>
      </c>
      <c r="L4">
        <f>obs_yield_main!L4</f>
        <v>0</v>
      </c>
    </row>
    <row r="5" spans="1:12" x14ac:dyDescent="0.35">
      <c r="A5">
        <v>2018</v>
      </c>
      <c r="B5" t="s">
        <v>11</v>
      </c>
      <c r="C5">
        <v>4</v>
      </c>
      <c r="D5">
        <v>1</v>
      </c>
      <c r="E5" t="s">
        <v>10</v>
      </c>
      <c r="F5">
        <f>obs_yield_main!F5</f>
        <v>11.56</v>
      </c>
      <c r="G5">
        <f>obs_yield_main!G5</f>
        <v>144.76</v>
      </c>
      <c r="H5">
        <f>obs_yield_main!H5</f>
        <v>4880.62</v>
      </c>
      <c r="I5">
        <f>obs_yield_main!I5</f>
        <v>9.94</v>
      </c>
      <c r="J5">
        <f>obs_yield_main!J5</f>
        <v>4536.51</v>
      </c>
      <c r="K5">
        <f>obs_yield_main!K5</f>
        <v>78.52</v>
      </c>
      <c r="L5">
        <f>obs_yield_main!L5</f>
        <v>0</v>
      </c>
    </row>
    <row r="6" spans="1:12" x14ac:dyDescent="0.35">
      <c r="A6">
        <v>2018</v>
      </c>
      <c r="B6" t="s">
        <v>11</v>
      </c>
      <c r="C6">
        <v>3</v>
      </c>
      <c r="D6">
        <v>2</v>
      </c>
      <c r="E6" t="s">
        <v>12</v>
      </c>
      <c r="F6">
        <f>obs_yield_main!F6</f>
        <v>5.7000000000000002E-2</v>
      </c>
      <c r="G6">
        <f>obs_yield_main!G6</f>
        <v>0</v>
      </c>
      <c r="H6">
        <f>obs_yield_main!H6</f>
        <v>0</v>
      </c>
      <c r="I6">
        <f>obs_yield_main!I6</f>
        <v>0</v>
      </c>
      <c r="J6">
        <f>obs_yield_main!J6</f>
        <v>0</v>
      </c>
      <c r="K6">
        <f>obs_yield_main!K6</f>
        <v>0</v>
      </c>
      <c r="L6">
        <f>obs_yield_main!L6</f>
        <v>0</v>
      </c>
    </row>
    <row r="7" spans="1:12" x14ac:dyDescent="0.35">
      <c r="A7">
        <v>2018</v>
      </c>
      <c r="B7" t="s">
        <v>11</v>
      </c>
      <c r="C7">
        <v>4</v>
      </c>
      <c r="D7">
        <v>2</v>
      </c>
      <c r="E7" t="s">
        <v>12</v>
      </c>
      <c r="F7">
        <f>obs_yield_main!F7</f>
        <v>6.8000000000000005E-2</v>
      </c>
      <c r="G7">
        <f>obs_yield_main!G7</f>
        <v>0</v>
      </c>
      <c r="H7">
        <f>obs_yield_main!H7</f>
        <v>0</v>
      </c>
      <c r="I7">
        <f>obs_yield_main!I7</f>
        <v>0</v>
      </c>
      <c r="J7">
        <f>obs_yield_main!J7</f>
        <v>0</v>
      </c>
      <c r="K7">
        <f>obs_yield_main!K7</f>
        <v>0</v>
      </c>
      <c r="L7">
        <f>obs_yield_main!L7</f>
        <v>0</v>
      </c>
    </row>
    <row r="8" spans="1:12" x14ac:dyDescent="0.35">
      <c r="A8">
        <v>2018</v>
      </c>
      <c r="B8" t="s">
        <v>11</v>
      </c>
      <c r="C8">
        <v>3</v>
      </c>
      <c r="D8">
        <v>3</v>
      </c>
      <c r="E8" t="s">
        <v>12</v>
      </c>
      <c r="F8">
        <f>obs_yield_main!F8</f>
        <v>0.11700000000000001</v>
      </c>
      <c r="G8">
        <f>obs_yield_main!G8</f>
        <v>0</v>
      </c>
      <c r="H8">
        <f>obs_yield_main!H8</f>
        <v>0</v>
      </c>
      <c r="I8">
        <f>obs_yield_main!I8</f>
        <v>0</v>
      </c>
      <c r="J8">
        <f>obs_yield_main!J8</f>
        <v>0</v>
      </c>
      <c r="K8">
        <f>obs_yield_main!K8</f>
        <v>0</v>
      </c>
      <c r="L8">
        <f>obs_yield_main!L8</f>
        <v>0</v>
      </c>
    </row>
    <row r="9" spans="1:12" ht="15" thickBot="1" x14ac:dyDescent="0.4">
      <c r="A9">
        <v>2018</v>
      </c>
      <c r="B9" t="s">
        <v>11</v>
      </c>
      <c r="C9">
        <v>4</v>
      </c>
      <c r="D9">
        <v>3</v>
      </c>
      <c r="E9" t="s">
        <v>12</v>
      </c>
      <c r="F9">
        <f>obs_yield_main!F9</f>
        <v>0.13500000000000001</v>
      </c>
      <c r="G9">
        <f>obs_yield_main!G9</f>
        <v>0</v>
      </c>
      <c r="H9">
        <f>obs_yield_main!H9</f>
        <v>0</v>
      </c>
      <c r="I9">
        <f>obs_yield_main!I9</f>
        <v>0</v>
      </c>
      <c r="J9">
        <f>obs_yield_main!J9</f>
        <v>0</v>
      </c>
      <c r="K9">
        <f>obs_yield_main!K9</f>
        <v>0</v>
      </c>
      <c r="L9">
        <f>obs_yield_main!L9</f>
        <v>0</v>
      </c>
    </row>
    <row r="10" spans="1:12" x14ac:dyDescent="0.35">
      <c r="A10" s="6">
        <v>2019</v>
      </c>
      <c r="B10" s="7" t="s">
        <v>11</v>
      </c>
      <c r="C10" s="7">
        <v>3</v>
      </c>
      <c r="D10" s="7">
        <v>1</v>
      </c>
      <c r="E10" s="7" t="s">
        <v>12</v>
      </c>
      <c r="F10" s="7">
        <f>obs_yield_main!F10</f>
        <v>0.17399999999999999</v>
      </c>
      <c r="G10" s="7">
        <f>obs_yield_main!G10</f>
        <v>0</v>
      </c>
      <c r="H10" s="7">
        <f>obs_yield_main!H10</f>
        <v>0</v>
      </c>
      <c r="I10" s="7">
        <f>obs_yield_main!I10</f>
        <v>0</v>
      </c>
      <c r="J10" s="7">
        <f>obs_yield_main!J10</f>
        <v>0</v>
      </c>
      <c r="K10" s="7">
        <f>obs_yield_main!K10</f>
        <v>0</v>
      </c>
      <c r="L10" s="8">
        <f>obs_yield_main!L10</f>
        <v>7.4071799999999993E-2</v>
      </c>
    </row>
    <row r="11" spans="1:12" x14ac:dyDescent="0.35">
      <c r="A11" s="9">
        <v>2019</v>
      </c>
      <c r="B11" t="s">
        <v>11</v>
      </c>
      <c r="C11">
        <v>4</v>
      </c>
      <c r="D11">
        <v>1</v>
      </c>
      <c r="E11" t="s">
        <v>12</v>
      </c>
      <c r="F11" t="str">
        <f>obs_yield_main!F11</f>
        <v>NA</v>
      </c>
      <c r="G11">
        <f>obs_yield_main!G11</f>
        <v>0</v>
      </c>
      <c r="H11">
        <f>obs_yield_main!H11</f>
        <v>0</v>
      </c>
      <c r="I11">
        <f>obs_yield_main!I11</f>
        <v>0</v>
      </c>
      <c r="J11">
        <f>obs_yield_main!J11</f>
        <v>0</v>
      </c>
      <c r="K11">
        <f>obs_yield_main!K11</f>
        <v>0</v>
      </c>
      <c r="L11" s="10">
        <f>obs_yield_main!L11</f>
        <v>0</v>
      </c>
    </row>
    <row r="12" spans="1:12" x14ac:dyDescent="0.35">
      <c r="A12" s="9">
        <v>2019</v>
      </c>
      <c r="B12" t="s">
        <v>11</v>
      </c>
      <c r="C12">
        <v>3</v>
      </c>
      <c r="D12">
        <v>2</v>
      </c>
      <c r="E12" t="s">
        <v>12</v>
      </c>
      <c r="F12" t="str">
        <f>obs_yield_main!F12</f>
        <v>NA</v>
      </c>
      <c r="G12">
        <f>obs_yield_main!G12</f>
        <v>0</v>
      </c>
      <c r="H12">
        <f>obs_yield_main!H12</f>
        <v>0</v>
      </c>
      <c r="I12">
        <f>obs_yield_main!I12</f>
        <v>0</v>
      </c>
      <c r="J12">
        <f>obs_yield_main!J12</f>
        <v>0</v>
      </c>
      <c r="K12">
        <f>obs_yield_main!K12</f>
        <v>0</v>
      </c>
      <c r="L12" s="10">
        <f>obs_yield_main!L12</f>
        <v>0</v>
      </c>
    </row>
    <row r="13" spans="1:12" x14ac:dyDescent="0.35">
      <c r="A13" s="9">
        <v>2019</v>
      </c>
      <c r="B13" t="s">
        <v>11</v>
      </c>
      <c r="C13">
        <v>4</v>
      </c>
      <c r="D13">
        <v>2</v>
      </c>
      <c r="E13" t="s">
        <v>12</v>
      </c>
      <c r="F13" t="str">
        <f>obs_yield_main!F13</f>
        <v>NA</v>
      </c>
      <c r="G13">
        <f>obs_yield_main!G13</f>
        <v>0</v>
      </c>
      <c r="H13">
        <f>obs_yield_main!H13</f>
        <v>0</v>
      </c>
      <c r="I13">
        <f>obs_yield_main!I13</f>
        <v>0</v>
      </c>
      <c r="J13">
        <f>obs_yield_main!J13</f>
        <v>0</v>
      </c>
      <c r="K13">
        <f>obs_yield_main!K13</f>
        <v>0</v>
      </c>
      <c r="L13" s="10">
        <f>obs_yield_main!L13</f>
        <v>0</v>
      </c>
    </row>
    <row r="14" spans="1:12" x14ac:dyDescent="0.35">
      <c r="A14" s="9">
        <v>2019</v>
      </c>
      <c r="B14" t="s">
        <v>9</v>
      </c>
      <c r="C14">
        <v>1</v>
      </c>
      <c r="D14">
        <v>2</v>
      </c>
      <c r="E14" t="s">
        <v>14</v>
      </c>
      <c r="F14">
        <f>obs_yield_main!F14</f>
        <v>3.94</v>
      </c>
      <c r="G14">
        <f>obs_yield_main!G14</f>
        <v>214.51</v>
      </c>
      <c r="H14">
        <f>obs_yield_main!H14</f>
        <v>1979.23</v>
      </c>
      <c r="I14">
        <f>obs_yield_main!I14</f>
        <v>5.48</v>
      </c>
      <c r="J14">
        <f>obs_yield_main!J14</f>
        <v>2308.5100000000002</v>
      </c>
      <c r="K14">
        <f>obs_yield_main!K14</f>
        <v>37.64</v>
      </c>
      <c r="L14" s="10">
        <f>obs_yield_main!L14</f>
        <v>0</v>
      </c>
    </row>
    <row r="15" spans="1:12" x14ac:dyDescent="0.35">
      <c r="A15" s="9">
        <v>2019</v>
      </c>
      <c r="B15" t="s">
        <v>9</v>
      </c>
      <c r="C15">
        <v>2</v>
      </c>
      <c r="D15">
        <v>2</v>
      </c>
      <c r="E15" t="s">
        <v>14</v>
      </c>
      <c r="F15">
        <f>obs_yield_main!F15</f>
        <v>3.85</v>
      </c>
      <c r="G15">
        <f>obs_yield_main!G15</f>
        <v>214.09</v>
      </c>
      <c r="H15">
        <f>obs_yield_main!H15</f>
        <v>1924.43</v>
      </c>
      <c r="I15">
        <f>obs_yield_main!I15</f>
        <v>6.29</v>
      </c>
      <c r="J15">
        <f>obs_yield_main!J15</f>
        <v>2653.31</v>
      </c>
      <c r="K15">
        <f>obs_yield_main!K15</f>
        <v>43.69</v>
      </c>
      <c r="L15" s="10">
        <f>obs_yield_main!L15</f>
        <v>0</v>
      </c>
    </row>
    <row r="16" spans="1:12" x14ac:dyDescent="0.35">
      <c r="A16" s="9">
        <v>2019</v>
      </c>
      <c r="B16" t="s">
        <v>11</v>
      </c>
      <c r="C16">
        <v>3</v>
      </c>
      <c r="D16">
        <v>2</v>
      </c>
      <c r="E16" t="s">
        <v>14</v>
      </c>
      <c r="F16">
        <f>obs_yield_main!F16</f>
        <v>3.64</v>
      </c>
      <c r="G16">
        <f>obs_yield_main!G16</f>
        <v>204.17</v>
      </c>
      <c r="H16">
        <f>obs_yield_main!H16</f>
        <v>1818.7</v>
      </c>
      <c r="I16">
        <f>obs_yield_main!I16</f>
        <v>4.97</v>
      </c>
      <c r="J16">
        <f>obs_yield_main!J16</f>
        <v>2119.0500000000002</v>
      </c>
      <c r="K16">
        <f>obs_yield_main!K16</f>
        <v>37.69</v>
      </c>
      <c r="L16" s="10">
        <f>obs_yield_main!L16</f>
        <v>0</v>
      </c>
    </row>
    <row r="17" spans="1:12" ht="15" thickBot="1" x14ac:dyDescent="0.4">
      <c r="A17" s="11">
        <v>2019</v>
      </c>
      <c r="B17" s="12" t="s">
        <v>11</v>
      </c>
      <c r="C17" s="12">
        <v>4</v>
      </c>
      <c r="D17" s="12">
        <v>2</v>
      </c>
      <c r="E17" s="12" t="s">
        <v>14</v>
      </c>
      <c r="F17" s="12">
        <f>obs_yield_main!F17</f>
        <v>3.88</v>
      </c>
      <c r="G17" s="12">
        <f>obs_yield_main!G17</f>
        <v>216.05</v>
      </c>
      <c r="H17" s="12">
        <f>obs_yield_main!H17</f>
        <v>1932.91</v>
      </c>
      <c r="I17" s="12">
        <f>obs_yield_main!I17</f>
        <v>6.08</v>
      </c>
      <c r="J17" s="12">
        <f>obs_yield_main!J17</f>
        <v>2588.4699999999998</v>
      </c>
      <c r="K17" s="12">
        <f>obs_yield_main!K17</f>
        <v>44.15</v>
      </c>
      <c r="L17" s="13">
        <f>obs_yield_main!L17</f>
        <v>0</v>
      </c>
    </row>
    <row r="18" spans="1:12" x14ac:dyDescent="0.35">
      <c r="A18">
        <v>2020</v>
      </c>
      <c r="B18" t="s">
        <v>9</v>
      </c>
      <c r="C18">
        <v>1</v>
      </c>
      <c r="D18">
        <v>1</v>
      </c>
      <c r="E18" t="s">
        <v>14</v>
      </c>
      <c r="F18">
        <f>obs_yield_main!F18</f>
        <v>4.67</v>
      </c>
      <c r="G18">
        <f>obs_yield_main!G18</f>
        <v>266.41000000000003</v>
      </c>
      <c r="H18">
        <f>obs_yield_main!H18</f>
        <v>2290.1999999999998</v>
      </c>
      <c r="I18">
        <f>obs_yield_main!I18</f>
        <v>5.27</v>
      </c>
      <c r="J18">
        <f>obs_yield_main!J18</f>
        <v>2176.5100000000002</v>
      </c>
      <c r="K18">
        <f>obs_yield_main!K18</f>
        <v>47.43</v>
      </c>
      <c r="L18">
        <f>obs_yield_main!L18</f>
        <v>0</v>
      </c>
    </row>
    <row r="19" spans="1:12" x14ac:dyDescent="0.35">
      <c r="A19">
        <v>2020</v>
      </c>
      <c r="B19" t="s">
        <v>9</v>
      </c>
      <c r="C19">
        <v>2</v>
      </c>
      <c r="D19">
        <v>1</v>
      </c>
      <c r="E19" t="s">
        <v>14</v>
      </c>
      <c r="F19">
        <f>obs_yield_main!F19</f>
        <v>4.58</v>
      </c>
      <c r="G19">
        <f>obs_yield_main!G19</f>
        <v>260.97000000000003</v>
      </c>
      <c r="H19">
        <f>obs_yield_main!H19</f>
        <v>2229.69</v>
      </c>
      <c r="I19">
        <f>obs_yield_main!I19</f>
        <v>5.35</v>
      </c>
      <c r="J19">
        <f>obs_yield_main!J19</f>
        <v>2209.5500000000002</v>
      </c>
      <c r="K19">
        <f>obs_yield_main!K19</f>
        <v>48.15</v>
      </c>
      <c r="L19">
        <f>obs_yield_main!L19</f>
        <v>0</v>
      </c>
    </row>
    <row r="20" spans="1:12" x14ac:dyDescent="0.35">
      <c r="A20">
        <v>2020</v>
      </c>
      <c r="B20" t="s">
        <v>11</v>
      </c>
      <c r="C20">
        <v>3</v>
      </c>
      <c r="D20">
        <v>1</v>
      </c>
      <c r="E20" t="s">
        <v>15</v>
      </c>
      <c r="F20">
        <f>obs_yield_main!F20</f>
        <v>6.73</v>
      </c>
      <c r="G20">
        <f>obs_yield_main!G20</f>
        <v>96.05</v>
      </c>
      <c r="H20">
        <f>obs_yield_main!H20</f>
        <v>2752.59</v>
      </c>
      <c r="I20">
        <f>obs_yield_main!I20</f>
        <v>6.55</v>
      </c>
      <c r="J20">
        <f>obs_yield_main!J20</f>
        <v>2888.55</v>
      </c>
      <c r="K20">
        <f>obs_yield_main!K20</f>
        <v>45.85</v>
      </c>
      <c r="L20">
        <f>obs_yield_main!L20</f>
        <v>0</v>
      </c>
    </row>
    <row r="21" spans="1:12" x14ac:dyDescent="0.35">
      <c r="A21">
        <v>2020</v>
      </c>
      <c r="B21" t="s">
        <v>11</v>
      </c>
      <c r="C21">
        <v>4</v>
      </c>
      <c r="D21">
        <v>1</v>
      </c>
      <c r="E21" t="s">
        <v>15</v>
      </c>
      <c r="F21">
        <f>obs_yield_main!F21</f>
        <v>6.31</v>
      </c>
      <c r="G21">
        <f>obs_yield_main!G21</f>
        <v>93.59</v>
      </c>
      <c r="H21">
        <f>obs_yield_main!H21</f>
        <v>2583.15</v>
      </c>
      <c r="I21">
        <f>obs_yield_main!I21</f>
        <v>6.52</v>
      </c>
      <c r="J21">
        <f>obs_yield_main!J21</f>
        <v>2855.76</v>
      </c>
      <c r="K21">
        <f>obs_yield_main!K21</f>
        <v>52.16</v>
      </c>
      <c r="L21">
        <f>obs_yield_main!L21</f>
        <v>0</v>
      </c>
    </row>
    <row r="22" spans="1:12" x14ac:dyDescent="0.35">
      <c r="A22">
        <v>2020</v>
      </c>
      <c r="B22" t="s">
        <v>11</v>
      </c>
      <c r="C22">
        <v>3</v>
      </c>
      <c r="D22">
        <v>2</v>
      </c>
      <c r="E22" t="s">
        <v>12</v>
      </c>
      <c r="F22">
        <f>obs_yield_main!F22</f>
        <v>1.81</v>
      </c>
      <c r="G22">
        <f>obs_yield_main!G22</f>
        <v>0</v>
      </c>
      <c r="H22">
        <f>obs_yield_main!H22</f>
        <v>0</v>
      </c>
      <c r="I22">
        <f>obs_yield_main!I22</f>
        <v>0</v>
      </c>
      <c r="J22">
        <f>obs_yield_main!J22</f>
        <v>0</v>
      </c>
      <c r="K22">
        <f>obs_yield_main!K22</f>
        <v>0</v>
      </c>
      <c r="L22">
        <f>obs_yield_main!L22</f>
        <v>734.12900000000002</v>
      </c>
    </row>
    <row r="23" spans="1:12" x14ac:dyDescent="0.35">
      <c r="A23">
        <v>2020</v>
      </c>
      <c r="B23" t="s">
        <v>11</v>
      </c>
      <c r="C23">
        <v>4</v>
      </c>
      <c r="D23">
        <v>2</v>
      </c>
      <c r="E23" t="s">
        <v>12</v>
      </c>
      <c r="F23">
        <f>obs_yield_main!F23</f>
        <v>2.14</v>
      </c>
      <c r="G23">
        <f>obs_yield_main!G23</f>
        <v>0</v>
      </c>
      <c r="H23">
        <f>obs_yield_main!H23</f>
        <v>0</v>
      </c>
      <c r="I23">
        <f>obs_yield_main!I23</f>
        <v>0</v>
      </c>
      <c r="J23">
        <f>obs_yield_main!J23</f>
        <v>0</v>
      </c>
      <c r="K23">
        <f>obs_yield_main!K23</f>
        <v>0</v>
      </c>
      <c r="L23">
        <f>obs_yield_main!L23</f>
        <v>870.61400000000003</v>
      </c>
    </row>
    <row r="24" spans="1:12" x14ac:dyDescent="0.35">
      <c r="A24">
        <v>2021</v>
      </c>
      <c r="B24" t="s">
        <v>9</v>
      </c>
      <c r="C24">
        <v>1</v>
      </c>
      <c r="D24">
        <v>1</v>
      </c>
      <c r="E24" t="s">
        <v>10</v>
      </c>
      <c r="F24">
        <f>obs_yield_main!F24</f>
        <v>10.83</v>
      </c>
      <c r="G24">
        <f>obs_yield_main!G24</f>
        <v>152.68770538055554</v>
      </c>
      <c r="H24">
        <f>obs_yield_main!H24</f>
        <v>5103.3060251416664</v>
      </c>
      <c r="I24">
        <f>obs_yield_main!I24</f>
        <v>5.7350287037036995</v>
      </c>
      <c r="J24">
        <f>obs_yield_main!J24</f>
        <v>2474.3739888888886</v>
      </c>
      <c r="K24">
        <f>obs_yield_main!K24</f>
        <v>45.22839046296297</v>
      </c>
      <c r="L24">
        <f>obs_yield_main!L24</f>
        <v>0</v>
      </c>
    </row>
    <row r="25" spans="1:12" x14ac:dyDescent="0.35">
      <c r="A25">
        <v>2021</v>
      </c>
      <c r="B25" t="s">
        <v>9</v>
      </c>
      <c r="C25">
        <v>2</v>
      </c>
      <c r="D25">
        <v>1</v>
      </c>
      <c r="E25" t="s">
        <v>10</v>
      </c>
      <c r="F25">
        <f>obs_yield_main!F25</f>
        <v>10.96</v>
      </c>
      <c r="G25">
        <f>obs_yield_main!G25</f>
        <v>157.24331007777778</v>
      </c>
      <c r="H25">
        <f>obs_yield_main!H25</f>
        <v>5108.9298811305553</v>
      </c>
      <c r="I25">
        <f>obs_yield_main!I25</f>
        <v>5.8830379629629599</v>
      </c>
      <c r="J25">
        <f>obs_yield_main!J25</f>
        <v>2563.1370604629628</v>
      </c>
      <c r="K25">
        <f>obs_yield_main!K25</f>
        <v>39.32269324074074</v>
      </c>
      <c r="L25">
        <f>obs_yield_main!L25</f>
        <v>0</v>
      </c>
    </row>
    <row r="26" spans="1:12" x14ac:dyDescent="0.35">
      <c r="A26">
        <v>2021</v>
      </c>
      <c r="B26" t="s">
        <v>11</v>
      </c>
      <c r="C26">
        <v>3</v>
      </c>
      <c r="D26">
        <v>1</v>
      </c>
      <c r="E26" t="s">
        <v>12</v>
      </c>
      <c r="F26">
        <f>obs_yield_main!F26</f>
        <v>2.71</v>
      </c>
      <c r="G26">
        <f>obs_yield_main!G26</f>
        <v>0</v>
      </c>
      <c r="H26">
        <f>obs_yield_main!H26</f>
        <v>0</v>
      </c>
      <c r="I26">
        <f>obs_yield_main!I26</f>
        <v>0</v>
      </c>
      <c r="J26">
        <f>obs_yield_main!J26</f>
        <v>0</v>
      </c>
      <c r="K26">
        <f>obs_yield_main!K26</f>
        <v>0</v>
      </c>
      <c r="L26">
        <f>obs_yield_main!L26</f>
        <v>1099.321488888889</v>
      </c>
    </row>
    <row r="27" spans="1:12" x14ac:dyDescent="0.35">
      <c r="A27">
        <v>2021</v>
      </c>
      <c r="B27" t="s">
        <v>11</v>
      </c>
      <c r="C27">
        <v>4</v>
      </c>
      <c r="D27">
        <v>1</v>
      </c>
      <c r="E27" t="s">
        <v>12</v>
      </c>
      <c r="F27">
        <f>obs_yield_main!F27</f>
        <v>2.71</v>
      </c>
      <c r="G27">
        <f>obs_yield_main!G27</f>
        <v>0</v>
      </c>
      <c r="H27">
        <f>obs_yield_main!H27</f>
        <v>0</v>
      </c>
      <c r="I27">
        <f>obs_yield_main!I27</f>
        <v>0</v>
      </c>
      <c r="J27">
        <f>obs_yield_main!J27</f>
        <v>0</v>
      </c>
      <c r="K27">
        <f>obs_yield_main!K27</f>
        <v>0</v>
      </c>
      <c r="L27">
        <f>obs_yield_main!L27</f>
        <v>1099.321488888889</v>
      </c>
    </row>
    <row r="28" spans="1:12" x14ac:dyDescent="0.35">
      <c r="A28">
        <v>2021</v>
      </c>
      <c r="B28" t="s">
        <v>11</v>
      </c>
      <c r="C28">
        <v>3</v>
      </c>
      <c r="D28">
        <v>2</v>
      </c>
      <c r="E28" t="s">
        <v>10</v>
      </c>
      <c r="F28">
        <f>obs_yield_main!F28</f>
        <v>10.45</v>
      </c>
      <c r="G28">
        <f>obs_yield_main!G28</f>
        <v>141.04981105277778</v>
      </c>
      <c r="H28">
        <f>obs_yield_main!H28</f>
        <v>4889.8360072666655</v>
      </c>
      <c r="I28">
        <f>obs_yield_main!I28</f>
        <v>5.8930898148148101</v>
      </c>
      <c r="J28">
        <f>obs_yield_main!J28</f>
        <v>2560.1527572222212</v>
      </c>
      <c r="K28">
        <f>obs_yield_main!K28</f>
        <v>45.474479814814813</v>
      </c>
      <c r="L28">
        <f>obs_yield_main!L28</f>
        <v>0</v>
      </c>
    </row>
    <row r="29" spans="1:12" x14ac:dyDescent="0.35">
      <c r="A29">
        <v>2021</v>
      </c>
      <c r="B29" t="s">
        <v>11</v>
      </c>
      <c r="C29">
        <v>4</v>
      </c>
      <c r="D29">
        <v>2</v>
      </c>
      <c r="E29" t="s">
        <v>10</v>
      </c>
      <c r="F29">
        <f>obs_yield_main!F29</f>
        <v>11.07</v>
      </c>
      <c r="G29">
        <f>obs_yield_main!G29</f>
        <v>154.56994558333332</v>
      </c>
      <c r="H29">
        <f>obs_yield_main!H29</f>
        <v>5182.0500050416667</v>
      </c>
      <c r="I29">
        <f>obs_yield_main!I29</f>
        <v>5.9677333333333298</v>
      </c>
      <c r="J29">
        <f>obs_yield_main!J29</f>
        <v>2590.8898848148151</v>
      </c>
      <c r="K29">
        <f>obs_yield_main!K29</f>
        <v>41.042548055555542</v>
      </c>
      <c r="L29">
        <f>obs_yield_main!L29</f>
        <v>0</v>
      </c>
    </row>
    <row r="30" spans="1:12" x14ac:dyDescent="0.35">
      <c r="A30">
        <v>2021</v>
      </c>
      <c r="B30" t="s">
        <v>11</v>
      </c>
      <c r="C30">
        <v>3</v>
      </c>
      <c r="D30">
        <v>3</v>
      </c>
      <c r="E30" t="s">
        <v>12</v>
      </c>
      <c r="F30">
        <f>obs_yield_main!F30</f>
        <v>0.23300000000000001</v>
      </c>
      <c r="G30">
        <f>obs_yield_main!G30</f>
        <v>0</v>
      </c>
      <c r="H30">
        <f>obs_yield_main!H30</f>
        <v>0</v>
      </c>
      <c r="I30">
        <f>obs_yield_main!I30</f>
        <v>0</v>
      </c>
      <c r="J30">
        <f>obs_yield_main!J30</f>
        <v>0</v>
      </c>
      <c r="K30">
        <f>obs_yield_main!K30</f>
        <v>0</v>
      </c>
      <c r="L30">
        <f>obs_yield_main!L30</f>
        <v>81.55</v>
      </c>
    </row>
    <row r="31" spans="1:12" x14ac:dyDescent="0.35">
      <c r="A31">
        <v>2021</v>
      </c>
      <c r="B31" t="s">
        <v>11</v>
      </c>
      <c r="C31">
        <v>4</v>
      </c>
      <c r="D31">
        <v>3</v>
      </c>
      <c r="E31" t="s">
        <v>12</v>
      </c>
      <c r="F31">
        <f>obs_yield_main!F31</f>
        <v>0.26400000000000001</v>
      </c>
      <c r="G31">
        <f>obs_yield_main!G31</f>
        <v>0</v>
      </c>
      <c r="H31">
        <f>obs_yield_main!H31</f>
        <v>0</v>
      </c>
      <c r="I31">
        <f>obs_yield_main!I31</f>
        <v>0</v>
      </c>
      <c r="J31">
        <f>obs_yield_main!J31</f>
        <v>0</v>
      </c>
      <c r="K31">
        <f>obs_yield_main!K31</f>
        <v>0</v>
      </c>
      <c r="L31">
        <f>obs_yield_main!L31</f>
        <v>95.304000000000002</v>
      </c>
    </row>
    <row r="32" spans="1:12" x14ac:dyDescent="0.35">
      <c r="A32">
        <v>2021</v>
      </c>
      <c r="B32" t="s">
        <v>11</v>
      </c>
      <c r="C32">
        <v>3</v>
      </c>
      <c r="D32">
        <v>4</v>
      </c>
      <c r="E32" t="s">
        <v>12</v>
      </c>
      <c r="F32">
        <f>obs_yield_main!F32</f>
        <v>8.9999999999999993E-3</v>
      </c>
      <c r="G32">
        <f>obs_yield_main!G32</f>
        <v>0</v>
      </c>
      <c r="H32">
        <f>obs_yield_main!H32</f>
        <v>0</v>
      </c>
      <c r="I32">
        <f>obs_yield_main!I32</f>
        <v>0</v>
      </c>
      <c r="J32">
        <f>obs_yield_main!J32</f>
        <v>0</v>
      </c>
      <c r="K32">
        <f>obs_yield_main!K32</f>
        <v>0</v>
      </c>
      <c r="L32">
        <f>obs_yield_main!L32</f>
        <v>3.4019999999999997</v>
      </c>
    </row>
    <row r="33" spans="1:13" ht="15" thickBot="1" x14ac:dyDescent="0.4">
      <c r="A33">
        <v>2021</v>
      </c>
      <c r="B33" t="s">
        <v>11</v>
      </c>
      <c r="C33">
        <v>4</v>
      </c>
      <c r="D33">
        <v>4</v>
      </c>
      <c r="E33" t="s">
        <v>12</v>
      </c>
      <c r="F33">
        <f>obs_yield_main!F33</f>
        <v>2.9000000000000001E-2</v>
      </c>
      <c r="G33">
        <f>obs_yield_main!G33</f>
        <v>0</v>
      </c>
      <c r="H33">
        <f>obs_yield_main!H33</f>
        <v>0</v>
      </c>
      <c r="I33">
        <f>obs_yield_main!I33</f>
        <v>0</v>
      </c>
      <c r="J33">
        <f>obs_yield_main!J33</f>
        <v>0</v>
      </c>
      <c r="K33">
        <f>obs_yield_main!K33</f>
        <v>0</v>
      </c>
      <c r="L33">
        <f>obs_yield_main!L33</f>
        <v>9.7875000000000014</v>
      </c>
    </row>
    <row r="34" spans="1:13" ht="15" thickBot="1" x14ac:dyDescent="0.4">
      <c r="A34" s="6">
        <v>2022</v>
      </c>
      <c r="B34" s="7" t="s">
        <v>11</v>
      </c>
      <c r="C34" s="7">
        <v>3</v>
      </c>
      <c r="D34" s="7">
        <v>1</v>
      </c>
      <c r="E34" s="7" t="s">
        <v>12</v>
      </c>
      <c r="F34" s="7" t="s">
        <v>13</v>
      </c>
      <c r="G34" s="7"/>
      <c r="H34" s="7"/>
      <c r="I34" s="7"/>
      <c r="J34" s="7"/>
      <c r="K34" s="7"/>
      <c r="L34" s="8"/>
      <c r="M34" t="s">
        <v>30</v>
      </c>
    </row>
    <row r="35" spans="1:13" ht="15" thickBot="1" x14ac:dyDescent="0.4">
      <c r="A35" s="6">
        <v>2022</v>
      </c>
      <c r="B35" t="s">
        <v>11</v>
      </c>
      <c r="C35">
        <v>4</v>
      </c>
      <c r="D35">
        <v>1</v>
      </c>
      <c r="E35" t="s">
        <v>12</v>
      </c>
      <c r="F35" t="s">
        <v>13</v>
      </c>
      <c r="L35" s="10"/>
    </row>
    <row r="36" spans="1:13" ht="15" thickBot="1" x14ac:dyDescent="0.4">
      <c r="A36" s="6">
        <v>2022</v>
      </c>
      <c r="B36" t="s">
        <v>11</v>
      </c>
      <c r="C36">
        <v>3</v>
      </c>
      <c r="D36">
        <v>2</v>
      </c>
      <c r="E36" t="s">
        <v>12</v>
      </c>
      <c r="F36" t="s">
        <v>13</v>
      </c>
      <c r="L36" s="10"/>
    </row>
    <row r="37" spans="1:13" ht="15" thickBot="1" x14ac:dyDescent="0.4">
      <c r="A37" s="6">
        <v>2022</v>
      </c>
      <c r="B37" t="s">
        <v>11</v>
      </c>
      <c r="C37">
        <v>4</v>
      </c>
      <c r="D37">
        <v>2</v>
      </c>
      <c r="E37" t="s">
        <v>12</v>
      </c>
      <c r="F37" t="s">
        <v>13</v>
      </c>
      <c r="L37" s="10"/>
    </row>
    <row r="38" spans="1:13" x14ac:dyDescent="0.35">
      <c r="A38" s="6">
        <v>2022</v>
      </c>
      <c r="B38" s="7" t="s">
        <v>9</v>
      </c>
      <c r="C38" s="7">
        <v>1</v>
      </c>
      <c r="D38" s="7">
        <v>2</v>
      </c>
      <c r="E38" s="7" t="s">
        <v>14</v>
      </c>
      <c r="F38" s="7">
        <f>obs_yield_main!F34</f>
        <v>4.0229999999999997</v>
      </c>
      <c r="G38" s="7">
        <f>obs_yield_main!G34</f>
        <v>0</v>
      </c>
      <c r="H38" s="7">
        <f>obs_yield_main!H34</f>
        <v>0</v>
      </c>
      <c r="I38" s="7">
        <f>obs_yield_main!I34</f>
        <v>5.655106</v>
      </c>
      <c r="J38" s="7">
        <f>obs_yield_main!J34</f>
        <v>0</v>
      </c>
      <c r="K38" s="7">
        <f>obs_yield_main!K34</f>
        <v>0</v>
      </c>
      <c r="L38" s="8">
        <f>obs_yield_main!L34</f>
        <v>0</v>
      </c>
    </row>
    <row r="39" spans="1:13" x14ac:dyDescent="0.35">
      <c r="A39" s="9">
        <v>2022</v>
      </c>
      <c r="B39" t="s">
        <v>9</v>
      </c>
      <c r="C39">
        <v>2</v>
      </c>
      <c r="D39">
        <v>2</v>
      </c>
      <c r="E39" t="s">
        <v>14</v>
      </c>
      <c r="F39">
        <f>obs_yield_main!F35</f>
        <v>4.319</v>
      </c>
      <c r="G39">
        <f>obs_yield_main!G35</f>
        <v>0</v>
      </c>
      <c r="H39">
        <f>obs_yield_main!H35</f>
        <v>0</v>
      </c>
      <c r="I39">
        <f>obs_yield_main!I35</f>
        <v>5.2779309999999997</v>
      </c>
      <c r="J39">
        <f>obs_yield_main!J35</f>
        <v>0</v>
      </c>
      <c r="K39">
        <f>obs_yield_main!K35</f>
        <v>0</v>
      </c>
      <c r="L39" s="10">
        <f>obs_yield_main!L35</f>
        <v>0</v>
      </c>
    </row>
    <row r="40" spans="1:13" x14ac:dyDescent="0.35">
      <c r="A40" s="9">
        <v>2022</v>
      </c>
      <c r="B40" t="s">
        <v>11</v>
      </c>
      <c r="C40">
        <v>3</v>
      </c>
      <c r="D40">
        <v>2</v>
      </c>
      <c r="E40" t="s">
        <v>14</v>
      </c>
      <c r="F40">
        <f>obs_yield_main!F36</f>
        <v>4.1900000000000004</v>
      </c>
      <c r="G40">
        <f>obs_yield_main!G36</f>
        <v>0</v>
      </c>
      <c r="H40">
        <f>obs_yield_main!H36</f>
        <v>0</v>
      </c>
      <c r="I40">
        <f>obs_yield_main!I36</f>
        <v>5.5858270000000001</v>
      </c>
      <c r="J40">
        <f>obs_yield_main!J36</f>
        <v>0</v>
      </c>
      <c r="K40">
        <f>obs_yield_main!K36</f>
        <v>0</v>
      </c>
      <c r="L40" s="10">
        <f>obs_yield_main!L36</f>
        <v>0</v>
      </c>
    </row>
    <row r="41" spans="1:13" ht="15" thickBot="1" x14ac:dyDescent="0.4">
      <c r="A41" s="11">
        <v>2022</v>
      </c>
      <c r="B41" s="12" t="s">
        <v>11</v>
      </c>
      <c r="C41" s="12">
        <v>4</v>
      </c>
      <c r="D41" s="12">
        <v>2</v>
      </c>
      <c r="E41" s="12" t="s">
        <v>14</v>
      </c>
      <c r="F41" s="12">
        <f>obs_yield_main!F37</f>
        <v>4.4829999999999997</v>
      </c>
      <c r="G41" s="12">
        <f>obs_yield_main!G37</f>
        <v>0</v>
      </c>
      <c r="H41" s="12">
        <f>obs_yield_main!H37</f>
        <v>0</v>
      </c>
      <c r="I41" s="12">
        <f>obs_yield_main!I37</f>
        <v>5.8042619999999996</v>
      </c>
      <c r="J41" s="12">
        <f>obs_yield_main!J37</f>
        <v>0</v>
      </c>
      <c r="K41" s="12">
        <f>obs_yield_main!K37</f>
        <v>0</v>
      </c>
      <c r="L41" s="13">
        <f>obs_yield_main!L37</f>
        <v>0</v>
      </c>
    </row>
    <row r="42" spans="1:13" x14ac:dyDescent="0.35">
      <c r="A42">
        <v>2023</v>
      </c>
      <c r="B42" t="s">
        <v>9</v>
      </c>
      <c r="C42">
        <v>1</v>
      </c>
      <c r="D42">
        <v>1</v>
      </c>
      <c r="E42" t="s">
        <v>14</v>
      </c>
      <c r="F42">
        <f>obs_yield_main!F38</f>
        <v>3.6850000000000001</v>
      </c>
      <c r="G42">
        <f>obs_yield_main!G38</f>
        <v>0</v>
      </c>
      <c r="H42">
        <f>obs_yield_main!H38</f>
        <v>0</v>
      </c>
      <c r="I42">
        <f>obs_yield_main!I38</f>
        <v>0</v>
      </c>
      <c r="J42">
        <f>obs_yield_main!J38</f>
        <v>0</v>
      </c>
      <c r="K42">
        <f>obs_yield_main!K38</f>
        <v>0</v>
      </c>
      <c r="L42">
        <f>obs_yield_main!L38</f>
        <v>0</v>
      </c>
    </row>
    <row r="43" spans="1:13" x14ac:dyDescent="0.35">
      <c r="A43">
        <v>2023</v>
      </c>
      <c r="B43" t="s">
        <v>9</v>
      </c>
      <c r="C43">
        <v>2</v>
      </c>
      <c r="D43">
        <v>1</v>
      </c>
      <c r="E43" t="s">
        <v>14</v>
      </c>
      <c r="F43">
        <f>obs_yield_main!F39</f>
        <v>3.77</v>
      </c>
      <c r="G43">
        <f>obs_yield_main!G39</f>
        <v>0</v>
      </c>
      <c r="H43">
        <f>obs_yield_main!H39</f>
        <v>0</v>
      </c>
      <c r="I43">
        <f>obs_yield_main!I39</f>
        <v>0</v>
      </c>
      <c r="J43">
        <f>obs_yield_main!J39</f>
        <v>0</v>
      </c>
      <c r="K43">
        <f>obs_yield_main!K39</f>
        <v>0</v>
      </c>
      <c r="L43">
        <f>obs_yield_main!L39</f>
        <v>0</v>
      </c>
    </row>
    <row r="44" spans="1:13" x14ac:dyDescent="0.35">
      <c r="A44">
        <v>2023</v>
      </c>
      <c r="B44" t="s">
        <v>11</v>
      </c>
      <c r="C44">
        <v>3</v>
      </c>
      <c r="D44">
        <v>1</v>
      </c>
      <c r="E44" t="s">
        <v>15</v>
      </c>
      <c r="F44">
        <f>obs_yield_main!F40</f>
        <v>4.8209999999999997</v>
      </c>
      <c r="G44">
        <f>obs_yield_main!G40</f>
        <v>0</v>
      </c>
      <c r="H44">
        <f>obs_yield_main!H40</f>
        <v>0</v>
      </c>
      <c r="I44">
        <f>obs_yield_main!I40</f>
        <v>0</v>
      </c>
      <c r="J44">
        <f>obs_yield_main!J40</f>
        <v>0</v>
      </c>
      <c r="K44">
        <f>obs_yield_main!K40</f>
        <v>0</v>
      </c>
      <c r="L44">
        <f>obs_yield_main!L40</f>
        <v>0</v>
      </c>
    </row>
    <row r="45" spans="1:13" x14ac:dyDescent="0.35">
      <c r="A45">
        <v>2023</v>
      </c>
      <c r="B45" t="s">
        <v>11</v>
      </c>
      <c r="C45">
        <v>4</v>
      </c>
      <c r="D45">
        <v>1</v>
      </c>
      <c r="E45" t="s">
        <v>15</v>
      </c>
      <c r="F45">
        <f>obs_yield_main!F41</f>
        <v>5.16</v>
      </c>
      <c r="G45">
        <f>obs_yield_main!G41</f>
        <v>0</v>
      </c>
      <c r="H45">
        <f>obs_yield_main!H41</f>
        <v>0</v>
      </c>
      <c r="I45">
        <f>obs_yield_main!I41</f>
        <v>0</v>
      </c>
      <c r="J45">
        <f>obs_yield_main!J41</f>
        <v>0</v>
      </c>
      <c r="K45">
        <f>obs_yield_main!K41</f>
        <v>0</v>
      </c>
      <c r="L45">
        <f>obs_yield_main!L41</f>
        <v>0</v>
      </c>
    </row>
    <row r="46" spans="1:13" x14ac:dyDescent="0.35">
      <c r="A46">
        <v>2023</v>
      </c>
      <c r="B46" t="s">
        <v>11</v>
      </c>
      <c r="C46">
        <v>3</v>
      </c>
      <c r="D46">
        <v>2</v>
      </c>
      <c r="E46" t="s">
        <v>12</v>
      </c>
      <c r="F46">
        <f>obs_yield_main!F42</f>
        <v>0.67200000000000004</v>
      </c>
      <c r="G46">
        <f>obs_yield_main!G42</f>
        <v>0</v>
      </c>
      <c r="H46">
        <f>obs_yield_main!H42</f>
        <v>0</v>
      </c>
      <c r="I46">
        <f>obs_yield_main!I42</f>
        <v>0</v>
      </c>
      <c r="J46">
        <f>obs_yield_main!J42</f>
        <v>0</v>
      </c>
      <c r="K46">
        <f>obs_yield_main!K42</f>
        <v>0</v>
      </c>
      <c r="L46">
        <f>obs_yield_main!L42</f>
        <v>0</v>
      </c>
    </row>
    <row r="47" spans="1:13" x14ac:dyDescent="0.35">
      <c r="A47">
        <v>2023</v>
      </c>
      <c r="B47" t="s">
        <v>11</v>
      </c>
      <c r="C47">
        <v>4</v>
      </c>
      <c r="D47">
        <v>2</v>
      </c>
      <c r="E47" t="s">
        <v>12</v>
      </c>
      <c r="F47">
        <f>obs_yield_main!F43</f>
        <v>0.69099999999999995</v>
      </c>
      <c r="G47">
        <f>obs_yield_main!G43</f>
        <v>0</v>
      </c>
      <c r="H47">
        <f>obs_yield_main!H43</f>
        <v>0</v>
      </c>
      <c r="I47">
        <f>obs_yield_main!I43</f>
        <v>0</v>
      </c>
      <c r="J47">
        <f>obs_yield_main!J43</f>
        <v>0</v>
      </c>
      <c r="K47">
        <f>obs_yield_main!K43</f>
        <v>0</v>
      </c>
      <c r="L47">
        <f>obs_yield_main!L43</f>
        <v>0</v>
      </c>
    </row>
    <row r="48" spans="1:13" x14ac:dyDescent="0.35">
      <c r="A48">
        <v>2024</v>
      </c>
      <c r="B48" t="s">
        <v>11</v>
      </c>
      <c r="C48">
        <v>3</v>
      </c>
      <c r="D48">
        <v>1</v>
      </c>
      <c r="E48" t="s">
        <v>12</v>
      </c>
      <c r="F48">
        <f>obs_yield_main!F44</f>
        <v>1.0569329999999999</v>
      </c>
      <c r="G48">
        <f>obs_yield_main!G44</f>
        <v>0</v>
      </c>
      <c r="H48">
        <f>obs_yield_main!H44</f>
        <v>0</v>
      </c>
      <c r="I48">
        <f>obs_yield_main!I44</f>
        <v>0</v>
      </c>
      <c r="J48">
        <f>obs_yield_main!J44</f>
        <v>0</v>
      </c>
      <c r="K48">
        <f>obs_yield_main!K44</f>
        <v>0</v>
      </c>
      <c r="L48">
        <f>obs_yield_main!L44</f>
        <v>0</v>
      </c>
    </row>
    <row r="49" spans="1:12" x14ac:dyDescent="0.35">
      <c r="A49">
        <v>2024</v>
      </c>
      <c r="B49" t="s">
        <v>11</v>
      </c>
      <c r="C49">
        <v>4</v>
      </c>
      <c r="D49">
        <v>1</v>
      </c>
      <c r="E49" t="s">
        <v>12</v>
      </c>
      <c r="F49">
        <f>obs_yield_main!F45</f>
        <v>1.0249330000000001</v>
      </c>
      <c r="G49">
        <f>obs_yield_main!G45</f>
        <v>0</v>
      </c>
      <c r="H49">
        <f>obs_yield_main!H45</f>
        <v>0</v>
      </c>
      <c r="I49">
        <f>obs_yield_main!I45</f>
        <v>0</v>
      </c>
      <c r="J49">
        <f>obs_yield_main!J45</f>
        <v>0</v>
      </c>
      <c r="K49">
        <f>obs_yield_main!K45</f>
        <v>0</v>
      </c>
      <c r="L49">
        <f>obs_yield_main!L45</f>
        <v>0</v>
      </c>
    </row>
  </sheetData>
  <conditionalFormatting sqref="U2:Z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be62a12b-2cad-49a1-a5fa-85f4f3156a7d}" enabled="0" method="" siteId="{be62a12b-2cad-49a1-a5fa-85f4f3156a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obs_yield_main</vt:lpstr>
      <vt:lpstr>obs_yield_cc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Olivo</dc:creator>
  <cp:lastModifiedBy>Agustin Olivo</cp:lastModifiedBy>
  <dcterms:created xsi:type="dcterms:W3CDTF">2024-11-01T14:49:25Z</dcterms:created>
  <dcterms:modified xsi:type="dcterms:W3CDTF">2025-02-14T14:45:28Z</dcterms:modified>
</cp:coreProperties>
</file>