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2020/"/>
    </mc:Choice>
  </mc:AlternateContent>
  <xr:revisionPtr revIDLastSave="116" documentId="13_ncr:1_{83672DCA-CF76-4322-A729-D20CB53004F6}" xr6:coauthVersionLast="47" xr6:coauthVersionMax="47" xr10:uidLastSave="{84E8EEFE-9539-48F5-84C6-746FEF569606}"/>
  <bookViews>
    <workbookView xWindow="28680" yWindow="-120" windowWidth="29040" windowHeight="15720" activeTab="1" xr2:uid="{00000000-000D-0000-FFFF-FFFF00000000}"/>
  </bookViews>
  <sheets>
    <sheet name="SOY" sheetId="1" r:id="rId1"/>
    <sheet name="Winter wheat" sheetId="3" r:id="rId2"/>
    <sheet name="Covercr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3" l="1"/>
  <c r="Y14" i="3"/>
  <c r="Y5" i="3"/>
  <c r="O4" i="3"/>
  <c r="N4" i="3"/>
  <c r="M4" i="3"/>
  <c r="L4" i="3"/>
  <c r="J4" i="3"/>
  <c r="I4" i="3"/>
  <c r="H4" i="3"/>
  <c r="G4" i="3"/>
  <c r="AA5" i="3"/>
  <c r="S59" i="2"/>
  <c r="S45" i="2"/>
  <c r="J45" i="2" s="1"/>
  <c r="L30" i="2"/>
  <c r="L29" i="2"/>
  <c r="L14" i="2"/>
  <c r="L27" i="2"/>
  <c r="L20" i="2"/>
  <c r="L21" i="2"/>
  <c r="L22" i="2"/>
  <c r="L23" i="2"/>
  <c r="L24" i="2"/>
  <c r="L25" i="2"/>
  <c r="L26" i="2"/>
  <c r="L28" i="2"/>
  <c r="L5" i="2"/>
  <c r="I5" i="2"/>
  <c r="R14" i="2"/>
  <c r="J5" i="2"/>
  <c r="K5" i="2"/>
  <c r="G26" i="2"/>
  <c r="N29" i="1"/>
  <c r="N15" i="1"/>
  <c r="N4" i="1"/>
  <c r="V13" i="1"/>
  <c r="V5" i="1"/>
  <c r="T5" i="1"/>
  <c r="U5" i="1"/>
  <c r="Z5" i="3"/>
  <c r="U14" i="3"/>
  <c r="N13" i="3"/>
  <c r="Y23" i="3"/>
  <c r="H5" i="3"/>
  <c r="U19" i="3"/>
  <c r="U28" i="3"/>
  <c r="U29" i="3"/>
  <c r="U15" i="3"/>
  <c r="Z23" i="3"/>
  <c r="Z24" i="3"/>
  <c r="Z25" i="3"/>
  <c r="Y24" i="3"/>
  <c r="Z15" i="3"/>
  <c r="Z16" i="3"/>
  <c r="Z17" i="3"/>
  <c r="Z18" i="3"/>
  <c r="Z19" i="3"/>
  <c r="Z20" i="3"/>
  <c r="Z21" i="3"/>
  <c r="Z22" i="3"/>
  <c r="Z14" i="3"/>
  <c r="Z6" i="3"/>
  <c r="Z7" i="3"/>
  <c r="Z8" i="3"/>
  <c r="Z9" i="3"/>
  <c r="Z10" i="3"/>
  <c r="Z11" i="3"/>
  <c r="Z12" i="3"/>
  <c r="Z13" i="3"/>
  <c r="M13" i="1"/>
  <c r="N13" i="1"/>
  <c r="M14" i="1"/>
  <c r="N14" i="1"/>
  <c r="L27" i="1"/>
  <c r="M27" i="1"/>
  <c r="N27" i="1"/>
  <c r="L28" i="1"/>
  <c r="M28" i="1"/>
  <c r="N28" i="1"/>
  <c r="L13" i="1"/>
  <c r="L14" i="1"/>
  <c r="Q19" i="1"/>
  <c r="Q21" i="1"/>
  <c r="T17" i="1" s="1"/>
  <c r="U17" i="1" s="1"/>
  <c r="Q23" i="1"/>
  <c r="Q25" i="1"/>
  <c r="Q6" i="1"/>
  <c r="Q8" i="1"/>
  <c r="Q10" i="1"/>
  <c r="Q12" i="1"/>
  <c r="T13" i="1" s="1"/>
  <c r="U13" i="1" s="1"/>
  <c r="T7" i="1"/>
  <c r="U7" i="1" s="1"/>
  <c r="T9" i="1"/>
  <c r="U9" i="1" s="1"/>
  <c r="T11" i="1"/>
  <c r="U11" i="1" s="1"/>
  <c r="T15" i="1"/>
  <c r="U15" i="1" s="1"/>
  <c r="T19" i="1"/>
  <c r="U19" i="1" s="1"/>
  <c r="T21" i="1"/>
  <c r="U21" i="1" s="1"/>
  <c r="L4" i="1"/>
  <c r="Q4" i="1" s="1"/>
  <c r="I14" i="2"/>
  <c r="K14" i="2"/>
  <c r="I6" i="2"/>
  <c r="F45" i="2"/>
  <c r="F46" i="2"/>
  <c r="D36" i="2"/>
  <c r="Q59" i="2"/>
  <c r="Y40" i="2"/>
  <c r="G36" i="2"/>
  <c r="H36" i="2"/>
  <c r="H59" i="2"/>
  <c r="H60" i="2"/>
  <c r="H52" i="2"/>
  <c r="H53" i="2"/>
  <c r="H51" i="2"/>
  <c r="H50" i="2"/>
  <c r="L26" i="1"/>
  <c r="Q26" i="1" s="1"/>
  <c r="L25" i="1"/>
  <c r="M25" i="1" s="1"/>
  <c r="L24" i="1"/>
  <c r="Q24" i="1" s="1"/>
  <c r="T20" i="1" s="1"/>
  <c r="U20" i="1" s="1"/>
  <c r="L23" i="1"/>
  <c r="M23" i="1" s="1"/>
  <c r="L22" i="1"/>
  <c r="Q22" i="1" s="1"/>
  <c r="T18" i="1" s="1"/>
  <c r="U18" i="1" s="1"/>
  <c r="L21" i="1"/>
  <c r="M21" i="1" s="1"/>
  <c r="L20" i="1"/>
  <c r="Q20" i="1" s="1"/>
  <c r="L19" i="1"/>
  <c r="M19" i="1" s="1"/>
  <c r="L18" i="1"/>
  <c r="Q18" i="1" s="1"/>
  <c r="T14" i="1" s="1"/>
  <c r="U14" i="1" s="1"/>
  <c r="L12" i="1"/>
  <c r="M12" i="1" s="1"/>
  <c r="L11" i="1"/>
  <c r="Q11" i="1" s="1"/>
  <c r="T12" i="1" s="1"/>
  <c r="U12" i="1" s="1"/>
  <c r="L10" i="1"/>
  <c r="M10" i="1" s="1"/>
  <c r="L9" i="1"/>
  <c r="Q9" i="1" s="1"/>
  <c r="T10" i="1" s="1"/>
  <c r="U10" i="1" s="1"/>
  <c r="L8" i="1"/>
  <c r="M8" i="1" s="1"/>
  <c r="L7" i="1"/>
  <c r="Q7" i="1" s="1"/>
  <c r="T8" i="1" s="1"/>
  <c r="U8" i="1" s="1"/>
  <c r="L6" i="1"/>
  <c r="M6" i="1" s="1"/>
  <c r="L5" i="1"/>
  <c r="Q5" i="1" s="1"/>
  <c r="T6" i="1" s="1"/>
  <c r="U6" i="1" s="1"/>
  <c r="L26" i="3"/>
  <c r="M26" i="3" s="1"/>
  <c r="L18" i="3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Y13" i="3" l="1"/>
  <c r="Y11" i="3"/>
  <c r="Y9" i="3"/>
  <c r="Y7" i="3"/>
  <c r="Y21" i="3"/>
  <c r="Y19" i="3"/>
  <c r="Y17" i="3"/>
  <c r="Y15" i="3"/>
  <c r="Y12" i="3"/>
  <c r="Y10" i="3"/>
  <c r="Y8" i="3"/>
  <c r="Y6" i="3"/>
  <c r="Y25" i="3" s="1"/>
  <c r="Y22" i="3"/>
  <c r="Y20" i="3"/>
  <c r="Y18" i="3"/>
  <c r="Y16" i="3"/>
  <c r="L13" i="3"/>
  <c r="L28" i="3"/>
  <c r="M18" i="3"/>
  <c r="L14" i="3"/>
  <c r="L27" i="3"/>
  <c r="Q28" i="1"/>
  <c r="T16" i="1"/>
  <c r="U16" i="1" s="1"/>
  <c r="Q14" i="1"/>
  <c r="Q13" i="1"/>
  <c r="M11" i="1"/>
  <c r="M9" i="1"/>
  <c r="M7" i="1"/>
  <c r="M5" i="1"/>
  <c r="M26" i="1"/>
  <c r="M24" i="1"/>
  <c r="M22" i="1"/>
  <c r="M20" i="1"/>
  <c r="M18" i="1"/>
  <c r="M4" i="1"/>
  <c r="Q27" i="1"/>
  <c r="T22" i="1"/>
  <c r="Q51" i="2"/>
  <c r="S51" i="2" s="1"/>
  <c r="Q52" i="2"/>
  <c r="S52" i="2" s="1"/>
  <c r="Q53" i="2"/>
  <c r="S53" i="2" s="1"/>
  <c r="Q54" i="2"/>
  <c r="S54" i="2" s="1"/>
  <c r="Q55" i="2"/>
  <c r="S55" i="2" s="1"/>
  <c r="Q56" i="2"/>
  <c r="S56" i="2" s="1"/>
  <c r="Q57" i="2"/>
  <c r="S57" i="2" s="1"/>
  <c r="Q58" i="2"/>
  <c r="S58" i="2" s="1"/>
  <c r="Q50" i="2"/>
  <c r="S50" i="2" s="1"/>
  <c r="O51" i="2"/>
  <c r="R51" i="2" s="1"/>
  <c r="O52" i="2"/>
  <c r="R52" i="2" s="1"/>
  <c r="O53" i="2"/>
  <c r="R53" i="2" s="1"/>
  <c r="O54" i="2"/>
  <c r="R54" i="2" s="1"/>
  <c r="O55" i="2"/>
  <c r="R55" i="2" s="1"/>
  <c r="O56" i="2"/>
  <c r="R56" i="2" s="1"/>
  <c r="O57" i="2"/>
  <c r="R57" i="2" s="1"/>
  <c r="O58" i="2"/>
  <c r="R58" i="2" s="1"/>
  <c r="O50" i="2"/>
  <c r="T50" i="2" s="1"/>
  <c r="Q37" i="2"/>
  <c r="S37" i="2" s="1"/>
  <c r="Q38" i="2"/>
  <c r="Q39" i="2"/>
  <c r="S39" i="2" s="1"/>
  <c r="Q40" i="2"/>
  <c r="Q41" i="2"/>
  <c r="S41" i="2" s="1"/>
  <c r="Q42" i="2"/>
  <c r="Q43" i="2"/>
  <c r="S43" i="2" s="1"/>
  <c r="Q44" i="2"/>
  <c r="Q36" i="2"/>
  <c r="S36" i="2" s="1"/>
  <c r="O37" i="2"/>
  <c r="R37" i="2" s="1"/>
  <c r="O38" i="2"/>
  <c r="O39" i="2"/>
  <c r="R39" i="2" s="1"/>
  <c r="O40" i="2"/>
  <c r="R40" i="2" s="1"/>
  <c r="O41" i="2"/>
  <c r="R41" i="2" s="1"/>
  <c r="O42" i="2"/>
  <c r="R42" i="2" s="1"/>
  <c r="O43" i="2"/>
  <c r="R43" i="2" s="1"/>
  <c r="O44" i="2"/>
  <c r="R44" i="2" s="1"/>
  <c r="O36" i="2"/>
  <c r="R36" i="2" s="1"/>
  <c r="F50" i="2"/>
  <c r="I51" i="2"/>
  <c r="I53" i="2"/>
  <c r="I55" i="2"/>
  <c r="I57" i="2"/>
  <c r="I50" i="2"/>
  <c r="H38" i="2"/>
  <c r="H40" i="2"/>
  <c r="H42" i="2"/>
  <c r="H44" i="2"/>
  <c r="F51" i="2"/>
  <c r="F52" i="2"/>
  <c r="F53" i="2"/>
  <c r="F54" i="2"/>
  <c r="H54" i="2" s="1"/>
  <c r="F55" i="2"/>
  <c r="H55" i="2" s="1"/>
  <c r="F56" i="2"/>
  <c r="H56" i="2" s="1"/>
  <c r="F57" i="2"/>
  <c r="H57" i="2" s="1"/>
  <c r="F58" i="2"/>
  <c r="H58" i="2" s="1"/>
  <c r="D51" i="2"/>
  <c r="G51" i="2" s="1"/>
  <c r="D52" i="2"/>
  <c r="I52" i="2" s="1"/>
  <c r="D53" i="2"/>
  <c r="G53" i="2" s="1"/>
  <c r="D54" i="2"/>
  <c r="I54" i="2" s="1"/>
  <c r="D55" i="2"/>
  <c r="G55" i="2" s="1"/>
  <c r="D56" i="2"/>
  <c r="G56" i="2" s="1"/>
  <c r="D57" i="2"/>
  <c r="G57" i="2" s="1"/>
  <c r="D58" i="2"/>
  <c r="I58" i="2" s="1"/>
  <c r="D50" i="2"/>
  <c r="G50" i="2" s="1"/>
  <c r="F37" i="2"/>
  <c r="H37" i="2" s="1"/>
  <c r="F38" i="2"/>
  <c r="F39" i="2"/>
  <c r="H39" i="2" s="1"/>
  <c r="F40" i="2"/>
  <c r="F41" i="2"/>
  <c r="H41" i="2" s="1"/>
  <c r="F42" i="2"/>
  <c r="F43" i="2"/>
  <c r="I43" i="2" s="1"/>
  <c r="F44" i="2"/>
  <c r="F36" i="2"/>
  <c r="D37" i="2"/>
  <c r="I37" i="2" s="1"/>
  <c r="D38" i="2"/>
  <c r="I38" i="2" s="1"/>
  <c r="D39" i="2"/>
  <c r="I39" i="2" s="1"/>
  <c r="D40" i="2"/>
  <c r="I40" i="2" s="1"/>
  <c r="D41" i="2"/>
  <c r="I41" i="2" s="1"/>
  <c r="D42" i="2"/>
  <c r="I42" i="2" s="1"/>
  <c r="D43" i="2"/>
  <c r="D44" i="2"/>
  <c r="I44" i="2" s="1"/>
  <c r="D45" i="2"/>
  <c r="P8" i="2"/>
  <c r="G28" i="2"/>
  <c r="G8" i="2"/>
  <c r="E21" i="2"/>
  <c r="E22" i="2"/>
  <c r="E23" i="2"/>
  <c r="E24" i="2"/>
  <c r="E25" i="2"/>
  <c r="E27" i="2"/>
  <c r="E20" i="2"/>
  <c r="G10" i="2"/>
  <c r="E6" i="2"/>
  <c r="E7" i="2"/>
  <c r="E9" i="2"/>
  <c r="E11" i="2"/>
  <c r="E12" i="2"/>
  <c r="E13" i="2"/>
  <c r="E5" i="2"/>
  <c r="I21" i="2"/>
  <c r="I22" i="2"/>
  <c r="I23" i="2"/>
  <c r="I24" i="2"/>
  <c r="I25" i="2"/>
  <c r="I26" i="2"/>
  <c r="I27" i="2"/>
  <c r="I28" i="2"/>
  <c r="I20" i="2"/>
  <c r="I7" i="2"/>
  <c r="I8" i="2"/>
  <c r="I9" i="2"/>
  <c r="I10" i="2"/>
  <c r="I11" i="2"/>
  <c r="I12" i="2"/>
  <c r="I13" i="2"/>
  <c r="Q29" i="2"/>
  <c r="Q30" i="2"/>
  <c r="Q14" i="2"/>
  <c r="Q15" i="2"/>
  <c r="O15" i="2"/>
  <c r="O14" i="2"/>
  <c r="R28" i="2"/>
  <c r="R26" i="2"/>
  <c r="R10" i="2"/>
  <c r="R8" i="2"/>
  <c r="P28" i="2"/>
  <c r="P26" i="2"/>
  <c r="P10" i="2"/>
  <c r="U10" i="2" s="1"/>
  <c r="T37" i="2"/>
  <c r="T39" i="2"/>
  <c r="T41" i="2"/>
  <c r="T43" i="2"/>
  <c r="S19" i="3"/>
  <c r="U5" i="3"/>
  <c r="U13" i="3"/>
  <c r="H18" i="1"/>
  <c r="G18" i="1"/>
  <c r="AA17" i="2"/>
  <c r="AA16" i="2"/>
  <c r="AA15" i="2"/>
  <c r="AA14" i="2"/>
  <c r="AA13" i="2"/>
  <c r="AA12" i="2"/>
  <c r="AA11" i="2"/>
  <c r="AA10" i="2"/>
  <c r="AA9" i="2"/>
  <c r="AA8" i="2"/>
  <c r="AA7" i="2"/>
  <c r="AA6" i="2"/>
  <c r="AA18" i="2" s="1"/>
  <c r="AA25" i="2"/>
  <c r="AA22" i="2"/>
  <c r="J59" i="2" l="1"/>
  <c r="M13" i="3"/>
  <c r="M14" i="3"/>
  <c r="M27" i="3"/>
  <c r="M28" i="3"/>
  <c r="V19" i="3"/>
  <c r="T25" i="1"/>
  <c r="T24" i="1"/>
  <c r="T23" i="1"/>
  <c r="U22" i="1"/>
  <c r="AB15" i="3"/>
  <c r="G58" i="2"/>
  <c r="G54" i="2"/>
  <c r="G52" i="2"/>
  <c r="I36" i="2"/>
  <c r="H43" i="2"/>
  <c r="I56" i="2"/>
  <c r="O45" i="2"/>
  <c r="T36" i="2"/>
  <c r="R50" i="2"/>
  <c r="R38" i="2"/>
  <c r="T44" i="2"/>
  <c r="T42" i="2"/>
  <c r="T40" i="2"/>
  <c r="T38" i="2"/>
  <c r="S44" i="2"/>
  <c r="S42" i="2"/>
  <c r="S40" i="2"/>
  <c r="S38" i="2"/>
  <c r="Q45" i="2"/>
  <c r="O59" i="2"/>
  <c r="O46" i="2"/>
  <c r="O60" i="2"/>
  <c r="AA19" i="2"/>
  <c r="Q46" i="2"/>
  <c r="K6" i="2"/>
  <c r="P14" i="2"/>
  <c r="P29" i="2"/>
  <c r="R30" i="2"/>
  <c r="R29" i="2"/>
  <c r="U26" i="2"/>
  <c r="P30" i="2"/>
  <c r="U28" i="2"/>
  <c r="U8" i="2"/>
  <c r="R15" i="2"/>
  <c r="P15" i="2"/>
  <c r="T58" i="2"/>
  <c r="T56" i="2"/>
  <c r="T54" i="2"/>
  <c r="T52" i="2"/>
  <c r="T57" i="2"/>
  <c r="T55" i="2"/>
  <c r="T53" i="2"/>
  <c r="T51" i="2"/>
  <c r="K28" i="2"/>
  <c r="K24" i="2"/>
  <c r="K26" i="2"/>
  <c r="K22" i="2"/>
  <c r="K20" i="2"/>
  <c r="K27" i="2"/>
  <c r="K25" i="2"/>
  <c r="K23" i="2"/>
  <c r="K21" i="2"/>
  <c r="K13" i="2"/>
  <c r="K11" i="2"/>
  <c r="K9" i="2"/>
  <c r="K7" i="2"/>
  <c r="K12" i="2"/>
  <c r="K10" i="2"/>
  <c r="K8" i="2"/>
  <c r="U12" i="3"/>
  <c r="S5" i="3"/>
  <c r="AB6" i="3" s="1"/>
  <c r="S13" i="3"/>
  <c r="S12" i="3"/>
  <c r="AB13" i="3" s="1"/>
  <c r="U11" i="3"/>
  <c r="S11" i="3"/>
  <c r="U10" i="3"/>
  <c r="S10" i="3"/>
  <c r="AB11" i="3" s="1"/>
  <c r="U9" i="3"/>
  <c r="S9" i="3"/>
  <c r="U8" i="3"/>
  <c r="S8" i="3"/>
  <c r="AB9" i="3" s="1"/>
  <c r="U7" i="3"/>
  <c r="S7" i="3"/>
  <c r="U6" i="3"/>
  <c r="S6" i="3"/>
  <c r="AB7" i="3" s="1"/>
  <c r="U20" i="3"/>
  <c r="U21" i="3"/>
  <c r="U22" i="3"/>
  <c r="U23" i="3"/>
  <c r="U24" i="3"/>
  <c r="U25" i="3"/>
  <c r="U26" i="3"/>
  <c r="U27" i="3"/>
  <c r="S22" i="3"/>
  <c r="AB18" i="3" s="1"/>
  <c r="S20" i="3"/>
  <c r="AB16" i="3" s="1"/>
  <c r="S21" i="3"/>
  <c r="AB17" i="3" s="1"/>
  <c r="S23" i="3"/>
  <c r="AB19" i="3" s="1"/>
  <c r="S24" i="3"/>
  <c r="AB20" i="3" s="1"/>
  <c r="S25" i="3"/>
  <c r="AB21" i="3" s="1"/>
  <c r="S26" i="3"/>
  <c r="AB22" i="3" s="1"/>
  <c r="S27" i="3"/>
  <c r="AB23" i="3" s="1"/>
  <c r="I18" i="3"/>
  <c r="J18" i="3" s="1"/>
  <c r="I19" i="3"/>
  <c r="J19" i="3" s="1"/>
  <c r="I20" i="3"/>
  <c r="I21" i="3"/>
  <c r="J21" i="3" s="1"/>
  <c r="I22" i="3"/>
  <c r="I23" i="3"/>
  <c r="J23" i="3" s="1"/>
  <c r="I24" i="3"/>
  <c r="I25" i="3"/>
  <c r="J25" i="3" s="1"/>
  <c r="I26" i="3"/>
  <c r="J26" i="3" s="1"/>
  <c r="I12" i="3"/>
  <c r="I11" i="3"/>
  <c r="I10" i="3"/>
  <c r="I9" i="3"/>
  <c r="I8" i="3"/>
  <c r="I7" i="3"/>
  <c r="I6" i="3"/>
  <c r="I5" i="3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6" i="2"/>
  <c r="Y22" i="2"/>
  <c r="Y23" i="2"/>
  <c r="G37" i="2"/>
  <c r="G38" i="2"/>
  <c r="G39" i="2"/>
  <c r="G40" i="2"/>
  <c r="G41" i="2"/>
  <c r="G42" i="2"/>
  <c r="G43" i="2"/>
  <c r="G44" i="2"/>
  <c r="D8" i="2"/>
  <c r="E8" i="2" s="1"/>
  <c r="J21" i="2"/>
  <c r="J22" i="2"/>
  <c r="J23" i="2"/>
  <c r="J24" i="2"/>
  <c r="J25" i="2"/>
  <c r="J27" i="2"/>
  <c r="J20" i="2"/>
  <c r="D28" i="2"/>
  <c r="E28" i="2" s="1"/>
  <c r="D26" i="2"/>
  <c r="E26" i="2" s="1"/>
  <c r="D10" i="2"/>
  <c r="E10" i="2" s="1"/>
  <c r="J13" i="2"/>
  <c r="J12" i="2"/>
  <c r="J11" i="2"/>
  <c r="J9" i="2"/>
  <c r="J7" i="2"/>
  <c r="J6" i="2"/>
  <c r="Y33" i="2"/>
  <c r="Y27" i="2"/>
  <c r="AA23" i="2"/>
  <c r="AA24" i="2"/>
  <c r="AA26" i="2"/>
  <c r="AA27" i="2"/>
  <c r="AA28" i="2"/>
  <c r="AA29" i="2"/>
  <c r="AA30" i="2"/>
  <c r="AA31" i="2"/>
  <c r="AA32" i="2"/>
  <c r="AA33" i="2"/>
  <c r="Y24" i="2"/>
  <c r="Y25" i="2"/>
  <c r="AB25" i="2" s="1"/>
  <c r="Y26" i="2"/>
  <c r="AB26" i="2" s="1"/>
  <c r="Y28" i="2"/>
  <c r="Y29" i="2"/>
  <c r="Y30" i="2"/>
  <c r="Y31" i="2"/>
  <c r="Y32" i="2"/>
  <c r="N26" i="3" l="1"/>
  <c r="N18" i="3"/>
  <c r="N25" i="3"/>
  <c r="N23" i="3"/>
  <c r="N21" i="3"/>
  <c r="N19" i="3"/>
  <c r="U24" i="1"/>
  <c r="U25" i="1"/>
  <c r="U23" i="1"/>
  <c r="D59" i="2"/>
  <c r="AA34" i="2"/>
  <c r="AB6" i="2"/>
  <c r="Y18" i="2"/>
  <c r="D46" i="2"/>
  <c r="D60" i="2"/>
  <c r="AB22" i="2"/>
  <c r="Y34" i="2"/>
  <c r="H46" i="2"/>
  <c r="G46" i="2"/>
  <c r="G45" i="2"/>
  <c r="AA35" i="2"/>
  <c r="L6" i="2"/>
  <c r="L8" i="2"/>
  <c r="L12" i="2"/>
  <c r="L7" i="2"/>
  <c r="L11" i="2"/>
  <c r="L10" i="2"/>
  <c r="L9" i="2"/>
  <c r="L13" i="2"/>
  <c r="U14" i="2"/>
  <c r="U15" i="2"/>
  <c r="U30" i="2"/>
  <c r="U29" i="2"/>
  <c r="AB31" i="2"/>
  <c r="AB29" i="2"/>
  <c r="AB24" i="2"/>
  <c r="AB32" i="2"/>
  <c r="J8" i="2"/>
  <c r="AB33" i="2"/>
  <c r="AB30" i="2"/>
  <c r="AB28" i="2"/>
  <c r="AB27" i="2"/>
  <c r="J26" i="2"/>
  <c r="AB23" i="2"/>
  <c r="V7" i="3"/>
  <c r="V9" i="3"/>
  <c r="V11" i="3"/>
  <c r="J6" i="3"/>
  <c r="J8" i="3"/>
  <c r="J10" i="3"/>
  <c r="J24" i="3"/>
  <c r="J22" i="3"/>
  <c r="J20" i="3"/>
  <c r="J5" i="3"/>
  <c r="J7" i="3"/>
  <c r="J9" i="3"/>
  <c r="J11" i="3"/>
  <c r="J12" i="3"/>
  <c r="V13" i="3"/>
  <c r="V27" i="3"/>
  <c r="V25" i="3"/>
  <c r="V23" i="3"/>
  <c r="V21" i="3"/>
  <c r="V5" i="3"/>
  <c r="V12" i="3"/>
  <c r="V10" i="3"/>
  <c r="V8" i="3"/>
  <c r="V6" i="3"/>
  <c r="AB14" i="3"/>
  <c r="AB12" i="3"/>
  <c r="AB10" i="3"/>
  <c r="AB8" i="3"/>
  <c r="V26" i="3"/>
  <c r="V24" i="3"/>
  <c r="V22" i="3"/>
  <c r="V20" i="3"/>
  <c r="Y19" i="2"/>
  <c r="J10" i="2"/>
  <c r="Q60" i="2"/>
  <c r="J28" i="2"/>
  <c r="Y35" i="2"/>
  <c r="N12" i="3" l="1"/>
  <c r="N9" i="3"/>
  <c r="N5" i="3"/>
  <c r="N22" i="3"/>
  <c r="N8" i="3"/>
  <c r="N11" i="3"/>
  <c r="N7" i="3"/>
  <c r="N20" i="3"/>
  <c r="N27" i="3" s="1"/>
  <c r="N24" i="3"/>
  <c r="N10" i="3"/>
  <c r="N6" i="3"/>
  <c r="Y41" i="2"/>
  <c r="H45" i="2"/>
  <c r="V15" i="3"/>
  <c r="V28" i="3"/>
  <c r="V14" i="3"/>
  <c r="V29" i="3"/>
  <c r="AB34" i="2"/>
  <c r="AB35" i="2"/>
  <c r="AB19" i="2"/>
  <c r="AB18" i="2"/>
  <c r="N28" i="3" l="1"/>
  <c r="N14" i="3"/>
  <c r="S28" i="2"/>
  <c r="T28" i="2"/>
  <c r="T26" i="2"/>
  <c r="S26" i="2"/>
  <c r="T10" i="2"/>
  <c r="S10" i="2"/>
  <c r="T8" i="2"/>
  <c r="S8" i="2"/>
  <c r="G18" i="3"/>
  <c r="I4" i="1"/>
  <c r="J4" i="1" s="1"/>
  <c r="I19" i="1"/>
  <c r="J19" i="1" s="1"/>
  <c r="N19" i="1" s="1"/>
  <c r="I20" i="1"/>
  <c r="J20" i="1" s="1"/>
  <c r="N20" i="1" s="1"/>
  <c r="I21" i="1"/>
  <c r="J21" i="1" s="1"/>
  <c r="N21" i="1" s="1"/>
  <c r="I22" i="1"/>
  <c r="J22" i="1" s="1"/>
  <c r="N22" i="1" s="1"/>
  <c r="I23" i="1"/>
  <c r="J23" i="1" s="1"/>
  <c r="N23" i="1" s="1"/>
  <c r="I24" i="1"/>
  <c r="J24" i="1" s="1"/>
  <c r="N24" i="1" s="1"/>
  <c r="I25" i="1"/>
  <c r="J25" i="1" s="1"/>
  <c r="N25" i="1" s="1"/>
  <c r="I26" i="1"/>
  <c r="J26" i="1" s="1"/>
  <c r="N26" i="1" s="1"/>
  <c r="I18" i="1"/>
  <c r="J18" i="1" s="1"/>
  <c r="G19" i="1"/>
  <c r="H19" i="1" s="1"/>
  <c r="O19" i="1" s="1"/>
  <c r="G20" i="1"/>
  <c r="H20" i="1" s="1"/>
  <c r="G21" i="1"/>
  <c r="H21" i="1" s="1"/>
  <c r="O21" i="1" s="1"/>
  <c r="G22" i="1"/>
  <c r="H22" i="1" s="1"/>
  <c r="G23" i="1"/>
  <c r="H23" i="1" s="1"/>
  <c r="O23" i="1" s="1"/>
  <c r="G24" i="1"/>
  <c r="H24" i="1" s="1"/>
  <c r="G25" i="1"/>
  <c r="H25" i="1" s="1"/>
  <c r="O25" i="1" s="1"/>
  <c r="G26" i="1"/>
  <c r="H26" i="1" s="1"/>
  <c r="I5" i="1"/>
  <c r="J5" i="1" s="1"/>
  <c r="N5" i="1" s="1"/>
  <c r="I6" i="1"/>
  <c r="J6" i="1" s="1"/>
  <c r="N6" i="1" s="1"/>
  <c r="I7" i="1"/>
  <c r="J7" i="1" s="1"/>
  <c r="N7" i="1" s="1"/>
  <c r="I8" i="1"/>
  <c r="J8" i="1" s="1"/>
  <c r="N8" i="1" s="1"/>
  <c r="I9" i="1"/>
  <c r="J9" i="1" s="1"/>
  <c r="N9" i="1" s="1"/>
  <c r="I10" i="1"/>
  <c r="J10" i="1" s="1"/>
  <c r="N10" i="1" s="1"/>
  <c r="I11" i="1"/>
  <c r="J11" i="1" s="1"/>
  <c r="N11" i="1" s="1"/>
  <c r="I12" i="1"/>
  <c r="J12" i="1" s="1"/>
  <c r="N12" i="1" s="1"/>
  <c r="G5" i="1"/>
  <c r="H5" i="1" s="1"/>
  <c r="O5" i="1" s="1"/>
  <c r="G6" i="1"/>
  <c r="H6" i="1" s="1"/>
  <c r="O6" i="1" s="1"/>
  <c r="G7" i="1"/>
  <c r="H7" i="1" s="1"/>
  <c r="O7" i="1" s="1"/>
  <c r="G8" i="1"/>
  <c r="H8" i="1" s="1"/>
  <c r="O8" i="1" s="1"/>
  <c r="G9" i="1"/>
  <c r="H9" i="1" s="1"/>
  <c r="O9" i="1" s="1"/>
  <c r="G10" i="1"/>
  <c r="H10" i="1" s="1"/>
  <c r="O10" i="1" s="1"/>
  <c r="G11" i="1"/>
  <c r="H11" i="1" s="1"/>
  <c r="O11" i="1" s="1"/>
  <c r="G12" i="1"/>
  <c r="H12" i="1" s="1"/>
  <c r="O12" i="1" s="1"/>
  <c r="G4" i="1"/>
  <c r="H4" i="1" s="1"/>
  <c r="O4" i="1" s="1"/>
  <c r="G5" i="3"/>
  <c r="G6" i="3"/>
  <c r="G7" i="3"/>
  <c r="G8" i="3"/>
  <c r="G9" i="3"/>
  <c r="G10" i="3"/>
  <c r="G11" i="3"/>
  <c r="G12" i="3"/>
  <c r="G19" i="3"/>
  <c r="G20" i="3"/>
  <c r="G21" i="3"/>
  <c r="G22" i="3"/>
  <c r="G23" i="3"/>
  <c r="G24" i="3"/>
  <c r="G25" i="3"/>
  <c r="G26" i="3"/>
  <c r="O26" i="1" l="1"/>
  <c r="O24" i="1"/>
  <c r="O22" i="1"/>
  <c r="O20" i="1"/>
  <c r="N18" i="1"/>
  <c r="O18" i="1"/>
  <c r="G60" i="2"/>
  <c r="G59" i="2"/>
  <c r="T14" i="2"/>
  <c r="T15" i="2"/>
  <c r="T29" i="2"/>
  <c r="T30" i="2"/>
  <c r="S14" i="2"/>
  <c r="S15" i="2"/>
  <c r="S30" i="2"/>
  <c r="S29" i="2"/>
  <c r="H25" i="3"/>
  <c r="O25" i="3" s="1"/>
  <c r="H26" i="3"/>
  <c r="O26" i="3" s="1"/>
  <c r="H24" i="3"/>
  <c r="O24" i="3" s="1"/>
  <c r="H22" i="3"/>
  <c r="O22" i="3" s="1"/>
  <c r="H20" i="3"/>
  <c r="O20" i="3" s="1"/>
  <c r="H12" i="3"/>
  <c r="O12" i="3" s="1"/>
  <c r="H10" i="3"/>
  <c r="O10" i="3" s="1"/>
  <c r="H8" i="3"/>
  <c r="O8" i="3" s="1"/>
  <c r="H6" i="3"/>
  <c r="O6" i="3" s="1"/>
  <c r="H18" i="3"/>
  <c r="O18" i="3" s="1"/>
  <c r="H23" i="3"/>
  <c r="O23" i="3" s="1"/>
  <c r="H21" i="3"/>
  <c r="O21" i="3" s="1"/>
  <c r="H19" i="3"/>
  <c r="O19" i="3" s="1"/>
  <c r="H11" i="3"/>
  <c r="O11" i="3" s="1"/>
  <c r="H9" i="3"/>
  <c r="O9" i="3" s="1"/>
  <c r="H7" i="3"/>
  <c r="O7" i="3" s="1"/>
  <c r="O5" i="3"/>
  <c r="O28" i="3" l="1"/>
  <c r="O27" i="3"/>
  <c r="O31" i="3" s="1"/>
  <c r="O14" i="3"/>
  <c r="O13" i="3"/>
  <c r="O28" i="1"/>
  <c r="O27" i="1"/>
  <c r="O14" i="1" l="1"/>
  <c r="O13" i="1"/>
</calcChain>
</file>

<file path=xl/sharedStrings.xml><?xml version="1.0" encoding="utf-8"?>
<sst xmlns="http://schemas.openxmlformats.org/spreadsheetml/2006/main" count="406" uniqueCount="125">
  <si>
    <t>Sampled:17/09/2020</t>
  </si>
  <si>
    <t>Crop: Soybean</t>
  </si>
  <si>
    <t>Sample</t>
  </si>
  <si>
    <t>Fresh Wt (g)</t>
  </si>
  <si>
    <t>Dry Wt (g)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</si>
  <si>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</si>
  <si>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</si>
  <si>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</si>
  <si>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</si>
  <si>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</si>
  <si>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</si>
  <si>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</si>
  <si>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</si>
  <si>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</si>
  <si>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P2-1</t>
  </si>
  <si>
    <t>P2-2</t>
  </si>
  <si>
    <t>P2-3</t>
  </si>
  <si>
    <t>P2-4</t>
  </si>
  <si>
    <t>P2-5</t>
  </si>
  <si>
    <t>P2-6</t>
  </si>
  <si>
    <t>P2-7</t>
  </si>
  <si>
    <t>P2-8</t>
  </si>
  <si>
    <t>P2-9</t>
  </si>
  <si>
    <t>P3-1</t>
  </si>
  <si>
    <t>P3-2</t>
  </si>
  <si>
    <t>Crop: Winterwheat</t>
  </si>
  <si>
    <t>Sampled:29/07/2020</t>
  </si>
  <si>
    <t>P3-3</t>
  </si>
  <si>
    <t>P3-4</t>
  </si>
  <si>
    <t>P3-5</t>
  </si>
  <si>
    <t>P3-6</t>
  </si>
  <si>
    <t>P3-7</t>
  </si>
  <si>
    <t>P3-8</t>
  </si>
  <si>
    <t>P3-9</t>
  </si>
  <si>
    <t>P4-1</t>
  </si>
  <si>
    <t>P4-2</t>
  </si>
  <si>
    <t>P4-3</t>
  </si>
  <si>
    <t>P4-4</t>
  </si>
  <si>
    <t>P4-5</t>
  </si>
  <si>
    <t>P4-6</t>
  </si>
  <si>
    <t>P4-7</t>
  </si>
  <si>
    <t>P4-8</t>
  </si>
  <si>
    <t>P4-9</t>
  </si>
  <si>
    <r>
      <t>0.5m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</si>
  <si>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Taproot</t>
  </si>
  <si>
    <t>Shoot</t>
  </si>
  <si>
    <t>Raddish Shoot</t>
  </si>
  <si>
    <t>Raddish Root</t>
  </si>
  <si>
    <t>Dry Wt(g)</t>
  </si>
  <si>
    <t>Fresh Wt(g)</t>
  </si>
  <si>
    <t>Crop:  Covercrops</t>
  </si>
  <si>
    <t>Wheat Stubble</t>
  </si>
  <si>
    <t>Fresh wt(g)</t>
  </si>
  <si>
    <t>Total</t>
  </si>
  <si>
    <t xml:space="preserve">Moisture (%) </t>
  </si>
  <si>
    <t>Stderror</t>
  </si>
  <si>
    <t>Dry yield (kg/ha)</t>
  </si>
  <si>
    <t>Average (g/plant)</t>
  </si>
  <si>
    <t>Fresh yield (kg/ha)</t>
  </si>
  <si>
    <t>Average (g/m2)</t>
  </si>
  <si>
    <t>CC+WS</t>
  </si>
  <si>
    <t>CC+WS-R</t>
  </si>
  <si>
    <t>CC-WS-R</t>
  </si>
  <si>
    <t>Wheat Stubble (WS)</t>
  </si>
  <si>
    <t>Bag weight2</t>
  </si>
  <si>
    <t>Bag weight3</t>
  </si>
  <si>
    <t>Fresh wt(g)-Bag</t>
  </si>
  <si>
    <t>Dry Wt (g)-Bag</t>
  </si>
  <si>
    <t>Bag1</t>
  </si>
  <si>
    <t>Average Bag wt</t>
  </si>
  <si>
    <t>net Dry wt(g)</t>
  </si>
  <si>
    <t xml:space="preserve"> Dry wt(g)</t>
  </si>
  <si>
    <t>net Dry Wt (g)</t>
  </si>
  <si>
    <t>net fresh wt</t>
  </si>
  <si>
    <t>P3</t>
  </si>
  <si>
    <t>P4</t>
  </si>
  <si>
    <t>subtract wheat stubble</t>
  </si>
  <si>
    <t>at 15% M</t>
  </si>
  <si>
    <t>net Dry wt (g)</t>
  </si>
  <si>
    <t>Average Bag wt II</t>
  </si>
  <si>
    <t>Average Bag wt I</t>
  </si>
  <si>
    <t>Avg</t>
  </si>
  <si>
    <t>sample</t>
  </si>
  <si>
    <t>15%M</t>
  </si>
  <si>
    <t>Ster</t>
  </si>
  <si>
    <t>ignore cell</t>
  </si>
  <si>
    <t>Three different bagging</t>
  </si>
  <si>
    <t>12 random raddish plant across study site (P3 and P4) below</t>
  </si>
  <si>
    <t>net dry wt (g)</t>
  </si>
  <si>
    <t>net fresh wt(g)</t>
  </si>
  <si>
    <t>Net fresh wt(g)</t>
  </si>
  <si>
    <t>net dry wt(g)</t>
  </si>
  <si>
    <t>net Fresh wt (g)</t>
  </si>
  <si>
    <t>Covercrops (CC) include Raddish(R), Rye grass (G), Oats (O), Clover (C). WS stands for wheat stubble; Only CC+WS-R and CC-WS-R was oven dried</t>
  </si>
  <si>
    <t>net CC+WS-R</t>
  </si>
  <si>
    <t>net CC-WS-R</t>
  </si>
  <si>
    <t>net Fresh wt(g)</t>
  </si>
  <si>
    <t>per 1m2</t>
  </si>
  <si>
    <t>Sample per 1m2</t>
  </si>
  <si>
    <t>Sample per m2</t>
  </si>
  <si>
    <t>Raddish samples below include all raddish above ground. i.e. shoot + part of taproot above the soil</t>
  </si>
  <si>
    <t>Estimation of plant shoot per m2 of quadrant</t>
  </si>
  <si>
    <t>net dry weight (g)</t>
  </si>
  <si>
    <t>dry grain</t>
  </si>
  <si>
    <t>dry residue</t>
  </si>
  <si>
    <t>15.5% moisture yield</t>
  </si>
  <si>
    <t>Raddish Root per m2</t>
  </si>
  <si>
    <t>average</t>
  </si>
  <si>
    <t>root=175g/m2</t>
  </si>
  <si>
    <t>shoot=58.7</t>
  </si>
  <si>
    <t>raddish</t>
  </si>
  <si>
    <t>RESIDUE</t>
  </si>
  <si>
    <t>Dry Wt (g/m2)</t>
  </si>
  <si>
    <t>dry residue  (g/m2)</t>
  </si>
  <si>
    <t>0%M</t>
  </si>
  <si>
    <t>net dry grain</t>
  </si>
  <si>
    <t>stdev</t>
  </si>
  <si>
    <t>stderr</t>
  </si>
  <si>
    <t>g/m2</t>
  </si>
  <si>
    <t>15.5% moisture grain yield</t>
  </si>
  <si>
    <t>GRAIN (g/m2)</t>
  </si>
  <si>
    <t>grain at 15% M</t>
  </si>
  <si>
    <t>wheat stubble (bailed) were sampled and added to the wheat residues numbers</t>
  </si>
  <si>
    <t>residue</t>
  </si>
  <si>
    <t>calculated by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</si>
</sst>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0" fillId="3" borderId="0" applyNumberFormat="0" applyBorder="0" applyAlignment="0" applyProtection="0"/>
    <xf numFmtId="0" fontId="18" fillId="6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2" borderId="0" xfId="1" applyFont="1" applyAlignment="1">
      <alignment horizontal="center"/>
    </xf>
    <xf numFmtId="164" fontId="9" fillId="2" borderId="0" xfId="1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2" borderId="0" xfId="1" applyFont="1" applyAlignment="1">
      <alignment horizontal="center" vertical="center"/>
    </xf>
    <xf numFmtId="164" fontId="9" fillId="2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9" fillId="2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0" applyNumberFormat="1"/>
    <xf numFmtId="164" fontId="13" fillId="2" borderId="0" xfId="1" applyNumberFormat="1" applyFont="1" applyAlignment="1">
      <alignment horizontal="center"/>
    </xf>
    <xf numFmtId="164" fontId="14" fillId="2" borderId="0" xfId="1" applyNumberFormat="1" applyFont="1" applyAlignment="1">
      <alignment horizontal="center"/>
    </xf>
    <xf numFmtId="164" fontId="13" fillId="2" borderId="0" xfId="1" applyNumberFormat="1" applyFont="1" applyAlignment="1">
      <alignment horizontal="center" vertical="center"/>
    </xf>
    <xf numFmtId="0" fontId="11" fillId="0" borderId="0" xfId="0" applyFont="1"/>
    <xf numFmtId="0" fontId="13" fillId="2" borderId="0" xfId="1" applyFont="1" applyAlignment="1">
      <alignment horizontal="center"/>
    </xf>
    <xf numFmtId="164" fontId="4" fillId="2" borderId="0" xfId="1" applyNumberFormat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3" borderId="0" xfId="2"/>
    <xf numFmtId="0" fontId="10" fillId="3" borderId="1" xfId="2" applyBorder="1"/>
    <xf numFmtId="0" fontId="16" fillId="2" borderId="1" xfId="1" applyFont="1" applyBorder="1" applyAlignment="1">
      <alignment horizontal="center"/>
    </xf>
    <xf numFmtId="0" fontId="9" fillId="2" borderId="0" xfId="1" applyFont="1" applyAlignment="1">
      <alignment vertical="center"/>
    </xf>
    <xf numFmtId="0" fontId="6" fillId="0" borderId="1" xfId="0" applyFont="1" applyBorder="1"/>
    <xf numFmtId="0" fontId="7" fillId="2" borderId="1" xfId="1" applyBorder="1" applyAlignment="1">
      <alignment horizontal="center" vertical="center"/>
    </xf>
    <xf numFmtId="0" fontId="7" fillId="2" borderId="1" xfId="1" applyBorder="1" applyAlignment="1">
      <alignment vertical="center"/>
    </xf>
    <xf numFmtId="0" fontId="17" fillId="2" borderId="1" xfId="1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13" fillId="5" borderId="0" xfId="1" applyNumberFormat="1" applyFont="1" applyFill="1" applyAlignment="1">
      <alignment horizontal="center"/>
    </xf>
    <xf numFmtId="0" fontId="0" fillId="5" borderId="0" xfId="0" applyFill="1"/>
    <xf numFmtId="0" fontId="0" fillId="0" borderId="9" xfId="0" applyBorder="1" applyAlignment="1">
      <alignment wrapText="1"/>
    </xf>
    <xf numFmtId="0" fontId="0" fillId="0" borderId="11" xfId="0" applyBorder="1" applyAlignment="1">
      <alignment vertical="center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0" fontId="3" fillId="0" borderId="0" xfId="0" applyFont="1"/>
    <xf numFmtId="0" fontId="20" fillId="7" borderId="0" xfId="0" applyFont="1" applyFill="1"/>
    <xf numFmtId="0" fontId="20" fillId="0" borderId="0" xfId="0" applyFont="1"/>
    <xf numFmtId="165" fontId="13" fillId="5" borderId="0" xfId="1" applyNumberFormat="1" applyFont="1" applyFill="1" applyAlignment="1">
      <alignment horizontal="center"/>
    </xf>
    <xf numFmtId="164" fontId="0" fillId="7" borderId="0" xfId="0" applyNumberFormat="1" applyFill="1"/>
    <xf numFmtId="164" fontId="0" fillId="0" borderId="0" xfId="0" applyNumberFormat="1" applyAlignment="1">
      <alignment vertical="center"/>
    </xf>
    <xf numFmtId="164" fontId="11" fillId="7" borderId="0" xfId="0" applyNumberFormat="1" applyFont="1" applyFill="1"/>
    <xf numFmtId="164" fontId="11" fillId="7" borderId="0" xfId="0" applyNumberFormat="1" applyFont="1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8" fillId="6" borderId="0" xfId="3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opLeftCell="I9" zoomScale="70" zoomScaleNormal="70" workbookViewId="0">
      <selection activeCell="M32" sqref="M32"/>
    </sheetView>
  </sheetViews>
  <sheetFormatPr defaultRowHeight="14.5" x14ac:dyDescent="0.35"/>
  <cols>
    <col min="1" max="1" width="9.1796875" customWidth="1"/>
    <col min="2" max="2" width="10.81640625" bestFit="1" customWidth="1"/>
    <col min="3" max="3" width="12.81640625" bestFit="1" customWidth="1"/>
    <col min="4" max="4" width="11.1796875" bestFit="1" customWidth="1"/>
    <col min="5" max="5" width="12.81640625" bestFit="1" customWidth="1"/>
    <col min="6" max="6" width="11.1796875" bestFit="1" customWidth="1"/>
    <col min="7" max="7" width="12.81640625" bestFit="1" customWidth="1"/>
    <col min="8" max="8" width="16.26953125" bestFit="1" customWidth="1"/>
    <col min="9" max="9" width="15.26953125" bestFit="1" customWidth="1"/>
    <col min="10" max="10" width="15.54296875" bestFit="1" customWidth="1"/>
    <col min="11" max="11" width="19.26953125" bestFit="1" customWidth="1"/>
    <col min="12" max="13" width="15" customWidth="1"/>
    <col min="14" max="14" width="20" bestFit="1" customWidth="1"/>
    <col min="15" max="15" width="15.54296875" customWidth="1"/>
  </cols>
  <sheetData>
    <row r="1" spans="1:22" ht="50.25" customHeight="1" x14ac:dyDescent="0.6">
      <c r="A1" s="1"/>
      <c r="B1" s="74" t="s">
        <v>0</v>
      </c>
      <c r="C1" s="74"/>
      <c r="D1" s="74"/>
      <c r="E1" s="74" t="s">
        <v>1</v>
      </c>
      <c r="F1" s="74"/>
      <c r="G1" s="74"/>
      <c r="H1" s="3"/>
      <c r="I1" s="52"/>
      <c r="J1" s="56"/>
      <c r="K1" s="56">
        <v>19.399999999999999</v>
      </c>
      <c r="O1" s="18" t="s">
        <v>69</v>
      </c>
      <c r="P1" s="18">
        <v>42.3</v>
      </c>
    </row>
    <row r="2" spans="1:22" ht="50.25" customHeight="1" x14ac:dyDescent="0.6">
      <c r="A2" s="1"/>
      <c r="B2" s="3"/>
      <c r="C2" s="75" t="s">
        <v>43</v>
      </c>
      <c r="D2" s="75"/>
      <c r="E2" s="75" t="s">
        <v>43</v>
      </c>
      <c r="F2" s="75"/>
      <c r="G2" s="3" t="s">
        <v>53</v>
      </c>
      <c r="H2" s="3"/>
      <c r="I2" s="52" t="s">
        <v>53</v>
      </c>
      <c r="J2" s="56"/>
      <c r="K2" s="56" t="s">
        <v>120</v>
      </c>
      <c r="N2" s="56" t="s">
        <v>111</v>
      </c>
      <c r="P2" s="3"/>
    </row>
    <row r="3" spans="1:22" s="2" customFormat="1" ht="29" x14ac:dyDescent="0.35">
      <c r="B3" s="13" t="s">
        <v>2</v>
      </c>
      <c r="C3" s="13" t="s">
        <v>3</v>
      </c>
      <c r="D3" s="13" t="s">
        <v>4</v>
      </c>
      <c r="E3" s="13" t="s">
        <v>3</v>
      </c>
      <c r="F3" s="13" t="s">
        <v>4</v>
      </c>
      <c r="G3" s="14" t="s">
        <v>3</v>
      </c>
      <c r="H3" s="14" t="s">
        <v>66</v>
      </c>
      <c r="I3" s="53" t="s">
        <v>112</v>
      </c>
      <c r="J3" s="57" t="s">
        <v>67</v>
      </c>
      <c r="K3" s="57" t="s">
        <v>103</v>
      </c>
      <c r="L3" s="14" t="s">
        <v>115</v>
      </c>
      <c r="M3" s="61" t="s">
        <v>105</v>
      </c>
      <c r="N3" s="14" t="s">
        <v>113</v>
      </c>
      <c r="O3" s="14" t="s">
        <v>54</v>
      </c>
      <c r="Q3" s="39" t="s">
        <v>121</v>
      </c>
    </row>
    <row r="4" spans="1:22" ht="15.5" x14ac:dyDescent="0.35">
      <c r="B4" s="5" t="s">
        <v>5</v>
      </c>
      <c r="C4" s="5">
        <v>826.5</v>
      </c>
      <c r="D4" s="5">
        <v>558.20000000000005</v>
      </c>
      <c r="E4" s="5">
        <v>935.5</v>
      </c>
      <c r="F4" s="5">
        <v>649.1</v>
      </c>
      <c r="G4" s="9">
        <f t="shared" ref="G4:G12" si="0">C4+E4</f>
        <v>1762</v>
      </c>
      <c r="H4" s="9">
        <f t="shared" ref="H4:H12" si="1">G4-$P$1-$P$1</f>
        <v>1677.4</v>
      </c>
      <c r="I4" s="54">
        <f t="shared" ref="I4:I12" si="2">D4+F4</f>
        <v>1207.3000000000002</v>
      </c>
      <c r="J4" s="58">
        <f t="shared" ref="J4:J12" si="3">I4-$P$1-$P$1</f>
        <v>1122.7000000000003</v>
      </c>
      <c r="K4" s="58">
        <v>562.20000000000005</v>
      </c>
      <c r="L4" s="9">
        <f>K4-$K$1</f>
        <v>542.80000000000007</v>
      </c>
      <c r="M4" s="9">
        <f>L4/0.85</f>
        <v>638.58823529411779</v>
      </c>
      <c r="N4" s="9">
        <f>J4-L4</f>
        <v>579.9000000000002</v>
      </c>
      <c r="O4" s="10">
        <f t="shared" ref="O4:O12" si="4">((H4-J4)/H4)*100</f>
        <v>33.069035411947048</v>
      </c>
      <c r="Q4">
        <f t="shared" ref="Q4:Q12" si="5">L4/0.85</f>
        <v>638.58823529411779</v>
      </c>
      <c r="S4" s="2" t="s">
        <v>82</v>
      </c>
      <c r="T4" s="2" t="s">
        <v>83</v>
      </c>
      <c r="U4" s="2" t="s">
        <v>114</v>
      </c>
      <c r="V4" s="67" t="s">
        <v>124</v>
      </c>
    </row>
    <row r="5" spans="1:22" x14ac:dyDescent="0.35">
      <c r="B5" s="5" t="s">
        <v>6</v>
      </c>
      <c r="C5" s="5">
        <v>906.19</v>
      </c>
      <c r="D5" s="5">
        <v>601.70000000000005</v>
      </c>
      <c r="E5" s="5">
        <v>956</v>
      </c>
      <c r="F5" s="5">
        <v>614.1</v>
      </c>
      <c r="G5" s="9">
        <f t="shared" si="0"/>
        <v>1862.19</v>
      </c>
      <c r="H5" s="9">
        <f t="shared" si="1"/>
        <v>1777.5900000000001</v>
      </c>
      <c r="I5" s="54">
        <f t="shared" si="2"/>
        <v>1215.8000000000002</v>
      </c>
      <c r="J5" s="58">
        <f t="shared" si="3"/>
        <v>1131.2000000000003</v>
      </c>
      <c r="K5" s="58">
        <v>571.1</v>
      </c>
      <c r="L5" s="9">
        <f t="shared" ref="L5:L25" si="6">K5-$K$1</f>
        <v>551.70000000000005</v>
      </c>
      <c r="M5" s="9">
        <f t="shared" ref="M5:M11" si="7">L5/0.85</f>
        <v>649.05882352941182</v>
      </c>
      <c r="N5" s="9">
        <f t="shared" ref="N5:N11" si="8">J5-L5</f>
        <v>579.50000000000023</v>
      </c>
      <c r="O5" s="10">
        <f t="shared" si="4"/>
        <v>36.363278371277957</v>
      </c>
      <c r="Q5">
        <f t="shared" si="5"/>
        <v>649.05882352941182</v>
      </c>
      <c r="S5" s="5" t="s">
        <v>5</v>
      </c>
      <c r="T5" s="5">
        <f>Q4</f>
        <v>638.58823529411779</v>
      </c>
      <c r="U5" s="5">
        <f>T5*0.85</f>
        <v>542.80000000000007</v>
      </c>
      <c r="V5" s="67">
        <f>AVERAGE(U5:U13)</f>
        <v>522.21111111111111</v>
      </c>
    </row>
    <row r="6" spans="1:22" x14ac:dyDescent="0.35">
      <c r="B6" s="5" t="s">
        <v>7</v>
      </c>
      <c r="C6" s="5">
        <v>923.1</v>
      </c>
      <c r="D6" s="5">
        <v>595</v>
      </c>
      <c r="E6" s="5">
        <v>895.8</v>
      </c>
      <c r="F6" s="5">
        <v>595.20000000000005</v>
      </c>
      <c r="G6" s="9">
        <f t="shared" si="0"/>
        <v>1818.9</v>
      </c>
      <c r="H6" s="9">
        <f t="shared" si="1"/>
        <v>1734.3000000000002</v>
      </c>
      <c r="I6" s="54">
        <f t="shared" si="2"/>
        <v>1190.2</v>
      </c>
      <c r="J6" s="58">
        <f t="shared" si="3"/>
        <v>1105.6000000000001</v>
      </c>
      <c r="K6" s="58">
        <v>550.29999999999995</v>
      </c>
      <c r="L6" s="9">
        <f t="shared" si="6"/>
        <v>530.9</v>
      </c>
      <c r="M6" s="9">
        <f t="shared" si="7"/>
        <v>624.58823529411768</v>
      </c>
      <c r="N6" s="9">
        <f t="shared" si="8"/>
        <v>574.70000000000016</v>
      </c>
      <c r="O6" s="10">
        <f t="shared" si="4"/>
        <v>36.250936977454877</v>
      </c>
      <c r="Q6">
        <f t="shared" si="5"/>
        <v>624.58823529411768</v>
      </c>
      <c r="S6" s="5" t="s">
        <v>6</v>
      </c>
      <c r="T6" s="5">
        <f t="shared" ref="T6:T13" si="9">Q5</f>
        <v>649.05882352941182</v>
      </c>
      <c r="U6" s="5">
        <f t="shared" ref="U6:U22" si="10">T6*0.85</f>
        <v>551.70000000000005</v>
      </c>
    </row>
    <row r="7" spans="1:22" x14ac:dyDescent="0.35">
      <c r="B7" s="5" t="s">
        <v>8</v>
      </c>
      <c r="C7" s="5">
        <v>955.2</v>
      </c>
      <c r="D7" s="5">
        <v>599.70000000000005</v>
      </c>
      <c r="E7" s="5">
        <v>712.3</v>
      </c>
      <c r="F7" s="5">
        <v>451.6</v>
      </c>
      <c r="G7" s="9">
        <f t="shared" si="0"/>
        <v>1667.5</v>
      </c>
      <c r="H7" s="9">
        <f t="shared" si="1"/>
        <v>1582.9</v>
      </c>
      <c r="I7" s="54">
        <f t="shared" si="2"/>
        <v>1051.3000000000002</v>
      </c>
      <c r="J7" s="58">
        <f t="shared" si="3"/>
        <v>966.70000000000027</v>
      </c>
      <c r="K7" s="58">
        <v>485.9</v>
      </c>
      <c r="L7" s="9">
        <f t="shared" si="6"/>
        <v>466.5</v>
      </c>
      <c r="M7" s="9">
        <f t="shared" si="7"/>
        <v>548.82352941176475</v>
      </c>
      <c r="N7" s="9">
        <f t="shared" si="8"/>
        <v>500.20000000000027</v>
      </c>
      <c r="O7" s="10">
        <f t="shared" si="4"/>
        <v>38.928548866005421</v>
      </c>
      <c r="Q7">
        <f t="shared" si="5"/>
        <v>548.82352941176475</v>
      </c>
      <c r="S7" s="5" t="s">
        <v>7</v>
      </c>
      <c r="T7" s="5">
        <f t="shared" si="9"/>
        <v>624.58823529411768</v>
      </c>
      <c r="U7" s="5">
        <f t="shared" si="10"/>
        <v>530.9</v>
      </c>
    </row>
    <row r="8" spans="1:22" x14ac:dyDescent="0.35">
      <c r="B8" s="5" t="s">
        <v>9</v>
      </c>
      <c r="C8" s="5">
        <v>621.5</v>
      </c>
      <c r="D8" s="5">
        <v>477.5</v>
      </c>
      <c r="E8" s="5">
        <v>635.6</v>
      </c>
      <c r="F8" s="5">
        <v>481.4</v>
      </c>
      <c r="G8" s="9">
        <f t="shared" si="0"/>
        <v>1257.0999999999999</v>
      </c>
      <c r="H8" s="9">
        <f t="shared" si="1"/>
        <v>1172.5</v>
      </c>
      <c r="I8" s="54">
        <f t="shared" si="2"/>
        <v>958.9</v>
      </c>
      <c r="J8" s="58">
        <f t="shared" si="3"/>
        <v>874.30000000000007</v>
      </c>
      <c r="K8" s="58">
        <v>507.9</v>
      </c>
      <c r="L8" s="9">
        <f t="shared" si="6"/>
        <v>488.5</v>
      </c>
      <c r="M8" s="9">
        <f t="shared" si="7"/>
        <v>574.70588235294122</v>
      </c>
      <c r="N8" s="9">
        <f t="shared" si="8"/>
        <v>385.80000000000007</v>
      </c>
      <c r="O8" s="10">
        <f t="shared" si="4"/>
        <v>25.432835820895516</v>
      </c>
      <c r="Q8">
        <f t="shared" si="5"/>
        <v>574.70588235294122</v>
      </c>
      <c r="S8" s="5" t="s">
        <v>8</v>
      </c>
      <c r="T8" s="5">
        <f t="shared" si="9"/>
        <v>548.82352941176475</v>
      </c>
      <c r="U8" s="5">
        <f t="shared" si="10"/>
        <v>466.5</v>
      </c>
    </row>
    <row r="9" spans="1:22" x14ac:dyDescent="0.35">
      <c r="B9" s="5" t="s">
        <v>10</v>
      </c>
      <c r="C9" s="5">
        <v>828</v>
      </c>
      <c r="D9" s="5">
        <v>559.1</v>
      </c>
      <c r="E9" s="5">
        <v>1020.7</v>
      </c>
      <c r="F9" s="5">
        <v>621.70000000000005</v>
      </c>
      <c r="G9" s="9">
        <f t="shared" si="0"/>
        <v>1848.7</v>
      </c>
      <c r="H9" s="9">
        <f t="shared" si="1"/>
        <v>1764.1000000000001</v>
      </c>
      <c r="I9" s="54">
        <f t="shared" si="2"/>
        <v>1180.8000000000002</v>
      </c>
      <c r="J9" s="58">
        <f t="shared" si="3"/>
        <v>1096.2000000000003</v>
      </c>
      <c r="K9" s="58">
        <v>573.9</v>
      </c>
      <c r="L9" s="9">
        <f t="shared" si="6"/>
        <v>554.5</v>
      </c>
      <c r="M9" s="9">
        <f t="shared" si="7"/>
        <v>652.35294117647061</v>
      </c>
      <c r="N9" s="9">
        <f t="shared" si="8"/>
        <v>541.70000000000027</v>
      </c>
      <c r="O9" s="10">
        <f t="shared" si="4"/>
        <v>37.86066549515332</v>
      </c>
      <c r="Q9">
        <f t="shared" si="5"/>
        <v>652.35294117647061</v>
      </c>
      <c r="S9" s="5" t="s">
        <v>9</v>
      </c>
      <c r="T9" s="5">
        <f t="shared" si="9"/>
        <v>574.70588235294122</v>
      </c>
      <c r="U9" s="5">
        <f t="shared" si="10"/>
        <v>488.5</v>
      </c>
    </row>
    <row r="10" spans="1:22" x14ac:dyDescent="0.35">
      <c r="B10" s="5" t="s">
        <v>11</v>
      </c>
      <c r="C10" s="5">
        <v>622.79999999999995</v>
      </c>
      <c r="D10" s="5">
        <v>515.9</v>
      </c>
      <c r="E10" s="5">
        <v>821.6</v>
      </c>
      <c r="F10" s="5">
        <v>622.79999999999995</v>
      </c>
      <c r="G10" s="9">
        <f t="shared" si="0"/>
        <v>1444.4</v>
      </c>
      <c r="H10" s="9">
        <f t="shared" si="1"/>
        <v>1359.8000000000002</v>
      </c>
      <c r="I10" s="54">
        <f t="shared" si="2"/>
        <v>1138.6999999999998</v>
      </c>
      <c r="J10" s="58">
        <f t="shared" si="3"/>
        <v>1054.0999999999999</v>
      </c>
      <c r="K10" s="58">
        <v>584.4</v>
      </c>
      <c r="L10" s="9">
        <f t="shared" si="6"/>
        <v>565</v>
      </c>
      <c r="M10" s="9">
        <f t="shared" si="7"/>
        <v>664.70588235294122</v>
      </c>
      <c r="N10" s="9">
        <f t="shared" si="8"/>
        <v>489.09999999999991</v>
      </c>
      <c r="O10" s="10">
        <f t="shared" si="4"/>
        <v>22.481247242241523</v>
      </c>
      <c r="Q10">
        <f t="shared" si="5"/>
        <v>664.70588235294122</v>
      </c>
      <c r="S10" s="5" t="s">
        <v>10</v>
      </c>
      <c r="T10" s="5">
        <f t="shared" si="9"/>
        <v>652.35294117647061</v>
      </c>
      <c r="U10" s="5">
        <f t="shared" si="10"/>
        <v>554.5</v>
      </c>
    </row>
    <row r="11" spans="1:22" x14ac:dyDescent="0.35">
      <c r="B11" s="5" t="s">
        <v>12</v>
      </c>
      <c r="C11" s="5">
        <v>779.1</v>
      </c>
      <c r="D11" s="5">
        <v>537.5</v>
      </c>
      <c r="E11" s="5">
        <v>752</v>
      </c>
      <c r="F11" s="5">
        <v>507</v>
      </c>
      <c r="G11" s="9">
        <f t="shared" si="0"/>
        <v>1531.1</v>
      </c>
      <c r="H11" s="9">
        <f t="shared" si="1"/>
        <v>1446.5</v>
      </c>
      <c r="I11" s="54">
        <f t="shared" si="2"/>
        <v>1044.5</v>
      </c>
      <c r="J11" s="58">
        <f t="shared" si="3"/>
        <v>959.90000000000009</v>
      </c>
      <c r="K11" s="58">
        <v>486.7</v>
      </c>
      <c r="L11" s="9">
        <f t="shared" si="6"/>
        <v>467.3</v>
      </c>
      <c r="M11" s="9">
        <f t="shared" si="7"/>
        <v>549.76470588235293</v>
      </c>
      <c r="N11" s="9">
        <f t="shared" si="8"/>
        <v>492.60000000000008</v>
      </c>
      <c r="O11" s="10">
        <f t="shared" si="4"/>
        <v>33.639820255789829</v>
      </c>
      <c r="Q11">
        <f t="shared" si="5"/>
        <v>549.76470588235293</v>
      </c>
      <c r="S11" s="5" t="s">
        <v>11</v>
      </c>
      <c r="T11" s="5">
        <f t="shared" si="9"/>
        <v>664.70588235294122</v>
      </c>
      <c r="U11" s="5">
        <f t="shared" si="10"/>
        <v>565</v>
      </c>
    </row>
    <row r="12" spans="1:22" x14ac:dyDescent="0.35">
      <c r="B12" s="5" t="s">
        <v>13</v>
      </c>
      <c r="C12" s="5">
        <v>816.9</v>
      </c>
      <c r="D12" s="5">
        <v>568.4</v>
      </c>
      <c r="E12" s="5">
        <v>912.8</v>
      </c>
      <c r="F12" s="5">
        <v>648.79999999999995</v>
      </c>
      <c r="G12" s="9">
        <f t="shared" si="0"/>
        <v>1729.6999999999998</v>
      </c>
      <c r="H12" s="9">
        <f t="shared" si="1"/>
        <v>1645.1</v>
      </c>
      <c r="I12" s="54">
        <f t="shared" si="2"/>
        <v>1217.1999999999998</v>
      </c>
      <c r="J12" s="58">
        <f t="shared" si="3"/>
        <v>1132.5999999999999</v>
      </c>
      <c r="K12" s="58">
        <v>552.1</v>
      </c>
      <c r="L12" s="9">
        <f t="shared" si="6"/>
        <v>532.70000000000005</v>
      </c>
      <c r="M12" s="9">
        <f>L12/0.85</f>
        <v>626.70588235294122</v>
      </c>
      <c r="N12" s="9">
        <f>J12-L12</f>
        <v>599.89999999999986</v>
      </c>
      <c r="O12" s="10">
        <f t="shared" si="4"/>
        <v>31.153121390796912</v>
      </c>
      <c r="Q12">
        <f t="shared" si="5"/>
        <v>626.70588235294122</v>
      </c>
      <c r="S12" s="5" t="s">
        <v>12</v>
      </c>
      <c r="T12" s="5">
        <f t="shared" si="9"/>
        <v>549.76470588235293</v>
      </c>
      <c r="U12" s="5">
        <f t="shared" si="10"/>
        <v>467.29999999999995</v>
      </c>
    </row>
    <row r="13" spans="1:22" ht="18.5" x14ac:dyDescent="0.45">
      <c r="B13" s="37" t="s">
        <v>59</v>
      </c>
      <c r="L13" s="69">
        <f t="shared" ref="L13" si="11">AVERAGE(L4:L12)</f>
        <v>522.21111111111111</v>
      </c>
      <c r="M13" s="59">
        <f t="shared" ref="M13" si="12">AVERAGE(M4:M12)</f>
        <v>614.36601307189551</v>
      </c>
      <c r="N13" s="59">
        <f t="shared" ref="N13" si="13">AVERAGE(N4:N12)</f>
        <v>527.04444444444459</v>
      </c>
      <c r="O13" s="38">
        <f t="shared" ref="O13" si="14">AVERAGE(O4:O12)</f>
        <v>32.797721092395825</v>
      </c>
      <c r="Q13" s="33">
        <f>AVERAGE(Q4:Q12)</f>
        <v>614.36601307189551</v>
      </c>
      <c r="S13" s="5" t="s">
        <v>13</v>
      </c>
      <c r="T13" s="5">
        <f t="shared" si="9"/>
        <v>626.70588235294122</v>
      </c>
      <c r="U13" s="5">
        <f t="shared" si="10"/>
        <v>532.70000000000005</v>
      </c>
      <c r="V13" s="67">
        <f>AVERAGE(U13:U21)</f>
        <v>522.66666666666674</v>
      </c>
    </row>
    <row r="14" spans="1:22" ht="18.5" x14ac:dyDescent="0.45">
      <c r="B14" s="37" t="s">
        <v>55</v>
      </c>
      <c r="L14" s="59">
        <f t="shared" ref="L14" si="15">_xlfn.STDEV.P(L4:L12)/SQRT(9)</f>
        <v>11.971091149916782</v>
      </c>
      <c r="M14" s="59">
        <f t="shared" ref="M14:N14" si="16">_xlfn.STDEV.P(M4:M12)/SQRT(9)</f>
        <v>14.083636646960926</v>
      </c>
      <c r="N14" s="59">
        <f t="shared" si="16"/>
        <v>21.267224601476652</v>
      </c>
      <c r="O14" s="38">
        <f t="shared" ref="O14" si="17">_xlfn.STDEV.P(O4:O12)/SQRT(9)</f>
        <v>1.7638936037580077</v>
      </c>
      <c r="Q14" s="33">
        <f>_xlfn.STDEV.P(Q4:Q12)/SQRT(9)</f>
        <v>14.083636646960926</v>
      </c>
      <c r="S14" s="5" t="s">
        <v>14</v>
      </c>
      <c r="T14" s="43">
        <f t="shared" ref="T14:T22" si="18">Q18</f>
        <v>608.47058823529414</v>
      </c>
      <c r="U14" s="5">
        <f t="shared" si="10"/>
        <v>517.20000000000005</v>
      </c>
    </row>
    <row r="15" spans="1:22" ht="15.5" x14ac:dyDescent="0.35">
      <c r="I15" s="55"/>
      <c r="J15" s="60"/>
      <c r="K15" s="60"/>
      <c r="L15" s="9"/>
      <c r="M15" s="9"/>
      <c r="N15" s="67">
        <f>AVERAGE(N4:N12)*10000/1000000</f>
        <v>5.270444444444446</v>
      </c>
      <c r="O15" s="67" t="s">
        <v>124</v>
      </c>
      <c r="S15" s="5" t="s">
        <v>15</v>
      </c>
      <c r="T15" s="43">
        <f t="shared" si="18"/>
        <v>653.17647058823536</v>
      </c>
      <c r="U15" s="5">
        <f t="shared" si="10"/>
        <v>555.20000000000005</v>
      </c>
    </row>
    <row r="16" spans="1:22" ht="24" x14ac:dyDescent="0.5">
      <c r="C16" s="75" t="s">
        <v>43</v>
      </c>
      <c r="D16" s="75"/>
      <c r="E16" s="75" t="s">
        <v>43</v>
      </c>
      <c r="F16" s="75"/>
      <c r="G16" s="3" t="s">
        <v>53</v>
      </c>
      <c r="H16" s="3"/>
      <c r="I16" s="52" t="s">
        <v>53</v>
      </c>
      <c r="J16" s="56"/>
      <c r="K16" s="56" t="s">
        <v>120</v>
      </c>
      <c r="L16" s="9"/>
      <c r="M16" s="9"/>
      <c r="N16" s="9"/>
      <c r="S16" s="5" t="s">
        <v>16</v>
      </c>
      <c r="T16" s="43">
        <f t="shared" si="18"/>
        <v>630.11764705882354</v>
      </c>
      <c r="U16" s="5">
        <f t="shared" si="10"/>
        <v>535.6</v>
      </c>
    </row>
    <row r="17" spans="1:21" ht="29" x14ac:dyDescent="0.35">
      <c r="B17" s="13" t="s">
        <v>2</v>
      </c>
      <c r="C17" s="13" t="s">
        <v>3</v>
      </c>
      <c r="D17" s="13" t="s">
        <v>4</v>
      </c>
      <c r="E17" s="13" t="s">
        <v>3</v>
      </c>
      <c r="F17" s="13" t="s">
        <v>4</v>
      </c>
      <c r="G17" s="14" t="s">
        <v>3</v>
      </c>
      <c r="H17" s="14" t="s">
        <v>66</v>
      </c>
      <c r="I17" s="53" t="s">
        <v>4</v>
      </c>
      <c r="J17" s="57" t="s">
        <v>67</v>
      </c>
      <c r="K17" s="57" t="s">
        <v>103</v>
      </c>
      <c r="L17" s="14" t="s">
        <v>115</v>
      </c>
      <c r="M17" s="61" t="s">
        <v>105</v>
      </c>
      <c r="N17" s="14" t="s">
        <v>113</v>
      </c>
      <c r="O17" s="14" t="s">
        <v>54</v>
      </c>
      <c r="Q17" s="39" t="s">
        <v>77</v>
      </c>
      <c r="S17" s="5" t="s">
        <v>17</v>
      </c>
      <c r="T17" s="43">
        <f t="shared" si="18"/>
        <v>646.23529411764719</v>
      </c>
      <c r="U17" s="5">
        <f t="shared" si="10"/>
        <v>549.30000000000007</v>
      </c>
    </row>
    <row r="18" spans="1:21" ht="15.5" x14ac:dyDescent="0.35">
      <c r="B18" s="5" t="s">
        <v>14</v>
      </c>
      <c r="C18" s="5">
        <v>825.3</v>
      </c>
      <c r="D18" s="5">
        <v>622.79999999999995</v>
      </c>
      <c r="E18" s="5">
        <v>858</v>
      </c>
      <c r="F18" s="5">
        <v>556.70000000000005</v>
      </c>
      <c r="G18" s="9">
        <f>C18+E18</f>
        <v>1683.3</v>
      </c>
      <c r="H18" s="9">
        <f t="shared" ref="H18:H26" si="19">G18-$P$1-$P$1</f>
        <v>1598.7</v>
      </c>
      <c r="I18" s="54">
        <f t="shared" ref="I18:I26" si="20">D18+F18</f>
        <v>1179.5</v>
      </c>
      <c r="J18" s="58">
        <f t="shared" ref="J18:J26" si="21">I18-$P$1-$P$1</f>
        <v>1094.9000000000001</v>
      </c>
      <c r="K18" s="58">
        <v>536.6</v>
      </c>
      <c r="L18" s="9">
        <f t="shared" si="6"/>
        <v>517.20000000000005</v>
      </c>
      <c r="M18" s="9">
        <f t="shared" ref="M18:M26" si="22">L18/0.85</f>
        <v>608.47058823529414</v>
      </c>
      <c r="N18" s="9">
        <f t="shared" ref="N18:N26" si="23">J18-L18</f>
        <v>577.70000000000005</v>
      </c>
      <c r="O18" s="10">
        <f t="shared" ref="O18:O26" si="24">((H18-J18)/H18)*100</f>
        <v>31.51310439732282</v>
      </c>
      <c r="Q18">
        <f t="shared" ref="Q18:Q26" si="25">L18/0.85</f>
        <v>608.47058823529414</v>
      </c>
      <c r="S18" s="5" t="s">
        <v>18</v>
      </c>
      <c r="T18" s="43">
        <f t="shared" si="18"/>
        <v>570.58823529411768</v>
      </c>
      <c r="U18" s="5">
        <f t="shared" si="10"/>
        <v>485</v>
      </c>
    </row>
    <row r="19" spans="1:21" ht="15.5" x14ac:dyDescent="0.35">
      <c r="B19" s="5" t="s">
        <v>15</v>
      </c>
      <c r="C19" s="5">
        <v>972.1</v>
      </c>
      <c r="D19" s="5">
        <v>589.5</v>
      </c>
      <c r="E19" s="5">
        <v>1018.6</v>
      </c>
      <c r="F19" s="5">
        <v>673.6</v>
      </c>
      <c r="G19" s="9">
        <f t="shared" ref="G19:G26" si="26">C19+E19</f>
        <v>1990.7</v>
      </c>
      <c r="H19" s="9">
        <f t="shared" si="19"/>
        <v>1906.1000000000001</v>
      </c>
      <c r="I19" s="54">
        <f t="shared" si="20"/>
        <v>1263.0999999999999</v>
      </c>
      <c r="J19" s="58">
        <f t="shared" si="21"/>
        <v>1178.5</v>
      </c>
      <c r="K19" s="58">
        <v>574.6</v>
      </c>
      <c r="L19" s="9">
        <f t="shared" si="6"/>
        <v>555.20000000000005</v>
      </c>
      <c r="M19" s="9">
        <f t="shared" si="22"/>
        <v>653.17647058823536</v>
      </c>
      <c r="N19" s="9">
        <f t="shared" si="23"/>
        <v>623.29999999999995</v>
      </c>
      <c r="O19" s="10">
        <f t="shared" si="24"/>
        <v>38.172184040711407</v>
      </c>
      <c r="Q19">
        <f t="shared" si="25"/>
        <v>653.17647058823536</v>
      </c>
      <c r="S19" s="5" t="s">
        <v>19</v>
      </c>
      <c r="T19" s="43">
        <f t="shared" si="18"/>
        <v>576.94117647058829</v>
      </c>
      <c r="U19" s="5">
        <f t="shared" si="10"/>
        <v>490.40000000000003</v>
      </c>
    </row>
    <row r="20" spans="1:21" ht="15.5" x14ac:dyDescent="0.35">
      <c r="B20" s="5" t="s">
        <v>16</v>
      </c>
      <c r="C20" s="5">
        <v>951.9</v>
      </c>
      <c r="D20" s="5">
        <v>604.4</v>
      </c>
      <c r="E20" s="5">
        <v>943.8</v>
      </c>
      <c r="F20" s="5">
        <v>610.79999999999995</v>
      </c>
      <c r="G20" s="9">
        <f t="shared" si="26"/>
        <v>1895.6999999999998</v>
      </c>
      <c r="H20" s="9">
        <f t="shared" si="19"/>
        <v>1811.1</v>
      </c>
      <c r="I20" s="54">
        <f t="shared" si="20"/>
        <v>1215.1999999999998</v>
      </c>
      <c r="J20" s="58">
        <f t="shared" si="21"/>
        <v>1130.5999999999999</v>
      </c>
      <c r="K20" s="58">
        <v>555</v>
      </c>
      <c r="L20" s="9">
        <f t="shared" si="6"/>
        <v>535.6</v>
      </c>
      <c r="M20" s="9">
        <f t="shared" si="22"/>
        <v>630.11764705882354</v>
      </c>
      <c r="N20" s="9">
        <f t="shared" si="23"/>
        <v>594.99999999999989</v>
      </c>
      <c r="O20" s="10">
        <f t="shared" si="24"/>
        <v>37.57385014631992</v>
      </c>
      <c r="Q20">
        <f t="shared" si="25"/>
        <v>630.11764705882354</v>
      </c>
      <c r="S20" s="5" t="s">
        <v>20</v>
      </c>
      <c r="T20" s="43">
        <f t="shared" si="18"/>
        <v>576.58823529411768</v>
      </c>
      <c r="U20" s="5">
        <f t="shared" si="10"/>
        <v>490.1</v>
      </c>
    </row>
    <row r="21" spans="1:21" ht="15.5" x14ac:dyDescent="0.35">
      <c r="B21" s="5" t="s">
        <v>17</v>
      </c>
      <c r="C21" s="5">
        <v>829.8</v>
      </c>
      <c r="D21" s="5">
        <v>555.20000000000005</v>
      </c>
      <c r="E21" s="5">
        <v>832.6</v>
      </c>
      <c r="F21" s="5">
        <v>527.70000000000005</v>
      </c>
      <c r="G21" s="9">
        <f t="shared" si="26"/>
        <v>1662.4</v>
      </c>
      <c r="H21" s="9">
        <f t="shared" si="19"/>
        <v>1577.8000000000002</v>
      </c>
      <c r="I21" s="54">
        <f t="shared" si="20"/>
        <v>1082.9000000000001</v>
      </c>
      <c r="J21" s="58">
        <f t="shared" si="21"/>
        <v>998.30000000000018</v>
      </c>
      <c r="K21" s="58">
        <v>568.70000000000005</v>
      </c>
      <c r="L21" s="9">
        <f t="shared" si="6"/>
        <v>549.30000000000007</v>
      </c>
      <c r="M21" s="9">
        <f t="shared" si="22"/>
        <v>646.23529411764719</v>
      </c>
      <c r="N21" s="9">
        <f t="shared" si="23"/>
        <v>449.00000000000011</v>
      </c>
      <c r="O21" s="10">
        <f t="shared" si="24"/>
        <v>36.728355938648747</v>
      </c>
      <c r="Q21">
        <f t="shared" si="25"/>
        <v>646.23529411764719</v>
      </c>
      <c r="S21" s="5" t="s">
        <v>21</v>
      </c>
      <c r="T21" s="43">
        <f t="shared" si="18"/>
        <v>645.2941176470589</v>
      </c>
      <c r="U21" s="5">
        <f t="shared" si="10"/>
        <v>548.5</v>
      </c>
    </row>
    <row r="22" spans="1:21" ht="15.5" x14ac:dyDescent="0.35">
      <c r="B22" s="5" t="s">
        <v>18</v>
      </c>
      <c r="C22" s="5">
        <v>818.1</v>
      </c>
      <c r="D22" s="5">
        <v>559.29999999999995</v>
      </c>
      <c r="E22" s="5">
        <v>753.1</v>
      </c>
      <c r="F22" s="5">
        <v>524.5</v>
      </c>
      <c r="G22" s="9">
        <f t="shared" si="26"/>
        <v>1571.2</v>
      </c>
      <c r="H22" s="9">
        <f t="shared" si="19"/>
        <v>1486.6000000000001</v>
      </c>
      <c r="I22" s="54">
        <f t="shared" si="20"/>
        <v>1083.8</v>
      </c>
      <c r="J22" s="58">
        <f t="shared" si="21"/>
        <v>999.2</v>
      </c>
      <c r="K22" s="58">
        <v>504.4</v>
      </c>
      <c r="L22" s="9">
        <f t="shared" si="6"/>
        <v>485</v>
      </c>
      <c r="M22" s="9">
        <f t="shared" si="22"/>
        <v>570.58823529411768</v>
      </c>
      <c r="N22" s="9">
        <f t="shared" si="23"/>
        <v>514.20000000000005</v>
      </c>
      <c r="O22" s="10">
        <f t="shared" si="24"/>
        <v>32.786223597470745</v>
      </c>
      <c r="Q22">
        <f t="shared" si="25"/>
        <v>570.58823529411768</v>
      </c>
      <c r="S22" s="5" t="s">
        <v>22</v>
      </c>
      <c r="T22" s="43">
        <f t="shared" si="18"/>
        <v>509.05882352941182</v>
      </c>
      <c r="U22" s="5">
        <f t="shared" si="10"/>
        <v>432.70000000000005</v>
      </c>
    </row>
    <row r="23" spans="1:21" x14ac:dyDescent="0.35">
      <c r="B23" s="5" t="s">
        <v>19</v>
      </c>
      <c r="C23" s="5">
        <v>854.5</v>
      </c>
      <c r="D23" s="5">
        <v>608.29999999999995</v>
      </c>
      <c r="E23" s="5">
        <v>697.8</v>
      </c>
      <c r="F23" s="5">
        <v>477.3</v>
      </c>
      <c r="G23" s="9">
        <f t="shared" si="26"/>
        <v>1552.3</v>
      </c>
      <c r="H23" s="9">
        <f t="shared" si="19"/>
        <v>1467.7</v>
      </c>
      <c r="I23" s="54">
        <f t="shared" si="20"/>
        <v>1085.5999999999999</v>
      </c>
      <c r="J23" s="58">
        <f t="shared" si="21"/>
        <v>1001</v>
      </c>
      <c r="K23" s="58">
        <v>509.8</v>
      </c>
      <c r="L23" s="9">
        <f t="shared" si="6"/>
        <v>490.40000000000003</v>
      </c>
      <c r="M23" s="9">
        <f t="shared" si="22"/>
        <v>576.94117647058829</v>
      </c>
      <c r="N23" s="9">
        <f t="shared" si="23"/>
        <v>510.59999999999997</v>
      </c>
      <c r="O23" s="10">
        <f t="shared" si="24"/>
        <v>31.798051372896367</v>
      </c>
      <c r="Q23">
        <f t="shared" si="25"/>
        <v>576.94117647058829</v>
      </c>
      <c r="S23" t="s">
        <v>81</v>
      </c>
      <c r="T23" s="63">
        <f>AVERAGE(T5:T22)</f>
        <v>608.09803921568641</v>
      </c>
      <c r="U23" s="63">
        <f>AVERAGE(U5:U22)</f>
        <v>516.88333333333333</v>
      </c>
    </row>
    <row r="24" spans="1:21" x14ac:dyDescent="0.35">
      <c r="B24" s="5" t="s">
        <v>20</v>
      </c>
      <c r="C24" s="5">
        <v>812.2</v>
      </c>
      <c r="D24" s="5">
        <v>585.1</v>
      </c>
      <c r="E24" s="5">
        <v>573</v>
      </c>
      <c r="F24" s="5">
        <v>485.8</v>
      </c>
      <c r="G24" s="9">
        <f t="shared" si="26"/>
        <v>1385.2</v>
      </c>
      <c r="H24" s="9">
        <f t="shared" si="19"/>
        <v>1300.6000000000001</v>
      </c>
      <c r="I24" s="54">
        <f t="shared" si="20"/>
        <v>1070.9000000000001</v>
      </c>
      <c r="J24" s="58">
        <f t="shared" si="21"/>
        <v>986.30000000000018</v>
      </c>
      <c r="K24" s="58">
        <v>509.5</v>
      </c>
      <c r="L24" s="9">
        <f t="shared" si="6"/>
        <v>490.1</v>
      </c>
      <c r="M24" s="9">
        <f t="shared" si="22"/>
        <v>576.58823529411768</v>
      </c>
      <c r="N24" s="9">
        <f t="shared" si="23"/>
        <v>496.20000000000016</v>
      </c>
      <c r="O24" s="10">
        <f t="shared" si="24"/>
        <v>24.165769644779324</v>
      </c>
      <c r="Q24">
        <f t="shared" si="25"/>
        <v>576.58823529411768</v>
      </c>
      <c r="S24" t="s">
        <v>117</v>
      </c>
      <c r="T24" s="63">
        <f>_xlfn.STDEV.P(T5:T22)/SQRT(18)</f>
        <v>10.386701614161868</v>
      </c>
      <c r="U24" s="63">
        <f>_xlfn.STDEV.P(U5:U22)/SQRT(18)</f>
        <v>8.8286963720375891</v>
      </c>
    </row>
    <row r="25" spans="1:21" x14ac:dyDescent="0.35">
      <c r="B25" s="5" t="s">
        <v>21</v>
      </c>
      <c r="C25" s="5">
        <v>699.3</v>
      </c>
      <c r="D25" s="5">
        <v>532.29999999999995</v>
      </c>
      <c r="E25" s="5">
        <v>887.5</v>
      </c>
      <c r="F25" s="5">
        <v>675.9</v>
      </c>
      <c r="G25" s="9">
        <f t="shared" si="26"/>
        <v>1586.8</v>
      </c>
      <c r="H25" s="9">
        <f t="shared" si="19"/>
        <v>1502.2</v>
      </c>
      <c r="I25" s="54">
        <f t="shared" si="20"/>
        <v>1208.1999999999998</v>
      </c>
      <c r="J25" s="58">
        <f t="shared" si="21"/>
        <v>1123.5999999999999</v>
      </c>
      <c r="K25" s="58">
        <v>567.9</v>
      </c>
      <c r="L25" s="9">
        <f t="shared" si="6"/>
        <v>548.5</v>
      </c>
      <c r="M25" s="9">
        <f t="shared" si="22"/>
        <v>645.2941176470589</v>
      </c>
      <c r="N25" s="9">
        <f t="shared" si="23"/>
        <v>575.09999999999991</v>
      </c>
      <c r="O25" s="10">
        <f t="shared" si="24"/>
        <v>25.203035547863145</v>
      </c>
      <c r="Q25">
        <f t="shared" si="25"/>
        <v>645.2941176470589</v>
      </c>
      <c r="S25" t="s">
        <v>116</v>
      </c>
      <c r="T25" s="63">
        <f>STDEV(T5:T22)</f>
        <v>45.344613025019477</v>
      </c>
      <c r="U25" s="63">
        <f>STDEV(U5:U22)</f>
        <v>38.542921071266548</v>
      </c>
    </row>
    <row r="26" spans="1:21" x14ac:dyDescent="0.35">
      <c r="B26" s="5" t="s">
        <v>22</v>
      </c>
      <c r="C26" s="5">
        <v>774.8</v>
      </c>
      <c r="D26" s="5">
        <v>510.3</v>
      </c>
      <c r="E26" s="5">
        <v>777.6</v>
      </c>
      <c r="F26" s="5">
        <v>483.2</v>
      </c>
      <c r="G26" s="9">
        <f t="shared" si="26"/>
        <v>1552.4</v>
      </c>
      <c r="H26" s="9">
        <f t="shared" si="19"/>
        <v>1467.8000000000002</v>
      </c>
      <c r="I26" s="54">
        <f t="shared" si="20"/>
        <v>993.5</v>
      </c>
      <c r="J26" s="58">
        <f t="shared" si="21"/>
        <v>908.90000000000009</v>
      </c>
      <c r="K26" s="58">
        <v>452.1</v>
      </c>
      <c r="L26" s="9">
        <f>K26-$K$1</f>
        <v>432.70000000000005</v>
      </c>
      <c r="M26" s="9">
        <f t="shared" si="22"/>
        <v>509.05882352941182</v>
      </c>
      <c r="N26" s="9">
        <f t="shared" si="23"/>
        <v>476.20000000000005</v>
      </c>
      <c r="O26" s="10">
        <f t="shared" si="24"/>
        <v>38.077394740427849</v>
      </c>
      <c r="Q26">
        <f t="shared" si="25"/>
        <v>509.05882352941182</v>
      </c>
    </row>
    <row r="27" spans="1:21" ht="18.5" x14ac:dyDescent="0.45">
      <c r="A27" s="36"/>
      <c r="B27" s="37" t="s">
        <v>59</v>
      </c>
      <c r="L27" s="59">
        <f t="shared" ref="L27:N27" si="27">AVERAGE(L18:L26)</f>
        <v>511.55555555555554</v>
      </c>
      <c r="M27" s="59">
        <f t="shared" si="27"/>
        <v>601.8300653594772</v>
      </c>
      <c r="N27" s="59">
        <f t="shared" si="27"/>
        <v>535.25555555555559</v>
      </c>
      <c r="O27" s="38">
        <f t="shared" ref="O27" si="28">AVERAGE(O18:O26)</f>
        <v>32.890885491826708</v>
      </c>
      <c r="Q27" s="33">
        <f>AVERAGE(Q18:Q26,Q4:Q12)</f>
        <v>608.0980392156863</v>
      </c>
    </row>
    <row r="28" spans="1:21" ht="18.5" x14ac:dyDescent="0.45">
      <c r="A28" s="36"/>
      <c r="B28" s="37" t="s">
        <v>55</v>
      </c>
      <c r="L28" s="59">
        <f t="shared" ref="L28:N28" si="29">_xlfn.STDEV.P(L18:L26)/SQRT(9)</f>
        <v>12.734546297774054</v>
      </c>
      <c r="M28" s="59">
        <f t="shared" si="29"/>
        <v>14.981819173851832</v>
      </c>
      <c r="N28" s="59">
        <f t="shared" si="29"/>
        <v>18.66351898799055</v>
      </c>
      <c r="O28" s="38">
        <f t="shared" ref="O28" si="30">_xlfn.STDEV.P(O18:O26)/SQRT(9)</f>
        <v>1.68428661862141</v>
      </c>
      <c r="Q28" s="33">
        <f>_xlfn.STDEV.P(Q18:Q26)/SQRT(9)</f>
        <v>14.981819173851832</v>
      </c>
    </row>
    <row r="29" spans="1:21" x14ac:dyDescent="0.35">
      <c r="N29" s="67">
        <f>AVERAGE(N18:N26)*10000/1000000</f>
        <v>5.352555555555556</v>
      </c>
      <c r="O29" s="67" t="s">
        <v>124</v>
      </c>
    </row>
  </sheetData>
  <mergeCells count="6">
    <mergeCell ref="B1:D1"/>
    <mergeCell ref="E1:G1"/>
    <mergeCell ref="C2:D2"/>
    <mergeCell ref="E2:F2"/>
    <mergeCell ref="C16:D16"/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tabSelected="1" topLeftCell="C1" zoomScale="70" zoomScaleNormal="70" workbookViewId="0">
      <selection activeCell="AA15" sqref="AA15"/>
    </sheetView>
  </sheetViews>
  <sheetFormatPr defaultRowHeight="14.5" x14ac:dyDescent="0.35"/>
  <cols>
    <col min="3" max="3" width="12.81640625" bestFit="1" customWidth="1"/>
    <col min="4" max="4" width="11.1796875" bestFit="1" customWidth="1"/>
    <col min="5" max="5" width="12.81640625" bestFit="1" customWidth="1"/>
    <col min="6" max="6" width="11.1796875" bestFit="1" customWidth="1"/>
    <col min="7" max="7" width="12.81640625" bestFit="1" customWidth="1"/>
    <col min="8" max="8" width="16.26953125" bestFit="1" customWidth="1"/>
    <col min="9" max="9" width="17.7265625" bestFit="1" customWidth="1"/>
    <col min="10" max="14" width="15" customWidth="1"/>
    <col min="15" max="15" width="19.26953125" bestFit="1" customWidth="1"/>
    <col min="16" max="16" width="15.81640625" bestFit="1" customWidth="1"/>
    <col min="17" max="17" width="19.26953125" bestFit="1" customWidth="1"/>
    <col min="18" max="18" width="12.54296875" customWidth="1"/>
    <col min="19" max="19" width="16.26953125" bestFit="1" customWidth="1"/>
    <col min="20" max="20" width="12.54296875" bestFit="1" customWidth="1"/>
    <col min="21" max="21" width="12.54296875" customWidth="1"/>
    <col min="22" max="22" width="14.26953125" bestFit="1" customWidth="1"/>
    <col min="23" max="23" width="10.54296875" bestFit="1" customWidth="1"/>
    <col min="25" max="25" width="17.1796875" bestFit="1" customWidth="1"/>
    <col min="26" max="26" width="10.453125" bestFit="1" customWidth="1"/>
    <col min="27" max="27" width="18.36328125" customWidth="1"/>
    <col min="28" max="28" width="11.453125" customWidth="1"/>
  </cols>
  <sheetData>
    <row r="1" spans="1:28" ht="50.25" customHeight="1" x14ac:dyDescent="0.6">
      <c r="A1" s="1"/>
      <c r="B1" s="74" t="s">
        <v>26</v>
      </c>
      <c r="C1" s="74"/>
      <c r="D1" s="74"/>
      <c r="E1" s="74" t="s">
        <v>25</v>
      </c>
      <c r="F1" s="74"/>
      <c r="G1" s="74"/>
      <c r="K1">
        <v>19.399999999999999</v>
      </c>
      <c r="O1" s="18" t="s">
        <v>80</v>
      </c>
      <c r="P1" s="18">
        <v>42.3</v>
      </c>
      <c r="Q1" s="80" t="s">
        <v>122</v>
      </c>
      <c r="R1" s="80"/>
      <c r="S1" s="80"/>
      <c r="T1" s="80"/>
      <c r="U1" s="80"/>
      <c r="AB1" s="4"/>
    </row>
    <row r="2" spans="1:28" ht="50.25" customHeight="1" x14ac:dyDescent="0.6">
      <c r="A2" s="1"/>
      <c r="B2" s="3"/>
      <c r="C2" s="76" t="s">
        <v>43</v>
      </c>
      <c r="D2" s="76"/>
      <c r="E2" s="76" t="s">
        <v>43</v>
      </c>
      <c r="F2" s="76"/>
      <c r="G2" s="3" t="s">
        <v>53</v>
      </c>
      <c r="I2" s="3" t="s">
        <v>53</v>
      </c>
      <c r="L2" s="4" t="s">
        <v>118</v>
      </c>
      <c r="O2" s="18" t="s">
        <v>79</v>
      </c>
      <c r="P2" s="18">
        <v>34.06</v>
      </c>
      <c r="Q2" s="80"/>
      <c r="R2" s="80"/>
      <c r="S2" s="80"/>
      <c r="T2" s="80"/>
      <c r="U2" s="80"/>
    </row>
    <row r="3" spans="1:28" ht="30.5" x14ac:dyDescent="0.5">
      <c r="B3" s="8" t="s">
        <v>2</v>
      </c>
      <c r="C3" s="8" t="s">
        <v>3</v>
      </c>
      <c r="D3" s="8" t="s">
        <v>4</v>
      </c>
      <c r="E3" s="8" t="s">
        <v>3</v>
      </c>
      <c r="F3" s="8" t="s">
        <v>4</v>
      </c>
      <c r="G3" s="8" t="s">
        <v>3</v>
      </c>
      <c r="H3" s="14" t="s">
        <v>66</v>
      </c>
      <c r="I3" s="14" t="s">
        <v>4</v>
      </c>
      <c r="J3" s="14" t="s">
        <v>72</v>
      </c>
      <c r="K3" s="14" t="s">
        <v>103</v>
      </c>
      <c r="L3" s="14" t="s">
        <v>115</v>
      </c>
      <c r="M3" s="65" t="s">
        <v>119</v>
      </c>
      <c r="N3" s="14" t="s">
        <v>104</v>
      </c>
      <c r="O3" s="14" t="s">
        <v>54</v>
      </c>
      <c r="Q3" s="18"/>
      <c r="R3" s="77" t="s">
        <v>51</v>
      </c>
      <c r="S3" s="78"/>
      <c r="T3" s="78"/>
      <c r="U3" s="78"/>
      <c r="V3" s="79"/>
      <c r="Y3" s="66" t="s">
        <v>118</v>
      </c>
      <c r="Z3" s="66" t="s">
        <v>118</v>
      </c>
    </row>
    <row r="4" spans="1:28" ht="21" x14ac:dyDescent="0.5">
      <c r="B4" s="9" t="s">
        <v>23</v>
      </c>
      <c r="C4" s="9">
        <v>978</v>
      </c>
      <c r="D4" s="9">
        <v>834</v>
      </c>
      <c r="E4" s="9">
        <v>870</v>
      </c>
      <c r="F4" s="9">
        <v>731</v>
      </c>
      <c r="G4" s="9">
        <f>C4+E4</f>
        <v>1848</v>
      </c>
      <c r="H4" s="9">
        <f>G4-$P$1-$P$1</f>
        <v>1763.4</v>
      </c>
      <c r="I4" s="9">
        <f>D4+F4</f>
        <v>1565</v>
      </c>
      <c r="J4" s="9">
        <f>I4-$P$1-$P$1</f>
        <v>1480.4</v>
      </c>
      <c r="K4" s="9">
        <v>782.4</v>
      </c>
      <c r="L4" s="9">
        <f>K4-$K$1</f>
        <v>763</v>
      </c>
      <c r="M4" s="9">
        <f>L4/0.85</f>
        <v>897.64705882352939</v>
      </c>
      <c r="N4" s="9">
        <f>J4-L4</f>
        <v>717.40000000000009</v>
      </c>
      <c r="O4" s="10">
        <f>((H4-J4)/H4)*100</f>
        <v>16.04854258818192</v>
      </c>
      <c r="Q4" s="17" t="s">
        <v>2</v>
      </c>
      <c r="R4" s="17" t="s">
        <v>52</v>
      </c>
      <c r="S4" s="14" t="s">
        <v>66</v>
      </c>
      <c r="T4" s="21" t="s">
        <v>71</v>
      </c>
      <c r="U4" s="21" t="s">
        <v>70</v>
      </c>
      <c r="V4" s="14" t="s">
        <v>54</v>
      </c>
      <c r="Y4" s="66" t="s">
        <v>115</v>
      </c>
      <c r="Z4" s="66" t="s">
        <v>123</v>
      </c>
      <c r="AA4" s="68" t="s">
        <v>124</v>
      </c>
      <c r="AB4" t="s">
        <v>73</v>
      </c>
    </row>
    <row r="5" spans="1:28" x14ac:dyDescent="0.35">
      <c r="B5" s="9" t="s">
        <v>24</v>
      </c>
      <c r="C5" s="9">
        <v>786</v>
      </c>
      <c r="D5" s="9">
        <v>667</v>
      </c>
      <c r="E5" s="9">
        <v>859</v>
      </c>
      <c r="F5" s="9">
        <v>735</v>
      </c>
      <c r="G5" s="9">
        <f t="shared" ref="G5:G26" si="0">C5+E5</f>
        <v>1645</v>
      </c>
      <c r="H5" s="9">
        <f>G5-$P$1-$P$1</f>
        <v>1560.4</v>
      </c>
      <c r="I5" s="9">
        <f t="shared" ref="I5:I12" si="1">D5+F5</f>
        <v>1402</v>
      </c>
      <c r="J5" s="9">
        <f t="shared" ref="J4:J12" si="2">I5-$P$1-$P$1</f>
        <v>1317.4</v>
      </c>
      <c r="K5" s="9">
        <v>684.1</v>
      </c>
      <c r="L5" s="9">
        <f t="shared" ref="L5:L12" si="3">K5-$K$1</f>
        <v>664.7</v>
      </c>
      <c r="M5" s="9">
        <f t="shared" ref="M5:M11" si="4">L5/0.85</f>
        <v>782.00000000000011</v>
      </c>
      <c r="N5" s="9">
        <f t="shared" ref="N4:N12" si="5">J5-L5</f>
        <v>652.70000000000005</v>
      </c>
      <c r="O5" s="10">
        <f t="shared" ref="O4:O12" si="6">((H5-J5)/H5)*100</f>
        <v>15.572930017944117</v>
      </c>
      <c r="Q5" s="25" t="s">
        <v>23</v>
      </c>
      <c r="R5" s="25">
        <v>52.9</v>
      </c>
      <c r="S5" s="25">
        <f t="shared" ref="S5:S13" si="7">R5-$P$2</f>
        <v>18.839999999999996</v>
      </c>
      <c r="T5" s="23">
        <v>50.5</v>
      </c>
      <c r="U5" s="23">
        <f t="shared" ref="U5:U13" si="8">T5-$P$2</f>
        <v>16.439999999999998</v>
      </c>
      <c r="V5" s="26">
        <f t="shared" ref="V5:V13" si="9">((S5-U5)/S5)*100</f>
        <v>12.738853503184707</v>
      </c>
      <c r="X5" s="25" t="s">
        <v>23</v>
      </c>
      <c r="Y5" s="25">
        <f>L4</f>
        <v>763</v>
      </c>
      <c r="Z5" s="9">
        <f>N4+U5</f>
        <v>733.84000000000015</v>
      </c>
      <c r="AA5" s="67">
        <f>AVERAGE(Y5:Y13)*10000/1000000</f>
        <v>6.7312222222222209</v>
      </c>
      <c r="AB5" s="44" t="s">
        <v>85</v>
      </c>
    </row>
    <row r="6" spans="1:28" x14ac:dyDescent="0.35">
      <c r="B6" s="9" t="s">
        <v>27</v>
      </c>
      <c r="C6" s="9">
        <v>723</v>
      </c>
      <c r="D6" s="9">
        <v>621</v>
      </c>
      <c r="E6" s="9">
        <v>785</v>
      </c>
      <c r="F6" s="9">
        <v>660</v>
      </c>
      <c r="G6" s="9">
        <f t="shared" si="0"/>
        <v>1508</v>
      </c>
      <c r="H6" s="9">
        <f t="shared" ref="H6:H12" si="10">G6-$P$1-$P$1</f>
        <v>1423.4</v>
      </c>
      <c r="I6" s="9">
        <f t="shared" si="1"/>
        <v>1281</v>
      </c>
      <c r="J6" s="9">
        <f t="shared" si="2"/>
        <v>1196.4000000000001</v>
      </c>
      <c r="K6" s="9">
        <v>617.5</v>
      </c>
      <c r="L6" s="9">
        <f t="shared" si="3"/>
        <v>598.1</v>
      </c>
      <c r="M6" s="9">
        <f t="shared" si="4"/>
        <v>703.64705882352951</v>
      </c>
      <c r="N6" s="9">
        <f t="shared" si="5"/>
        <v>598.30000000000007</v>
      </c>
      <c r="O6" s="10">
        <f t="shared" si="6"/>
        <v>15.947730785443303</v>
      </c>
      <c r="Q6" s="25" t="s">
        <v>24</v>
      </c>
      <c r="R6" s="25">
        <v>59.5</v>
      </c>
      <c r="S6" s="25">
        <f t="shared" si="7"/>
        <v>25.439999999999998</v>
      </c>
      <c r="T6" s="23">
        <v>56.4</v>
      </c>
      <c r="U6" s="23">
        <f t="shared" si="8"/>
        <v>22.339999999999996</v>
      </c>
      <c r="V6" s="26">
        <f t="shared" si="9"/>
        <v>12.185534591194976</v>
      </c>
      <c r="X6" s="25" t="s">
        <v>24</v>
      </c>
      <c r="Y6" s="25">
        <f t="shared" ref="Y5:Y13" si="11">L5</f>
        <v>664.7</v>
      </c>
      <c r="Z6" s="9">
        <f t="shared" ref="Z6:Z13" si="12">N5+U6</f>
        <v>675.04000000000008</v>
      </c>
      <c r="AB6" s="45">
        <f t="shared" ref="AB6:AB14" si="13">S5*1.053</f>
        <v>19.838519999999995</v>
      </c>
    </row>
    <row r="7" spans="1:28" x14ac:dyDescent="0.35">
      <c r="B7" s="9" t="s">
        <v>28</v>
      </c>
      <c r="C7" s="9">
        <v>954</v>
      </c>
      <c r="D7" s="9">
        <v>818</v>
      </c>
      <c r="E7" s="9">
        <v>790</v>
      </c>
      <c r="F7" s="9">
        <v>668</v>
      </c>
      <c r="G7" s="9">
        <f t="shared" si="0"/>
        <v>1744</v>
      </c>
      <c r="H7" s="9">
        <f t="shared" si="10"/>
        <v>1659.4</v>
      </c>
      <c r="I7" s="9">
        <f t="shared" si="1"/>
        <v>1486</v>
      </c>
      <c r="J7" s="9">
        <f t="shared" si="2"/>
        <v>1401.4</v>
      </c>
      <c r="K7" s="9">
        <v>645.4</v>
      </c>
      <c r="L7" s="9">
        <f t="shared" si="3"/>
        <v>626</v>
      </c>
      <c r="M7" s="9">
        <f t="shared" si="4"/>
        <v>736.47058823529414</v>
      </c>
      <c r="N7" s="9">
        <f t="shared" si="5"/>
        <v>775.40000000000009</v>
      </c>
      <c r="O7" s="10">
        <f t="shared" si="6"/>
        <v>15.547788357237554</v>
      </c>
      <c r="Q7" s="25" t="s">
        <v>27</v>
      </c>
      <c r="R7" s="25">
        <v>80.900000000000006</v>
      </c>
      <c r="S7" s="25">
        <f t="shared" si="7"/>
        <v>46.84</v>
      </c>
      <c r="T7" s="23">
        <v>76.3</v>
      </c>
      <c r="U7" s="23">
        <f t="shared" si="8"/>
        <v>42.239999999999995</v>
      </c>
      <c r="V7" s="26">
        <f t="shared" si="9"/>
        <v>9.8206660973527082</v>
      </c>
      <c r="X7" s="25" t="s">
        <v>27</v>
      </c>
      <c r="Y7" s="25">
        <f t="shared" si="11"/>
        <v>598.1</v>
      </c>
      <c r="Z7" s="9">
        <f t="shared" si="12"/>
        <v>640.54000000000008</v>
      </c>
      <c r="AB7" s="45">
        <f t="shared" si="13"/>
        <v>26.788319999999995</v>
      </c>
    </row>
    <row r="8" spans="1:28" x14ac:dyDescent="0.35">
      <c r="B8" s="9" t="s">
        <v>29</v>
      </c>
      <c r="C8" s="9">
        <v>882</v>
      </c>
      <c r="D8" s="9">
        <v>742</v>
      </c>
      <c r="E8" s="9">
        <v>960</v>
      </c>
      <c r="F8" s="9">
        <v>787</v>
      </c>
      <c r="G8" s="9">
        <f t="shared" si="0"/>
        <v>1842</v>
      </c>
      <c r="H8" s="9">
        <f t="shared" si="10"/>
        <v>1757.4</v>
      </c>
      <c r="I8" s="9">
        <f t="shared" si="1"/>
        <v>1529</v>
      </c>
      <c r="J8" s="9">
        <f t="shared" si="2"/>
        <v>1444.4</v>
      </c>
      <c r="K8" s="9">
        <v>755</v>
      </c>
      <c r="L8" s="9">
        <f t="shared" si="3"/>
        <v>735.6</v>
      </c>
      <c r="M8" s="9">
        <f t="shared" si="4"/>
        <v>865.41176470588243</v>
      </c>
      <c r="N8" s="9">
        <f t="shared" si="5"/>
        <v>708.80000000000007</v>
      </c>
      <c r="O8" s="10">
        <f t="shared" si="6"/>
        <v>17.810401729828154</v>
      </c>
      <c r="Q8" s="25" t="s">
        <v>28</v>
      </c>
      <c r="R8" s="25">
        <v>70</v>
      </c>
      <c r="S8" s="25">
        <f t="shared" si="7"/>
        <v>35.94</v>
      </c>
      <c r="T8" s="23">
        <v>66.5</v>
      </c>
      <c r="U8" s="23">
        <f t="shared" si="8"/>
        <v>32.44</v>
      </c>
      <c r="V8" s="26">
        <f t="shared" si="9"/>
        <v>9.7384529771841954</v>
      </c>
      <c r="X8" s="25" t="s">
        <v>28</v>
      </c>
      <c r="Y8" s="25">
        <f t="shared" si="11"/>
        <v>626</v>
      </c>
      <c r="Z8" s="9">
        <f t="shared" si="12"/>
        <v>807.84000000000015</v>
      </c>
      <c r="AB8" s="45">
        <f t="shared" si="13"/>
        <v>49.322519999999997</v>
      </c>
    </row>
    <row r="9" spans="1:28" x14ac:dyDescent="0.35">
      <c r="B9" s="9" t="s">
        <v>30</v>
      </c>
      <c r="C9" s="9">
        <v>781</v>
      </c>
      <c r="D9" s="9">
        <v>661</v>
      </c>
      <c r="E9" s="9">
        <v>793</v>
      </c>
      <c r="F9" s="9">
        <v>673</v>
      </c>
      <c r="G9" s="9">
        <f t="shared" si="0"/>
        <v>1574</v>
      </c>
      <c r="H9" s="9">
        <f t="shared" si="10"/>
        <v>1489.4</v>
      </c>
      <c r="I9" s="9">
        <f t="shared" si="1"/>
        <v>1334</v>
      </c>
      <c r="J9" s="9">
        <f t="shared" si="2"/>
        <v>1249.4000000000001</v>
      </c>
      <c r="K9" s="9">
        <v>737.5</v>
      </c>
      <c r="L9" s="9">
        <f t="shared" si="3"/>
        <v>718.1</v>
      </c>
      <c r="M9" s="9">
        <f t="shared" si="4"/>
        <v>844.82352941176475</v>
      </c>
      <c r="N9" s="9">
        <f t="shared" si="5"/>
        <v>531.30000000000007</v>
      </c>
      <c r="O9" s="10">
        <f t="shared" si="6"/>
        <v>16.113871357593663</v>
      </c>
      <c r="Q9" s="25" t="s">
        <v>29</v>
      </c>
      <c r="R9" s="25">
        <v>51.9</v>
      </c>
      <c r="S9" s="25">
        <f t="shared" si="7"/>
        <v>17.839999999999996</v>
      </c>
      <c r="T9" s="23">
        <v>49.9</v>
      </c>
      <c r="U9" s="23">
        <f t="shared" si="8"/>
        <v>15.839999999999996</v>
      </c>
      <c r="V9" s="26">
        <f t="shared" si="9"/>
        <v>11.210762331838566</v>
      </c>
      <c r="X9" s="25" t="s">
        <v>29</v>
      </c>
      <c r="Y9" s="25">
        <f t="shared" si="11"/>
        <v>735.6</v>
      </c>
      <c r="Z9" s="9">
        <f t="shared" si="12"/>
        <v>724.6400000000001</v>
      </c>
      <c r="AB9" s="45">
        <f t="shared" si="13"/>
        <v>37.844819999999999</v>
      </c>
    </row>
    <row r="10" spans="1:28" x14ac:dyDescent="0.35">
      <c r="B10" s="9" t="s">
        <v>31</v>
      </c>
      <c r="C10" s="9">
        <v>681</v>
      </c>
      <c r="D10" s="9">
        <v>575</v>
      </c>
      <c r="E10" s="9">
        <v>722</v>
      </c>
      <c r="F10" s="9">
        <v>592</v>
      </c>
      <c r="G10" s="9">
        <f t="shared" si="0"/>
        <v>1403</v>
      </c>
      <c r="H10" s="9">
        <f t="shared" si="10"/>
        <v>1318.4</v>
      </c>
      <c r="I10" s="9">
        <f t="shared" si="1"/>
        <v>1167</v>
      </c>
      <c r="J10" s="9">
        <f t="shared" si="2"/>
        <v>1082.4000000000001</v>
      </c>
      <c r="K10" s="9">
        <v>583.6</v>
      </c>
      <c r="L10" s="9">
        <f t="shared" si="3"/>
        <v>564.20000000000005</v>
      </c>
      <c r="M10" s="9">
        <f t="shared" si="4"/>
        <v>663.76470588235304</v>
      </c>
      <c r="N10" s="9">
        <f t="shared" si="5"/>
        <v>518.20000000000005</v>
      </c>
      <c r="O10" s="10">
        <f t="shared" si="6"/>
        <v>17.900485436893202</v>
      </c>
      <c r="Q10" s="25" t="s">
        <v>30</v>
      </c>
      <c r="R10" s="25">
        <v>59.4</v>
      </c>
      <c r="S10" s="25">
        <f t="shared" si="7"/>
        <v>25.339999999999996</v>
      </c>
      <c r="T10" s="23">
        <v>57</v>
      </c>
      <c r="U10" s="23">
        <f t="shared" si="8"/>
        <v>22.939999999999998</v>
      </c>
      <c r="V10" s="26">
        <f t="shared" si="9"/>
        <v>9.4711917916337764</v>
      </c>
      <c r="X10" s="25" t="s">
        <v>30</v>
      </c>
      <c r="Y10" s="25">
        <f t="shared" si="11"/>
        <v>718.1</v>
      </c>
      <c r="Z10" s="9">
        <f t="shared" si="12"/>
        <v>554.24</v>
      </c>
      <c r="AB10" s="45">
        <f t="shared" si="13"/>
        <v>18.785519999999995</v>
      </c>
    </row>
    <row r="11" spans="1:28" x14ac:dyDescent="0.35">
      <c r="B11" s="9" t="s">
        <v>32</v>
      </c>
      <c r="C11" s="9">
        <v>741</v>
      </c>
      <c r="D11" s="9">
        <v>621</v>
      </c>
      <c r="E11" s="9">
        <v>767</v>
      </c>
      <c r="F11" s="9">
        <v>645</v>
      </c>
      <c r="G11" s="9">
        <f t="shared" si="0"/>
        <v>1508</v>
      </c>
      <c r="H11" s="9">
        <f t="shared" si="10"/>
        <v>1423.4</v>
      </c>
      <c r="I11" s="9">
        <f t="shared" si="1"/>
        <v>1266</v>
      </c>
      <c r="J11" s="9">
        <f t="shared" si="2"/>
        <v>1181.4000000000001</v>
      </c>
      <c r="K11" s="9">
        <v>651.9</v>
      </c>
      <c r="L11" s="9">
        <f t="shared" si="3"/>
        <v>632.5</v>
      </c>
      <c r="M11" s="9">
        <f t="shared" si="4"/>
        <v>744.11764705882354</v>
      </c>
      <c r="N11" s="9">
        <f t="shared" si="5"/>
        <v>548.90000000000009</v>
      </c>
      <c r="O11" s="10">
        <f t="shared" si="6"/>
        <v>17.001545595054097</v>
      </c>
      <c r="Q11" s="25" t="s">
        <v>31</v>
      </c>
      <c r="R11" s="25">
        <v>74.2</v>
      </c>
      <c r="S11" s="25">
        <f t="shared" si="7"/>
        <v>40.14</v>
      </c>
      <c r="T11" s="23">
        <v>70.599999999999994</v>
      </c>
      <c r="U11" s="23">
        <f t="shared" si="8"/>
        <v>36.539999999999992</v>
      </c>
      <c r="V11" s="26">
        <f t="shared" si="9"/>
        <v>8.9686098654708744</v>
      </c>
      <c r="X11" s="25" t="s">
        <v>31</v>
      </c>
      <c r="Y11" s="25">
        <f t="shared" si="11"/>
        <v>564.20000000000005</v>
      </c>
      <c r="Z11" s="9">
        <f t="shared" si="12"/>
        <v>554.74</v>
      </c>
      <c r="AB11" s="45">
        <f t="shared" si="13"/>
        <v>26.683019999999996</v>
      </c>
    </row>
    <row r="12" spans="1:28" x14ac:dyDescent="0.35">
      <c r="B12" s="9" t="s">
        <v>33</v>
      </c>
      <c r="C12" s="9">
        <v>860</v>
      </c>
      <c r="D12" s="9">
        <v>712</v>
      </c>
      <c r="E12" s="9">
        <v>882</v>
      </c>
      <c r="F12" s="9">
        <v>734</v>
      </c>
      <c r="G12" s="9">
        <f t="shared" si="0"/>
        <v>1742</v>
      </c>
      <c r="H12" s="9">
        <f t="shared" si="10"/>
        <v>1657.4</v>
      </c>
      <c r="I12" s="9">
        <f t="shared" si="1"/>
        <v>1446</v>
      </c>
      <c r="J12" s="9">
        <f t="shared" si="2"/>
        <v>1361.4</v>
      </c>
      <c r="K12" s="9">
        <v>775.3</v>
      </c>
      <c r="L12" s="9">
        <f t="shared" si="3"/>
        <v>755.9</v>
      </c>
      <c r="M12" s="9">
        <f>L12/0.85</f>
        <v>889.29411764705878</v>
      </c>
      <c r="N12" s="9">
        <f t="shared" si="5"/>
        <v>605.50000000000011</v>
      </c>
      <c r="O12" s="10">
        <f t="shared" si="6"/>
        <v>17.859297695185226</v>
      </c>
      <c r="Q12" s="25" t="s">
        <v>32</v>
      </c>
      <c r="R12" s="25">
        <v>68.7</v>
      </c>
      <c r="S12" s="25">
        <f t="shared" si="7"/>
        <v>34.64</v>
      </c>
      <c r="T12" s="23">
        <v>65.599999999999994</v>
      </c>
      <c r="U12" s="23">
        <f t="shared" si="8"/>
        <v>31.539999999999992</v>
      </c>
      <c r="V12" s="26">
        <f t="shared" si="9"/>
        <v>8.9491916859122647</v>
      </c>
      <c r="X12" s="25" t="s">
        <v>32</v>
      </c>
      <c r="Y12" s="25">
        <f t="shared" si="11"/>
        <v>632.5</v>
      </c>
      <c r="Z12" s="9">
        <f t="shared" si="12"/>
        <v>580.44000000000005</v>
      </c>
      <c r="AB12" s="45">
        <f t="shared" si="13"/>
        <v>42.267420000000001</v>
      </c>
    </row>
    <row r="13" spans="1:28" ht="18.5" x14ac:dyDescent="0.45">
      <c r="B13" s="11" t="s">
        <v>59</v>
      </c>
      <c r="C13" s="7"/>
      <c r="D13" s="7"/>
      <c r="E13" s="7"/>
      <c r="F13" s="7"/>
      <c r="G13" s="12"/>
      <c r="H13" s="33"/>
      <c r="I13" s="12"/>
      <c r="J13" s="33"/>
      <c r="K13" s="33"/>
      <c r="L13" s="33">
        <f>AVERAGE(L4:L12)</f>
        <v>673.12222222222215</v>
      </c>
      <c r="M13" s="33">
        <f t="shared" ref="M13" si="14">AVERAGE(M4:M12)</f>
        <v>791.90849673202615</v>
      </c>
      <c r="N13" s="33">
        <f>AVERAGE(N4:N12)</f>
        <v>628.5</v>
      </c>
      <c r="O13" s="38">
        <f t="shared" ref="O13" si="15">AVERAGE(O4:O12)</f>
        <v>16.644732618151252</v>
      </c>
      <c r="Q13" s="25" t="s">
        <v>33</v>
      </c>
      <c r="R13" s="25">
        <v>55.2</v>
      </c>
      <c r="S13" s="25">
        <f t="shared" si="7"/>
        <v>21.14</v>
      </c>
      <c r="T13" s="23">
        <v>52.1</v>
      </c>
      <c r="U13" s="23">
        <f t="shared" si="8"/>
        <v>18.04</v>
      </c>
      <c r="V13" s="26">
        <f t="shared" si="9"/>
        <v>14.664143803216657</v>
      </c>
      <c r="X13" s="25" t="s">
        <v>33</v>
      </c>
      <c r="Y13" s="25">
        <f t="shared" si="11"/>
        <v>755.9</v>
      </c>
      <c r="Z13" s="9">
        <f t="shared" si="12"/>
        <v>623.54000000000008</v>
      </c>
      <c r="AB13" s="45">
        <f t="shared" si="13"/>
        <v>36.475919999999995</v>
      </c>
    </row>
    <row r="14" spans="1:28" ht="18.5" x14ac:dyDescent="0.45">
      <c r="B14" s="11" t="s">
        <v>55</v>
      </c>
      <c r="C14" s="7"/>
      <c r="D14" s="7"/>
      <c r="E14" s="7"/>
      <c r="F14" s="7"/>
      <c r="G14" s="12"/>
      <c r="H14" s="33"/>
      <c r="I14" s="12"/>
      <c r="J14" s="33"/>
      <c r="K14" s="33"/>
      <c r="L14" s="33">
        <f t="shared" ref="L14:N14" si="16">_xlfn.STDEV.P(L4:L12)/SQRT(9)</f>
        <v>22.849652334269567</v>
      </c>
      <c r="M14" s="33">
        <f t="shared" si="16"/>
        <v>26.881943922670029</v>
      </c>
      <c r="N14" s="33">
        <f t="shared" si="16"/>
        <v>28.524990126701212</v>
      </c>
      <c r="O14" s="38">
        <f t="shared" ref="O14" si="17">_xlfn.STDEV.P(O4:O12)/SQRT(9)</f>
        <v>0.31453078430837428</v>
      </c>
      <c r="Q14" s="27" t="s">
        <v>59</v>
      </c>
      <c r="R14" s="30"/>
      <c r="S14" s="35"/>
      <c r="T14" s="30"/>
      <c r="U14" s="30">
        <f>AVERAGE(U5:U13)</f>
        <v>26.484444444444438</v>
      </c>
      <c r="V14" s="30">
        <f>AVERAGE(V5:V13)</f>
        <v>10.860822960776526</v>
      </c>
      <c r="X14" s="25" t="s">
        <v>34</v>
      </c>
      <c r="Y14" s="25">
        <f>L18</f>
        <v>579.5</v>
      </c>
      <c r="Z14" s="9">
        <f t="shared" ref="Z14:Z22" si="18">N18+U19</f>
        <v>588.04000000000008</v>
      </c>
      <c r="AA14" s="67">
        <f>AVERAGE(Y14:Y22)*10000/1000000</f>
        <v>6.3078888888888889</v>
      </c>
      <c r="AB14" s="45">
        <f t="shared" si="13"/>
        <v>22.26042</v>
      </c>
    </row>
    <row r="15" spans="1:28" ht="18.5" x14ac:dyDescent="0.35">
      <c r="B15" s="7"/>
      <c r="C15" s="7"/>
      <c r="D15" s="7"/>
      <c r="E15" s="7"/>
      <c r="F15" s="7"/>
      <c r="G15" s="7"/>
      <c r="Q15" s="27" t="s">
        <v>55</v>
      </c>
      <c r="R15" s="30"/>
      <c r="S15" s="35"/>
      <c r="T15" s="30"/>
      <c r="U15" s="30">
        <f>_xlfn.STDEV.P(U5:U13)/SQRT(9)</f>
        <v>2.9930417704703891</v>
      </c>
      <c r="V15" s="30">
        <f>_xlfn.STDEV.P(V5:V13)/SQRT(9)</f>
        <v>0.62239170917743314</v>
      </c>
      <c r="X15" s="25" t="s">
        <v>35</v>
      </c>
      <c r="Y15" s="25">
        <f t="shared" ref="Y14:Y22" si="19">L19</f>
        <v>571.9</v>
      </c>
      <c r="Z15" s="9">
        <f t="shared" si="18"/>
        <v>736.74000000000012</v>
      </c>
      <c r="AB15" s="45">
        <f t="shared" ref="AB15:AB23" si="20">S19*1.071</f>
        <v>103.92983999999998</v>
      </c>
    </row>
    <row r="16" spans="1:28" ht="24" x14ac:dyDescent="0.5">
      <c r="B16" s="3"/>
      <c r="C16" s="76" t="s">
        <v>43</v>
      </c>
      <c r="D16" s="76"/>
      <c r="E16" s="76" t="s">
        <v>43</v>
      </c>
      <c r="F16" s="76"/>
      <c r="G16" s="3" t="s">
        <v>53</v>
      </c>
      <c r="H16" s="3"/>
      <c r="I16" s="3" t="s">
        <v>53</v>
      </c>
      <c r="J16" s="3"/>
      <c r="K16" s="3"/>
      <c r="L16" s="4" t="s">
        <v>118</v>
      </c>
      <c r="X16" s="25" t="s">
        <v>36</v>
      </c>
      <c r="Y16" s="25">
        <f t="shared" si="19"/>
        <v>745.5</v>
      </c>
      <c r="Z16" s="9">
        <f t="shared" si="18"/>
        <v>643.24000000000012</v>
      </c>
      <c r="AB16" s="45">
        <f t="shared" si="20"/>
        <v>96.754139999999992</v>
      </c>
    </row>
    <row r="17" spans="2:28" ht="29" x14ac:dyDescent="0.35">
      <c r="B17" s="8" t="s">
        <v>2</v>
      </c>
      <c r="C17" s="8" t="s">
        <v>3</v>
      </c>
      <c r="D17" s="8" t="s">
        <v>4</v>
      </c>
      <c r="E17" s="8" t="s">
        <v>3</v>
      </c>
      <c r="F17" s="8" t="s">
        <v>4</v>
      </c>
      <c r="G17" s="8" t="s">
        <v>3</v>
      </c>
      <c r="H17" s="14" t="s">
        <v>66</v>
      </c>
      <c r="I17" s="14" t="s">
        <v>4</v>
      </c>
      <c r="J17" s="14" t="s">
        <v>67</v>
      </c>
      <c r="K17" s="14" t="s">
        <v>103</v>
      </c>
      <c r="L17" s="14" t="s">
        <v>115</v>
      </c>
      <c r="M17" s="65" t="s">
        <v>119</v>
      </c>
      <c r="N17" s="14" t="s">
        <v>104</v>
      </c>
      <c r="O17" s="14" t="s">
        <v>54</v>
      </c>
      <c r="Q17" s="18"/>
      <c r="R17" s="77" t="s">
        <v>51</v>
      </c>
      <c r="S17" s="78"/>
      <c r="T17" s="78"/>
      <c r="U17" s="78"/>
      <c r="V17" s="79"/>
      <c r="X17" s="25" t="s">
        <v>37</v>
      </c>
      <c r="Y17" s="25">
        <f t="shared" si="19"/>
        <v>628.70000000000005</v>
      </c>
      <c r="Z17" s="9">
        <f t="shared" si="18"/>
        <v>660.04000000000008</v>
      </c>
      <c r="AB17" s="45">
        <f t="shared" si="20"/>
        <v>68.051339999999982</v>
      </c>
    </row>
    <row r="18" spans="2:28" ht="15.5" x14ac:dyDescent="0.35">
      <c r="B18" s="9" t="s">
        <v>34</v>
      </c>
      <c r="C18" s="9">
        <v>726</v>
      </c>
      <c r="D18" s="9">
        <v>606</v>
      </c>
      <c r="E18" s="9">
        <v>664</v>
      </c>
      <c r="F18" s="9">
        <v>556</v>
      </c>
      <c r="G18" s="9">
        <f>C18+E18</f>
        <v>1390</v>
      </c>
      <c r="H18" s="9">
        <f t="shared" ref="H18:H26" si="21">G18-$P$1-$P$1</f>
        <v>1305.4000000000001</v>
      </c>
      <c r="I18" s="9">
        <f>D18+F18</f>
        <v>1162</v>
      </c>
      <c r="J18" s="9">
        <f t="shared" ref="J18:J26" si="22">I18-$P$1-$P$1</f>
        <v>1077.4000000000001</v>
      </c>
      <c r="K18" s="9">
        <v>598.9</v>
      </c>
      <c r="L18" s="9">
        <f t="shared" ref="L18:L26" si="23">K18-$K$1</f>
        <v>579.5</v>
      </c>
      <c r="M18" s="9">
        <f t="shared" ref="M18:M26" si="24">L18/0.85</f>
        <v>681.76470588235293</v>
      </c>
      <c r="N18" s="9">
        <f t="shared" ref="N18:N26" si="25">J18-L18</f>
        <v>497.90000000000009</v>
      </c>
      <c r="O18" s="10">
        <f t="shared" ref="O18:O26" si="26">((H18-J18)/H18)*100</f>
        <v>17.465910831928909</v>
      </c>
      <c r="Q18" s="17" t="s">
        <v>2</v>
      </c>
      <c r="R18" s="17" t="s">
        <v>52</v>
      </c>
      <c r="S18" s="14" t="s">
        <v>66</v>
      </c>
      <c r="T18" s="21" t="s">
        <v>71</v>
      </c>
      <c r="U18" s="21" t="s">
        <v>70</v>
      </c>
      <c r="V18" s="14" t="s">
        <v>54</v>
      </c>
      <c r="X18" s="25" t="s">
        <v>38</v>
      </c>
      <c r="Y18" s="25">
        <f t="shared" si="19"/>
        <v>760.80000000000007</v>
      </c>
      <c r="Z18" s="9">
        <f t="shared" si="18"/>
        <v>754.14</v>
      </c>
      <c r="AB18" s="45">
        <f t="shared" si="20"/>
        <v>74.048940000000002</v>
      </c>
    </row>
    <row r="19" spans="2:28" x14ac:dyDescent="0.35">
      <c r="B19" s="9" t="s">
        <v>35</v>
      </c>
      <c r="C19" s="9">
        <v>877</v>
      </c>
      <c r="D19" s="9">
        <v>730</v>
      </c>
      <c r="E19" s="9">
        <v>688</v>
      </c>
      <c r="F19" s="9">
        <v>580</v>
      </c>
      <c r="G19" s="9">
        <f t="shared" si="0"/>
        <v>1565</v>
      </c>
      <c r="H19" s="9">
        <f t="shared" si="21"/>
        <v>1480.4</v>
      </c>
      <c r="I19" s="9">
        <f t="shared" ref="I19:I26" si="27">D19+F19</f>
        <v>1310</v>
      </c>
      <c r="J19" s="9">
        <f t="shared" si="22"/>
        <v>1225.4000000000001</v>
      </c>
      <c r="K19" s="9">
        <v>591.29999999999995</v>
      </c>
      <c r="L19" s="9">
        <f t="shared" si="23"/>
        <v>571.9</v>
      </c>
      <c r="M19" s="9">
        <f t="shared" si="24"/>
        <v>672.82352941176475</v>
      </c>
      <c r="N19" s="9">
        <f t="shared" si="25"/>
        <v>653.50000000000011</v>
      </c>
      <c r="O19" s="10">
        <f t="shared" si="26"/>
        <v>17.225074304242096</v>
      </c>
      <c r="Q19" s="25" t="s">
        <v>34</v>
      </c>
      <c r="R19" s="25">
        <v>131.1</v>
      </c>
      <c r="S19" s="25">
        <f t="shared" ref="S19:S27" si="28">R19-$P$2</f>
        <v>97.039999999999992</v>
      </c>
      <c r="T19" s="23">
        <v>124.2</v>
      </c>
      <c r="U19" s="23">
        <f t="shared" ref="U19:U27" si="29">T19-$P$2</f>
        <v>90.14</v>
      </c>
      <c r="V19" s="26">
        <f>((S19-U19)/S19)*100</f>
        <v>7.1104699093157375</v>
      </c>
      <c r="X19" s="25" t="s">
        <v>39</v>
      </c>
      <c r="Y19" s="25">
        <f t="shared" si="19"/>
        <v>654.9</v>
      </c>
      <c r="Z19" s="9">
        <f t="shared" si="18"/>
        <v>677.1400000000001</v>
      </c>
      <c r="AB19" s="45">
        <f t="shared" si="20"/>
        <v>65.159639999999996</v>
      </c>
    </row>
    <row r="20" spans="2:28" x14ac:dyDescent="0.35">
      <c r="B20" s="9" t="s">
        <v>36</v>
      </c>
      <c r="C20" s="9">
        <v>778</v>
      </c>
      <c r="D20" s="9">
        <v>660</v>
      </c>
      <c r="E20" s="9">
        <v>898</v>
      </c>
      <c r="F20" s="9">
        <v>761</v>
      </c>
      <c r="G20" s="9">
        <f t="shared" si="0"/>
        <v>1676</v>
      </c>
      <c r="H20" s="9">
        <f t="shared" si="21"/>
        <v>1591.4</v>
      </c>
      <c r="I20" s="9">
        <f t="shared" si="27"/>
        <v>1421</v>
      </c>
      <c r="J20" s="9">
        <f t="shared" si="22"/>
        <v>1336.4</v>
      </c>
      <c r="K20" s="9">
        <v>764.9</v>
      </c>
      <c r="L20" s="9">
        <f t="shared" si="23"/>
        <v>745.5</v>
      </c>
      <c r="M20" s="9">
        <f t="shared" si="24"/>
        <v>877.05882352941182</v>
      </c>
      <c r="N20" s="9">
        <f t="shared" si="25"/>
        <v>590.90000000000009</v>
      </c>
      <c r="O20" s="10">
        <f t="shared" si="26"/>
        <v>16.023626995098656</v>
      </c>
      <c r="Q20" s="25" t="s">
        <v>35</v>
      </c>
      <c r="R20" s="25">
        <v>124.4</v>
      </c>
      <c r="S20" s="25">
        <f t="shared" si="28"/>
        <v>90.34</v>
      </c>
      <c r="T20" s="23">
        <v>117.3</v>
      </c>
      <c r="U20" s="23">
        <f t="shared" si="29"/>
        <v>83.24</v>
      </c>
      <c r="V20" s="26">
        <f>((S20-U20)/S20)*100</f>
        <v>7.8591985831304054</v>
      </c>
      <c r="X20" s="25" t="s">
        <v>40</v>
      </c>
      <c r="Y20" s="25">
        <f t="shared" si="19"/>
        <v>451.90000000000003</v>
      </c>
      <c r="Z20" s="9">
        <f t="shared" si="18"/>
        <v>515.74</v>
      </c>
      <c r="AB20" s="45">
        <f t="shared" si="20"/>
        <v>85.187339999999992</v>
      </c>
    </row>
    <row r="21" spans="2:28" x14ac:dyDescent="0.35">
      <c r="B21" s="9" t="s">
        <v>37</v>
      </c>
      <c r="C21" s="9">
        <v>755</v>
      </c>
      <c r="D21" s="9">
        <v>636</v>
      </c>
      <c r="E21" s="9">
        <v>795</v>
      </c>
      <c r="F21" s="9">
        <v>673</v>
      </c>
      <c r="G21" s="9">
        <f t="shared" si="0"/>
        <v>1550</v>
      </c>
      <c r="H21" s="9">
        <f t="shared" si="21"/>
        <v>1465.4</v>
      </c>
      <c r="I21" s="9">
        <f t="shared" si="27"/>
        <v>1309</v>
      </c>
      <c r="J21" s="9">
        <f t="shared" si="22"/>
        <v>1224.4000000000001</v>
      </c>
      <c r="K21" s="9">
        <v>648.1</v>
      </c>
      <c r="L21" s="9">
        <f t="shared" si="23"/>
        <v>628.70000000000005</v>
      </c>
      <c r="M21" s="9">
        <f t="shared" si="24"/>
        <v>739.64705882352951</v>
      </c>
      <c r="N21" s="9">
        <f t="shared" si="25"/>
        <v>595.70000000000005</v>
      </c>
      <c r="O21" s="10">
        <f t="shared" si="26"/>
        <v>16.446021564078066</v>
      </c>
      <c r="Q21" s="25" t="s">
        <v>36</v>
      </c>
      <c r="R21" s="25">
        <v>97.6</v>
      </c>
      <c r="S21" s="25">
        <f t="shared" si="28"/>
        <v>63.539999999999992</v>
      </c>
      <c r="T21" s="23">
        <v>86.4</v>
      </c>
      <c r="U21" s="23">
        <f t="shared" si="29"/>
        <v>52.34</v>
      </c>
      <c r="V21" s="26">
        <f t="shared" ref="V21:V27" si="30">((S21-U21)/S21)*100</f>
        <v>17.626691847655003</v>
      </c>
      <c r="X21" s="25" t="s">
        <v>41</v>
      </c>
      <c r="Y21" s="25">
        <f t="shared" si="19"/>
        <v>665</v>
      </c>
      <c r="Z21" s="9">
        <f t="shared" si="18"/>
        <v>687.24000000000012</v>
      </c>
      <c r="AB21" s="45">
        <f t="shared" si="20"/>
        <v>83.366640000000004</v>
      </c>
    </row>
    <row r="22" spans="2:28" x14ac:dyDescent="0.35">
      <c r="B22" s="9" t="s">
        <v>38</v>
      </c>
      <c r="C22" s="9">
        <v>988</v>
      </c>
      <c r="D22" s="9">
        <v>832</v>
      </c>
      <c r="E22" s="9">
        <v>848</v>
      </c>
      <c r="F22" s="9">
        <v>712</v>
      </c>
      <c r="G22" s="9">
        <f t="shared" si="0"/>
        <v>1836</v>
      </c>
      <c r="H22" s="9">
        <f t="shared" si="21"/>
        <v>1751.4</v>
      </c>
      <c r="I22" s="9">
        <f t="shared" si="27"/>
        <v>1544</v>
      </c>
      <c r="J22" s="9">
        <f t="shared" si="22"/>
        <v>1459.4</v>
      </c>
      <c r="K22" s="9">
        <v>780.2</v>
      </c>
      <c r="L22" s="9">
        <f t="shared" si="23"/>
        <v>760.80000000000007</v>
      </c>
      <c r="M22" s="9">
        <f t="shared" si="24"/>
        <v>895.05882352941182</v>
      </c>
      <c r="N22" s="9">
        <f t="shared" si="25"/>
        <v>698.6</v>
      </c>
      <c r="O22" s="10">
        <f t="shared" si="26"/>
        <v>16.672376384606601</v>
      </c>
      <c r="Q22" s="25" t="s">
        <v>37</v>
      </c>
      <c r="R22" s="25">
        <v>103.2</v>
      </c>
      <c r="S22" s="25">
        <f t="shared" si="28"/>
        <v>69.14</v>
      </c>
      <c r="T22" s="23">
        <v>98.4</v>
      </c>
      <c r="U22" s="23">
        <f t="shared" si="29"/>
        <v>64.34</v>
      </c>
      <c r="V22" s="26">
        <f t="shared" si="30"/>
        <v>6.9424356378362697</v>
      </c>
      <c r="X22" s="25" t="s">
        <v>42</v>
      </c>
      <c r="Y22" s="25">
        <f t="shared" si="19"/>
        <v>618.9</v>
      </c>
      <c r="Z22" s="9">
        <f t="shared" si="18"/>
        <v>601.34000000000015</v>
      </c>
      <c r="AB22" s="45">
        <f t="shared" si="20"/>
        <v>87.650639999999996</v>
      </c>
    </row>
    <row r="23" spans="2:28" x14ac:dyDescent="0.35">
      <c r="B23" s="9" t="s">
        <v>39</v>
      </c>
      <c r="C23" s="9">
        <v>843</v>
      </c>
      <c r="D23" s="9">
        <v>715</v>
      </c>
      <c r="E23" s="9">
        <v>793</v>
      </c>
      <c r="F23" s="9">
        <v>628</v>
      </c>
      <c r="G23" s="9">
        <f t="shared" si="0"/>
        <v>1636</v>
      </c>
      <c r="H23" s="9">
        <f t="shared" si="21"/>
        <v>1551.4</v>
      </c>
      <c r="I23" s="9">
        <f t="shared" si="27"/>
        <v>1343</v>
      </c>
      <c r="J23" s="9">
        <f t="shared" si="22"/>
        <v>1258.4000000000001</v>
      </c>
      <c r="K23" s="9">
        <v>674.3</v>
      </c>
      <c r="L23" s="9">
        <f t="shared" si="23"/>
        <v>654.9</v>
      </c>
      <c r="M23" s="9">
        <f t="shared" si="24"/>
        <v>770.47058823529414</v>
      </c>
      <c r="N23" s="9">
        <f t="shared" si="25"/>
        <v>603.50000000000011</v>
      </c>
      <c r="O23" s="10">
        <f t="shared" si="26"/>
        <v>18.886167332731727</v>
      </c>
      <c r="Q23" s="25" t="s">
        <v>38</v>
      </c>
      <c r="R23" s="25">
        <v>94.9</v>
      </c>
      <c r="S23" s="25">
        <f t="shared" si="28"/>
        <v>60.84</v>
      </c>
      <c r="T23" s="23">
        <v>89.6</v>
      </c>
      <c r="U23" s="23">
        <f t="shared" si="29"/>
        <v>55.539999999999992</v>
      </c>
      <c r="V23" s="26">
        <f t="shared" si="30"/>
        <v>8.7113740959894983</v>
      </c>
      <c r="X23" s="63" t="s">
        <v>81</v>
      </c>
      <c r="Y23" s="64">
        <f>AVERAGE(Y5:Y22)</f>
        <v>651.95555555555541</v>
      </c>
      <c r="Z23" s="64">
        <f>AVERAGE(Z5:Z22)</f>
        <v>653.25111111111107</v>
      </c>
      <c r="AB23" s="45">
        <f t="shared" si="20"/>
        <v>71.585639999999998</v>
      </c>
    </row>
    <row r="24" spans="2:28" x14ac:dyDescent="0.35">
      <c r="B24" s="9" t="s">
        <v>40</v>
      </c>
      <c r="C24" s="9">
        <v>537</v>
      </c>
      <c r="D24" s="9">
        <v>461</v>
      </c>
      <c r="E24" s="9">
        <v>614</v>
      </c>
      <c r="F24" s="9">
        <v>520</v>
      </c>
      <c r="G24" s="9">
        <f t="shared" si="0"/>
        <v>1151</v>
      </c>
      <c r="H24" s="9">
        <f t="shared" si="21"/>
        <v>1066.4000000000001</v>
      </c>
      <c r="I24" s="9">
        <f t="shared" si="27"/>
        <v>981</v>
      </c>
      <c r="J24" s="9">
        <f t="shared" si="22"/>
        <v>896.40000000000009</v>
      </c>
      <c r="K24" s="9">
        <v>471.3</v>
      </c>
      <c r="L24" s="9">
        <f t="shared" si="23"/>
        <v>451.90000000000003</v>
      </c>
      <c r="M24" s="9">
        <f t="shared" si="24"/>
        <v>531.64705882352951</v>
      </c>
      <c r="N24" s="9">
        <f t="shared" si="25"/>
        <v>444.50000000000006</v>
      </c>
      <c r="O24" s="10">
        <f t="shared" si="26"/>
        <v>15.941485371342834</v>
      </c>
      <c r="Q24" s="25" t="s">
        <v>39</v>
      </c>
      <c r="R24" s="25">
        <v>113.6</v>
      </c>
      <c r="S24" s="25">
        <f t="shared" si="28"/>
        <v>79.539999999999992</v>
      </c>
      <c r="T24" s="23">
        <v>107.7</v>
      </c>
      <c r="U24" s="23">
        <f t="shared" si="29"/>
        <v>73.64</v>
      </c>
      <c r="V24" s="26">
        <f t="shared" si="30"/>
        <v>7.4176514961025797</v>
      </c>
      <c r="X24" s="63" t="s">
        <v>84</v>
      </c>
      <c r="Y24" s="64">
        <f>_xlfn.STDEV.P(Y5:Y22)/SQRT(18)</f>
        <v>19.278162375642346</v>
      </c>
      <c r="Z24" s="64">
        <f>_xlfn.STDEV.P(Z5:Z22)/SQRT(18)</f>
        <v>18.146743898808744</v>
      </c>
    </row>
    <row r="25" spans="2:28" x14ac:dyDescent="0.35">
      <c r="B25" s="9" t="s">
        <v>41</v>
      </c>
      <c r="C25" s="9">
        <v>908</v>
      </c>
      <c r="D25" s="9">
        <v>768</v>
      </c>
      <c r="E25" s="9">
        <v>700</v>
      </c>
      <c r="F25" s="9">
        <v>594</v>
      </c>
      <c r="G25" s="9">
        <f t="shared" si="0"/>
        <v>1608</v>
      </c>
      <c r="H25" s="9">
        <f t="shared" si="21"/>
        <v>1523.4</v>
      </c>
      <c r="I25" s="9">
        <f t="shared" si="27"/>
        <v>1362</v>
      </c>
      <c r="J25" s="9">
        <f t="shared" si="22"/>
        <v>1277.4000000000001</v>
      </c>
      <c r="K25" s="9">
        <v>684.4</v>
      </c>
      <c r="L25" s="9">
        <f t="shared" si="23"/>
        <v>665</v>
      </c>
      <c r="M25" s="9">
        <f t="shared" si="24"/>
        <v>782.35294117647061</v>
      </c>
      <c r="N25" s="9">
        <f t="shared" si="25"/>
        <v>612.40000000000009</v>
      </c>
      <c r="O25" s="10">
        <f t="shared" si="26"/>
        <v>16.148089799133515</v>
      </c>
      <c r="Q25" s="25" t="s">
        <v>40</v>
      </c>
      <c r="R25" s="25">
        <v>111.9</v>
      </c>
      <c r="S25" s="25">
        <f t="shared" si="28"/>
        <v>77.84</v>
      </c>
      <c r="T25" s="23">
        <v>105.3</v>
      </c>
      <c r="U25" s="23">
        <f t="shared" si="29"/>
        <v>71.239999999999995</v>
      </c>
      <c r="V25" s="26">
        <f t="shared" si="30"/>
        <v>8.4789311408016541</v>
      </c>
      <c r="X25" s="63" t="s">
        <v>116</v>
      </c>
      <c r="Y25" s="64">
        <f>STDEV(Y5:Y22)</f>
        <v>84.161540903910094</v>
      </c>
      <c r="Z25" s="64">
        <f>STDEV(Z5:Z22)</f>
        <v>79.222173729692969</v>
      </c>
    </row>
    <row r="26" spans="2:28" x14ac:dyDescent="0.35">
      <c r="B26" s="9" t="s">
        <v>42</v>
      </c>
      <c r="C26" s="9">
        <v>685</v>
      </c>
      <c r="D26" s="9">
        <v>592</v>
      </c>
      <c r="E26" s="9">
        <v>785</v>
      </c>
      <c r="F26" s="9">
        <v>653</v>
      </c>
      <c r="G26" s="9">
        <f t="shared" si="0"/>
        <v>1470</v>
      </c>
      <c r="H26" s="9">
        <f t="shared" si="21"/>
        <v>1385.4</v>
      </c>
      <c r="I26" s="9">
        <f t="shared" si="27"/>
        <v>1245</v>
      </c>
      <c r="J26" s="9">
        <f t="shared" si="22"/>
        <v>1160.4000000000001</v>
      </c>
      <c r="K26" s="9">
        <v>638.29999999999995</v>
      </c>
      <c r="L26" s="9">
        <f t="shared" si="23"/>
        <v>618.9</v>
      </c>
      <c r="M26" s="9">
        <f t="shared" si="24"/>
        <v>728.11764705882354</v>
      </c>
      <c r="N26" s="9">
        <f t="shared" si="25"/>
        <v>541.50000000000011</v>
      </c>
      <c r="O26" s="10">
        <f t="shared" si="26"/>
        <v>16.240796881766997</v>
      </c>
      <c r="Q26" s="25" t="s">
        <v>41</v>
      </c>
      <c r="R26" s="25">
        <v>115.9</v>
      </c>
      <c r="S26" s="25">
        <f t="shared" si="28"/>
        <v>81.84</v>
      </c>
      <c r="T26" s="23">
        <v>108.9</v>
      </c>
      <c r="U26" s="23">
        <f t="shared" si="29"/>
        <v>74.84</v>
      </c>
      <c r="V26" s="26">
        <f t="shared" si="30"/>
        <v>8.5532746823069399</v>
      </c>
    </row>
    <row r="27" spans="2:28" ht="18.5" x14ac:dyDescent="0.45">
      <c r="B27" s="11" t="s">
        <v>59</v>
      </c>
      <c r="G27" s="12"/>
      <c r="H27" s="33"/>
      <c r="I27" s="12"/>
      <c r="J27" s="33"/>
      <c r="K27" s="33"/>
      <c r="L27" s="33">
        <f>AVERAGE(L18:L26)</f>
        <v>630.78888888888889</v>
      </c>
      <c r="M27" s="33">
        <f t="shared" ref="M27:N27" si="31">AVERAGE(M18:M26)</f>
        <v>742.10457516339864</v>
      </c>
      <c r="N27" s="33">
        <f t="shared" si="31"/>
        <v>582.05555555555554</v>
      </c>
      <c r="O27" s="38">
        <f t="shared" ref="O27" si="32">AVERAGE(O18:O26)</f>
        <v>16.783283273881043</v>
      </c>
      <c r="Q27" s="25" t="s">
        <v>42</v>
      </c>
      <c r="R27" s="25">
        <v>100.9</v>
      </c>
      <c r="S27" s="25">
        <f t="shared" si="28"/>
        <v>66.84</v>
      </c>
      <c r="T27" s="23">
        <v>93.9</v>
      </c>
      <c r="U27" s="23">
        <f t="shared" si="29"/>
        <v>59.84</v>
      </c>
      <c r="V27" s="26">
        <f t="shared" si="30"/>
        <v>10.472770795930581</v>
      </c>
    </row>
    <row r="28" spans="2:28" ht="18.5" x14ac:dyDescent="0.45">
      <c r="B28" s="11" t="s">
        <v>55</v>
      </c>
      <c r="G28" s="12"/>
      <c r="H28" s="33"/>
      <c r="I28" s="12"/>
      <c r="J28" s="33"/>
      <c r="K28" s="33"/>
      <c r="L28" s="33">
        <f t="shared" ref="L28:N28" si="33">_xlfn.STDEV.P(L18:L26)/SQRT(9)</f>
        <v>29.409553518107341</v>
      </c>
      <c r="M28" s="33">
        <f t="shared" si="33"/>
        <v>34.599474727185417</v>
      </c>
      <c r="N28" s="33">
        <f t="shared" si="33"/>
        <v>24.338254759098884</v>
      </c>
      <c r="O28" s="38">
        <f t="shared" ref="O28" si="34">_xlfn.STDEV.P(O18:O26)/SQRT(9)</f>
        <v>0.29799309106399746</v>
      </c>
      <c r="Q28" s="27" t="s">
        <v>59</v>
      </c>
      <c r="R28" s="30"/>
      <c r="S28" s="35"/>
      <c r="T28" s="30"/>
      <c r="U28" s="30">
        <f>AVERAGE(U19:U27)</f>
        <v>69.462222222222238</v>
      </c>
      <c r="V28" s="30">
        <f>AVERAGE(V19:V27)</f>
        <v>9.2414220210076294</v>
      </c>
    </row>
    <row r="29" spans="2:28" ht="18.5" x14ac:dyDescent="0.35">
      <c r="Q29" s="27" t="s">
        <v>55</v>
      </c>
      <c r="R29" s="30"/>
      <c r="S29" s="35"/>
      <c r="T29" s="30"/>
      <c r="U29" s="30">
        <f>_xlfn.STDEV.P(U19:U27)/SQRT(9)</f>
        <v>3.9639666434101701</v>
      </c>
      <c r="V29" s="30">
        <f>_xlfn.STDEV.P(V19:V27)/SQRT(9)</f>
        <v>1.0436630388300772</v>
      </c>
    </row>
    <row r="31" spans="2:28" x14ac:dyDescent="0.35">
      <c r="O31" s="32">
        <f>O27-V28</f>
        <v>7.5418612528734137</v>
      </c>
    </row>
  </sheetData>
  <mergeCells count="9">
    <mergeCell ref="C16:D16"/>
    <mergeCell ref="E16:F16"/>
    <mergeCell ref="R3:V3"/>
    <mergeCell ref="R17:V17"/>
    <mergeCell ref="B1:D1"/>
    <mergeCell ref="E1:G1"/>
    <mergeCell ref="C2:D2"/>
    <mergeCell ref="E2:F2"/>
    <mergeCell ref="Q1:U2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4"/>
  <sheetViews>
    <sheetView topLeftCell="B17" zoomScale="70" zoomScaleNormal="70" workbookViewId="0">
      <selection activeCell="S63" sqref="S63"/>
    </sheetView>
  </sheetViews>
  <sheetFormatPr defaultColWidth="9.1796875" defaultRowHeight="14.5" x14ac:dyDescent="0.35"/>
  <cols>
    <col min="1" max="1" width="9.1796875" style="18"/>
    <col min="2" max="2" width="18" style="18" customWidth="1"/>
    <col min="3" max="3" width="15.81640625" style="18" customWidth="1"/>
    <col min="4" max="4" width="15" style="18" bestFit="1" customWidth="1"/>
    <col min="5" max="5" width="16.7265625" style="18" customWidth="1"/>
    <col min="6" max="6" width="15.81640625" style="18" bestFit="1" customWidth="1"/>
    <col min="7" max="7" width="17.81640625" style="18" bestFit="1" customWidth="1"/>
    <col min="8" max="8" width="15.81640625" style="18" bestFit="1" customWidth="1"/>
    <col min="9" max="9" width="15.81640625" style="18" customWidth="1"/>
    <col min="10" max="10" width="21.7265625" style="18" bestFit="1" customWidth="1"/>
    <col min="11" max="11" width="19.26953125" style="18" bestFit="1" customWidth="1"/>
    <col min="12" max="12" width="21.7265625" style="18" bestFit="1" customWidth="1"/>
    <col min="13" max="13" width="19.26953125" style="18" bestFit="1" customWidth="1"/>
    <col min="14" max="14" width="17.81640625" style="18" bestFit="1" customWidth="1"/>
    <col min="15" max="15" width="15.81640625" style="18" bestFit="1" customWidth="1"/>
    <col min="16" max="16" width="20.54296875" style="18" customWidth="1"/>
    <col min="17" max="17" width="15.81640625" style="18" bestFit="1" customWidth="1"/>
    <col min="18" max="18" width="20.54296875" style="18" customWidth="1"/>
    <col min="19" max="19" width="20.54296875" customWidth="1"/>
    <col min="20" max="20" width="19.26953125" style="18" bestFit="1" customWidth="1"/>
    <col min="21" max="21" width="13.81640625" style="18" bestFit="1" customWidth="1"/>
    <col min="22" max="22" width="16.7265625" style="18" customWidth="1"/>
    <col min="23" max="23" width="14.26953125" style="18" bestFit="1" customWidth="1"/>
    <col min="24" max="25" width="16.26953125" style="18" bestFit="1" customWidth="1"/>
    <col min="26" max="26" width="19.453125" style="18" customWidth="1"/>
    <col min="27" max="27" width="13.1796875" style="18" customWidth="1"/>
    <col min="28" max="28" width="14.26953125" style="18" bestFit="1" customWidth="1"/>
    <col min="29" max="29" width="15.54296875" style="18" bestFit="1" customWidth="1"/>
    <col min="30" max="16384" width="9.1796875" style="18"/>
  </cols>
  <sheetData>
    <row r="1" spans="1:32" ht="50.25" customHeight="1" x14ac:dyDescent="0.35">
      <c r="A1" s="16"/>
      <c r="B1" s="82" t="s">
        <v>50</v>
      </c>
      <c r="C1" s="82"/>
      <c r="D1" s="82"/>
      <c r="E1" s="82"/>
      <c r="F1" s="82" t="s">
        <v>0</v>
      </c>
      <c r="G1" s="82"/>
      <c r="H1" s="82"/>
      <c r="I1" s="82"/>
      <c r="J1" s="82"/>
      <c r="K1" s="82"/>
      <c r="P1" s="18" t="s">
        <v>86</v>
      </c>
      <c r="Q1" s="18" t="s">
        <v>68</v>
      </c>
      <c r="R1" s="18">
        <v>42.3</v>
      </c>
      <c r="S1" s="18" t="s">
        <v>64</v>
      </c>
      <c r="T1" s="29">
        <v>34.06</v>
      </c>
    </row>
    <row r="2" spans="1:32" ht="50.25" customHeight="1" x14ac:dyDescent="0.35">
      <c r="A2" s="19"/>
      <c r="B2" s="31" t="s">
        <v>93</v>
      </c>
      <c r="H2" s="20"/>
      <c r="I2" s="20"/>
      <c r="J2" s="20" t="s">
        <v>97</v>
      </c>
      <c r="S2" s="18" t="s">
        <v>65</v>
      </c>
      <c r="T2" s="29">
        <v>21.8</v>
      </c>
      <c r="AF2"/>
    </row>
    <row r="3" spans="1:32" ht="23.5" x14ac:dyDescent="0.55000000000000004">
      <c r="D3" s="83" t="s">
        <v>49</v>
      </c>
      <c r="E3" s="85"/>
      <c r="F3" s="90"/>
      <c r="G3" s="91"/>
      <c r="H3" s="21" t="s">
        <v>48</v>
      </c>
      <c r="I3" s="22"/>
      <c r="O3"/>
      <c r="P3" s="83" t="s">
        <v>63</v>
      </c>
      <c r="Q3" s="84"/>
      <c r="R3" s="84"/>
      <c r="S3" s="84"/>
      <c r="T3" s="85"/>
      <c r="U3"/>
      <c r="V3" s="23"/>
      <c r="W3" s="23"/>
      <c r="X3" s="23"/>
      <c r="Y3" s="46" t="s">
        <v>87</v>
      </c>
      <c r="Z3" s="46"/>
      <c r="AA3" s="46"/>
      <c r="AB3" s="46"/>
      <c r="AC3"/>
    </row>
    <row r="4" spans="1:32" s="22" customFormat="1" ht="21" x14ac:dyDescent="0.5">
      <c r="B4" s="22" t="s">
        <v>98</v>
      </c>
      <c r="C4" s="17" t="s">
        <v>60</v>
      </c>
      <c r="D4" s="51" t="s">
        <v>61</v>
      </c>
      <c r="E4" s="51" t="s">
        <v>94</v>
      </c>
      <c r="F4" s="17" t="s">
        <v>62</v>
      </c>
      <c r="G4" s="17" t="s">
        <v>95</v>
      </c>
      <c r="H4" s="21"/>
      <c r="I4" s="21" t="s">
        <v>88</v>
      </c>
      <c r="J4" s="17" t="s">
        <v>58</v>
      </c>
      <c r="K4" s="17" t="s">
        <v>56</v>
      </c>
      <c r="L4" s="17" t="s">
        <v>76</v>
      </c>
      <c r="N4" s="23" t="s">
        <v>99</v>
      </c>
      <c r="O4" s="21" t="s">
        <v>52</v>
      </c>
      <c r="P4" s="21" t="s">
        <v>90</v>
      </c>
      <c r="Q4" s="21" t="s">
        <v>48</v>
      </c>
      <c r="R4" s="21" t="s">
        <v>91</v>
      </c>
      <c r="S4" s="17" t="s">
        <v>58</v>
      </c>
      <c r="T4" s="17" t="s">
        <v>56</v>
      </c>
      <c r="U4" s="14" t="s">
        <v>54</v>
      </c>
      <c r="V4" s="18"/>
      <c r="W4" s="88" t="s">
        <v>44</v>
      </c>
      <c r="X4" s="88"/>
      <c r="Y4" s="88"/>
      <c r="Z4" s="88"/>
      <c r="AA4" s="88"/>
      <c r="AB4" s="89"/>
      <c r="AD4"/>
    </row>
    <row r="5" spans="1:32" ht="15.5" x14ac:dyDescent="0.35">
      <c r="B5" s="23" t="s">
        <v>23</v>
      </c>
      <c r="C5" s="23">
        <v>1159.3</v>
      </c>
      <c r="D5" s="50">
        <v>318.39999999999998</v>
      </c>
      <c r="E5" s="50">
        <f>D5-$R$1</f>
        <v>276.09999999999997</v>
      </c>
      <c r="F5" s="23"/>
      <c r="G5" s="23"/>
      <c r="H5" s="23">
        <v>123.3</v>
      </c>
      <c r="I5" s="23">
        <f>H5-$R$1</f>
        <v>81</v>
      </c>
      <c r="J5" s="25">
        <f>(D5/1000)/(1/10000)</f>
        <v>3183.9999999999995</v>
      </c>
      <c r="K5" s="23">
        <f>(I5/1000)/(1/10000)</f>
        <v>810</v>
      </c>
      <c r="L5" s="26">
        <f>K5-$R$14</f>
        <v>776.16</v>
      </c>
      <c r="N5" s="23"/>
      <c r="O5" s="23"/>
      <c r="P5" s="23"/>
      <c r="Q5" s="23"/>
      <c r="R5" s="23"/>
      <c r="S5" s="23"/>
      <c r="T5" s="23"/>
      <c r="U5" s="23"/>
      <c r="W5" s="6" t="s">
        <v>2</v>
      </c>
      <c r="X5" s="13" t="s">
        <v>3</v>
      </c>
      <c r="Y5" s="13" t="s">
        <v>96</v>
      </c>
      <c r="Z5" s="13" t="s">
        <v>4</v>
      </c>
      <c r="AA5" s="13" t="s">
        <v>72</v>
      </c>
      <c r="AB5" s="14" t="s">
        <v>54</v>
      </c>
    </row>
    <row r="6" spans="1:32" x14ac:dyDescent="0.35">
      <c r="B6" s="23" t="s">
        <v>24</v>
      </c>
      <c r="C6" s="23">
        <v>878.1</v>
      </c>
      <c r="D6" s="50">
        <v>365</v>
      </c>
      <c r="E6" s="50">
        <f t="shared" ref="E6:E13" si="0">D6-$R$1</f>
        <v>322.7</v>
      </c>
      <c r="F6" s="23"/>
      <c r="G6" s="23"/>
      <c r="H6" s="23">
        <v>150.80000000000001</v>
      </c>
      <c r="I6" s="23">
        <f>H6-$R$1</f>
        <v>108.50000000000001</v>
      </c>
      <c r="J6" s="25">
        <f t="shared" ref="J6:J13" si="1">(D6/1000)/(1/10000)</f>
        <v>3649.9999999999995</v>
      </c>
      <c r="K6" s="23">
        <f t="shared" ref="K6:K14" si="2">(I6/1000)/(1/10000)</f>
        <v>1085</v>
      </c>
      <c r="L6" s="26">
        <f t="shared" ref="L6:L13" si="3">K6-$P$14</f>
        <v>1040.1099999999999</v>
      </c>
      <c r="N6" s="23"/>
      <c r="O6" s="23"/>
      <c r="P6" s="23"/>
      <c r="Q6" s="23"/>
      <c r="R6" s="23"/>
      <c r="S6" s="23"/>
      <c r="T6" s="23"/>
      <c r="U6" s="23"/>
      <c r="W6" s="9">
        <v>1</v>
      </c>
      <c r="X6" s="9">
        <v>131.9</v>
      </c>
      <c r="Y6" s="9">
        <f>X6-$T$1</f>
        <v>97.84</v>
      </c>
      <c r="Z6" s="9">
        <v>39.200000000000003</v>
      </c>
      <c r="AA6" s="9">
        <f t="shared" ref="AA6:AA17" si="4">Z6-$T$1</f>
        <v>5.1400000000000006</v>
      </c>
      <c r="AB6" s="10">
        <f>((Y6-AA6)/Y6)*100</f>
        <v>94.746524938675392</v>
      </c>
    </row>
    <row r="7" spans="1:32" x14ac:dyDescent="0.35">
      <c r="B7" s="23" t="s">
        <v>27</v>
      </c>
      <c r="C7" s="23">
        <v>899</v>
      </c>
      <c r="D7" s="50">
        <v>436.1</v>
      </c>
      <c r="E7" s="50">
        <f t="shared" si="0"/>
        <v>393.8</v>
      </c>
      <c r="F7" s="23"/>
      <c r="G7" s="23"/>
      <c r="H7" s="23">
        <v>209.8</v>
      </c>
      <c r="I7" s="23">
        <f t="shared" ref="I7:I13" si="5">H7-$R$1</f>
        <v>167.5</v>
      </c>
      <c r="J7" s="25">
        <f t="shared" si="1"/>
        <v>4361</v>
      </c>
      <c r="K7" s="23">
        <f t="shared" si="2"/>
        <v>1675</v>
      </c>
      <c r="L7" s="26">
        <f t="shared" si="3"/>
        <v>1630.11</v>
      </c>
      <c r="N7" s="23"/>
      <c r="O7" s="23"/>
      <c r="P7" s="23"/>
      <c r="Q7" s="23"/>
      <c r="R7" s="23"/>
      <c r="S7" s="23"/>
      <c r="T7" s="23"/>
      <c r="U7" s="23"/>
      <c r="W7" s="9">
        <v>2</v>
      </c>
      <c r="X7" s="9">
        <v>117.7</v>
      </c>
      <c r="Y7" s="9">
        <f t="shared" ref="Y7:Y17" si="6">X7-$T$1</f>
        <v>83.64</v>
      </c>
      <c r="Z7" s="9">
        <v>38.9</v>
      </c>
      <c r="AA7" s="9">
        <f t="shared" si="4"/>
        <v>4.8399999999999963</v>
      </c>
      <c r="AB7" s="10">
        <f t="shared" ref="AB7:AB17" si="7">((Y7-AA7)/Y7)*100</f>
        <v>94.213295074127217</v>
      </c>
    </row>
    <row r="8" spans="1:32" x14ac:dyDescent="0.35">
      <c r="B8" s="23" t="s">
        <v>28</v>
      </c>
      <c r="C8" s="23">
        <v>686.1</v>
      </c>
      <c r="D8" s="50">
        <f>F8+O8</f>
        <v>308.3</v>
      </c>
      <c r="E8" s="50">
        <f t="shared" si="0"/>
        <v>266</v>
      </c>
      <c r="F8" s="23">
        <v>214</v>
      </c>
      <c r="G8" s="23">
        <f>F8-T1</f>
        <v>179.94</v>
      </c>
      <c r="H8" s="23">
        <v>96.1</v>
      </c>
      <c r="I8" s="23">
        <f t="shared" si="5"/>
        <v>53.8</v>
      </c>
      <c r="J8" s="25">
        <f t="shared" si="1"/>
        <v>3083</v>
      </c>
      <c r="K8" s="23">
        <f t="shared" si="2"/>
        <v>538</v>
      </c>
      <c r="L8" s="26">
        <f t="shared" si="3"/>
        <v>493.11</v>
      </c>
      <c r="N8" s="25" t="s">
        <v>28</v>
      </c>
      <c r="O8" s="25">
        <v>94.3</v>
      </c>
      <c r="P8" s="25">
        <f>O8-T1</f>
        <v>60.239999999999995</v>
      </c>
      <c r="Q8" s="25">
        <v>79.8</v>
      </c>
      <c r="R8" s="25">
        <f>Q8-T1</f>
        <v>45.739999999999995</v>
      </c>
      <c r="S8" s="25">
        <f>(O8/1000)/(1/10000)</f>
        <v>942.99999999999989</v>
      </c>
      <c r="T8" s="25">
        <f>(Q8/1000)/(1/10000)</f>
        <v>797.99999999999989</v>
      </c>
      <c r="U8" s="26">
        <f>((P8-R8)/P8)*100</f>
        <v>24.070385126162019</v>
      </c>
      <c r="W8" s="9">
        <v>3</v>
      </c>
      <c r="X8" s="9">
        <v>137</v>
      </c>
      <c r="Y8" s="9">
        <f t="shared" si="6"/>
        <v>102.94</v>
      </c>
      <c r="Z8" s="9">
        <v>40.1</v>
      </c>
      <c r="AA8" s="9">
        <f t="shared" si="4"/>
        <v>6.0399999999999991</v>
      </c>
      <c r="AB8" s="10">
        <f t="shared" si="7"/>
        <v>94.132504371478547</v>
      </c>
    </row>
    <row r="9" spans="1:32" x14ac:dyDescent="0.35">
      <c r="B9" s="23" t="s">
        <v>29</v>
      </c>
      <c r="C9" s="23">
        <v>813.5</v>
      </c>
      <c r="D9" s="50">
        <v>394.7</v>
      </c>
      <c r="E9" s="50">
        <f t="shared" si="0"/>
        <v>352.4</v>
      </c>
      <c r="F9" s="23"/>
      <c r="G9" s="23"/>
      <c r="H9" s="23">
        <v>183.1</v>
      </c>
      <c r="I9" s="23">
        <f t="shared" si="5"/>
        <v>140.80000000000001</v>
      </c>
      <c r="J9" s="25">
        <f t="shared" si="1"/>
        <v>3946.9999999999995</v>
      </c>
      <c r="K9" s="23">
        <f t="shared" si="2"/>
        <v>1408</v>
      </c>
      <c r="L9" s="26">
        <f t="shared" si="3"/>
        <v>1363.11</v>
      </c>
      <c r="N9" s="25"/>
      <c r="O9" s="25"/>
      <c r="P9" s="25"/>
      <c r="Q9" s="25"/>
      <c r="R9" s="25"/>
      <c r="S9" s="23"/>
      <c r="T9" s="23"/>
      <c r="U9" s="23"/>
      <c r="W9" s="9">
        <v>4</v>
      </c>
      <c r="X9" s="9">
        <v>94.1</v>
      </c>
      <c r="Y9" s="9">
        <f t="shared" si="6"/>
        <v>60.039999999999992</v>
      </c>
      <c r="Z9" s="9">
        <v>36.1</v>
      </c>
      <c r="AA9" s="9">
        <f t="shared" si="4"/>
        <v>2.0399999999999991</v>
      </c>
      <c r="AB9" s="10">
        <f t="shared" si="7"/>
        <v>96.602265156562297</v>
      </c>
    </row>
    <row r="10" spans="1:32" x14ac:dyDescent="0.35">
      <c r="B10" s="23" t="s">
        <v>30</v>
      </c>
      <c r="C10" s="23">
        <v>912.4</v>
      </c>
      <c r="D10" s="50">
        <f>F10+O10</f>
        <v>526.29999999999995</v>
      </c>
      <c r="E10" s="50">
        <f t="shared" si="0"/>
        <v>483.99999999999994</v>
      </c>
      <c r="F10" s="23">
        <v>462.7</v>
      </c>
      <c r="G10" s="23">
        <f>F10-T1</f>
        <v>428.64</v>
      </c>
      <c r="H10" s="23">
        <v>177.6</v>
      </c>
      <c r="I10" s="23">
        <f t="shared" si="5"/>
        <v>135.30000000000001</v>
      </c>
      <c r="J10" s="25">
        <f t="shared" si="1"/>
        <v>5263</v>
      </c>
      <c r="K10" s="23">
        <f t="shared" si="2"/>
        <v>1353</v>
      </c>
      <c r="L10" s="26">
        <f t="shared" si="3"/>
        <v>1308.1099999999999</v>
      </c>
      <c r="N10" s="25" t="s">
        <v>30</v>
      </c>
      <c r="O10" s="25">
        <v>63.6</v>
      </c>
      <c r="P10" s="25">
        <f>O10-T1</f>
        <v>29.54</v>
      </c>
      <c r="Q10" s="25">
        <v>56</v>
      </c>
      <c r="R10" s="25">
        <f>Q10-T1</f>
        <v>21.939999999999998</v>
      </c>
      <c r="S10" s="25">
        <f>(O10/1000)/(1/10000)</f>
        <v>636</v>
      </c>
      <c r="T10" s="25">
        <f>(Q10/1000)/(1/10000)</f>
        <v>560</v>
      </c>
      <c r="U10" s="26">
        <f>((P10-R10)/P10)*100</f>
        <v>25.727826675693983</v>
      </c>
      <c r="W10" s="9">
        <v>5</v>
      </c>
      <c r="X10" s="9">
        <v>158.69999999999999</v>
      </c>
      <c r="Y10" s="9">
        <f t="shared" si="6"/>
        <v>124.63999999999999</v>
      </c>
      <c r="Z10" s="9">
        <v>41.7</v>
      </c>
      <c r="AA10" s="9">
        <f t="shared" si="4"/>
        <v>7.6400000000000006</v>
      </c>
      <c r="AB10" s="10">
        <f t="shared" si="7"/>
        <v>93.870346598202829</v>
      </c>
    </row>
    <row r="11" spans="1:32" x14ac:dyDescent="0.35">
      <c r="B11" s="23" t="s">
        <v>31</v>
      </c>
      <c r="C11" s="23">
        <v>908.4</v>
      </c>
      <c r="D11" s="50">
        <v>424</v>
      </c>
      <c r="E11" s="50">
        <f t="shared" si="0"/>
        <v>381.7</v>
      </c>
      <c r="F11" s="23"/>
      <c r="G11" s="23"/>
      <c r="H11" s="23">
        <v>171.6</v>
      </c>
      <c r="I11" s="23">
        <f t="shared" si="5"/>
        <v>129.30000000000001</v>
      </c>
      <c r="J11" s="25">
        <f t="shared" si="1"/>
        <v>4240</v>
      </c>
      <c r="K11" s="23">
        <f t="shared" si="2"/>
        <v>1293</v>
      </c>
      <c r="L11" s="26">
        <f t="shared" si="3"/>
        <v>1248.1099999999999</v>
      </c>
      <c r="N11" s="25"/>
      <c r="O11" s="25"/>
      <c r="P11" s="25"/>
      <c r="Q11" s="25"/>
      <c r="R11" s="25"/>
      <c r="S11" s="23"/>
      <c r="T11" s="23"/>
      <c r="U11" s="23"/>
      <c r="W11" s="9">
        <v>6</v>
      </c>
      <c r="X11" s="9">
        <v>149.4</v>
      </c>
      <c r="Y11" s="9">
        <f t="shared" si="6"/>
        <v>115.34</v>
      </c>
      <c r="Z11" s="9">
        <v>41.8</v>
      </c>
      <c r="AA11" s="9">
        <f t="shared" si="4"/>
        <v>7.7399999999999949</v>
      </c>
      <c r="AB11" s="10">
        <f t="shared" si="7"/>
        <v>93.289405236691522</v>
      </c>
    </row>
    <row r="12" spans="1:32" x14ac:dyDescent="0.35">
      <c r="B12" s="23" t="s">
        <v>32</v>
      </c>
      <c r="C12" s="23">
        <v>766</v>
      </c>
      <c r="D12" s="50">
        <v>391</v>
      </c>
      <c r="E12" s="50">
        <f t="shared" si="0"/>
        <v>348.7</v>
      </c>
      <c r="F12" s="23"/>
      <c r="G12" s="23"/>
      <c r="H12" s="23">
        <v>174.5</v>
      </c>
      <c r="I12" s="23">
        <f t="shared" si="5"/>
        <v>132.19999999999999</v>
      </c>
      <c r="J12" s="25">
        <f t="shared" si="1"/>
        <v>3910</v>
      </c>
      <c r="K12" s="23">
        <f t="shared" si="2"/>
        <v>1321.9999999999998</v>
      </c>
      <c r="L12" s="26">
        <f t="shared" si="3"/>
        <v>1277.1099999999997</v>
      </c>
      <c r="N12" s="25"/>
      <c r="O12" s="25"/>
      <c r="P12" s="25"/>
      <c r="Q12" s="25"/>
      <c r="R12" s="25"/>
      <c r="S12" s="23"/>
      <c r="T12" s="23"/>
      <c r="U12" s="23"/>
      <c r="W12" s="9">
        <v>7</v>
      </c>
      <c r="X12" s="9">
        <v>139.6</v>
      </c>
      <c r="Y12" s="9">
        <f t="shared" si="6"/>
        <v>105.53999999999999</v>
      </c>
      <c r="Z12" s="9">
        <v>41</v>
      </c>
      <c r="AA12" s="9">
        <f t="shared" si="4"/>
        <v>6.9399999999999977</v>
      </c>
      <c r="AB12" s="10">
        <f t="shared" si="7"/>
        <v>93.4242941064999</v>
      </c>
    </row>
    <row r="13" spans="1:32" x14ac:dyDescent="0.35">
      <c r="B13" s="23" t="s">
        <v>33</v>
      </c>
      <c r="C13" s="23">
        <v>749.4</v>
      </c>
      <c r="D13" s="50">
        <v>396.9</v>
      </c>
      <c r="E13" s="50">
        <f t="shared" si="0"/>
        <v>354.59999999999997</v>
      </c>
      <c r="F13" s="23"/>
      <c r="G13" s="23"/>
      <c r="H13" s="23">
        <v>212.6</v>
      </c>
      <c r="I13" s="23">
        <f t="shared" si="5"/>
        <v>170.3</v>
      </c>
      <c r="J13" s="25">
        <f t="shared" si="1"/>
        <v>3968.9999999999995</v>
      </c>
      <c r="K13" s="23">
        <f t="shared" si="2"/>
        <v>1703</v>
      </c>
      <c r="L13" s="26">
        <f t="shared" si="3"/>
        <v>1658.11</v>
      </c>
      <c r="N13" s="25"/>
      <c r="O13" s="25"/>
      <c r="P13" s="25"/>
      <c r="Q13" s="25"/>
      <c r="R13" s="25"/>
      <c r="S13" s="23"/>
      <c r="T13" s="23"/>
      <c r="U13" s="23"/>
      <c r="W13" s="9">
        <v>8</v>
      </c>
      <c r="X13" s="9">
        <v>121.9</v>
      </c>
      <c r="Y13" s="9">
        <f t="shared" si="6"/>
        <v>87.84</v>
      </c>
      <c r="Z13" s="9">
        <v>38.4</v>
      </c>
      <c r="AA13" s="9">
        <f t="shared" si="4"/>
        <v>4.3399999999999963</v>
      </c>
      <c r="AB13" s="10">
        <f t="shared" si="7"/>
        <v>95.059198542805106</v>
      </c>
    </row>
    <row r="14" spans="1:32" ht="18.5" x14ac:dyDescent="0.35">
      <c r="B14"/>
      <c r="C14"/>
      <c r="D14"/>
      <c r="E14"/>
      <c r="F14"/>
      <c r="G14"/>
      <c r="H14"/>
      <c r="I14" s="62">
        <f>AVERAGE(I5:I13)</f>
        <v>124.30000000000001</v>
      </c>
      <c r="J14"/>
      <c r="K14" s="62">
        <f t="shared" si="2"/>
        <v>1243</v>
      </c>
      <c r="L14" s="70">
        <f>AVERAGE(L5:L13)</f>
        <v>1199.3377777777778</v>
      </c>
      <c r="N14" s="27" t="s">
        <v>59</v>
      </c>
      <c r="O14" s="28">
        <f t="shared" ref="O14:U14" si="8">AVERAGE(O8:O10)</f>
        <v>78.95</v>
      </c>
      <c r="P14" s="28">
        <f t="shared" si="8"/>
        <v>44.89</v>
      </c>
      <c r="Q14" s="28">
        <f t="shared" si="8"/>
        <v>67.900000000000006</v>
      </c>
      <c r="R14" s="28">
        <f>AVERAGE(R8:R10)</f>
        <v>33.839999999999996</v>
      </c>
      <c r="S14" s="28">
        <f t="shared" si="8"/>
        <v>789.5</v>
      </c>
      <c r="T14" s="28">
        <f t="shared" si="8"/>
        <v>679</v>
      </c>
      <c r="U14" s="28">
        <f t="shared" si="8"/>
        <v>24.899105900927999</v>
      </c>
      <c r="W14" s="9">
        <v>9</v>
      </c>
      <c r="X14" s="9">
        <v>168.1</v>
      </c>
      <c r="Y14" s="9">
        <f t="shared" si="6"/>
        <v>134.04</v>
      </c>
      <c r="Z14" s="9">
        <v>42.3</v>
      </c>
      <c r="AA14" s="9">
        <f t="shared" si="4"/>
        <v>8.2399999999999949</v>
      </c>
      <c r="AB14" s="10">
        <f t="shared" si="7"/>
        <v>93.852581319009261</v>
      </c>
    </row>
    <row r="15" spans="1:32" ht="18.5" x14ac:dyDescent="0.35">
      <c r="B15"/>
      <c r="C15"/>
      <c r="D15"/>
      <c r="E15"/>
      <c r="F15"/>
      <c r="G15"/>
      <c r="H15"/>
      <c r="I15"/>
      <c r="J15"/>
      <c r="K15"/>
      <c r="L15"/>
      <c r="N15" s="27" t="s">
        <v>55</v>
      </c>
      <c r="O15" s="28">
        <f t="shared" ref="O15:U15" si="9">_xlfn.STDEV.P(O8:O10)/SQRT(9)</f>
        <v>5.1166666666666609</v>
      </c>
      <c r="P15" s="28">
        <f t="shared" si="9"/>
        <v>5.1166666666666636</v>
      </c>
      <c r="Q15" s="28">
        <f t="shared" si="9"/>
        <v>3.9666666666666619</v>
      </c>
      <c r="R15" s="28">
        <f t="shared" si="9"/>
        <v>3.9666666666666619</v>
      </c>
      <c r="S15" s="28">
        <f t="shared" si="9"/>
        <v>51.166666666666544</v>
      </c>
      <c r="T15" s="28">
        <f t="shared" si="9"/>
        <v>39.666666666666508</v>
      </c>
      <c r="U15" s="28">
        <f t="shared" si="9"/>
        <v>0.27624025825532722</v>
      </c>
      <c r="W15" s="9">
        <v>10</v>
      </c>
      <c r="X15" s="9">
        <v>98.1</v>
      </c>
      <c r="Y15" s="9">
        <f t="shared" si="6"/>
        <v>64.039999999999992</v>
      </c>
      <c r="Z15" s="9">
        <v>37.4</v>
      </c>
      <c r="AA15" s="9">
        <f t="shared" si="4"/>
        <v>3.3399999999999963</v>
      </c>
      <c r="AB15" s="10">
        <f t="shared" si="7"/>
        <v>94.784509681449109</v>
      </c>
    </row>
    <row r="16" spans="1:32" customFormat="1" x14ac:dyDescent="0.35">
      <c r="V16" s="18"/>
      <c r="W16" s="9">
        <v>11</v>
      </c>
      <c r="X16" s="9">
        <v>182.7</v>
      </c>
      <c r="Y16" s="9">
        <f t="shared" si="6"/>
        <v>148.63999999999999</v>
      </c>
      <c r="Z16" s="9">
        <v>43.1</v>
      </c>
      <c r="AA16" s="9">
        <f t="shared" si="4"/>
        <v>9.0399999999999991</v>
      </c>
      <c r="AB16" s="10">
        <f t="shared" si="7"/>
        <v>93.91819160387513</v>
      </c>
    </row>
    <row r="17" spans="2:28" x14ac:dyDescent="0.35">
      <c r="B17"/>
      <c r="C17"/>
      <c r="D17"/>
      <c r="E17"/>
      <c r="F17"/>
      <c r="G17"/>
      <c r="H17"/>
      <c r="I17"/>
      <c r="S17" s="18"/>
      <c r="W17" s="9">
        <v>12</v>
      </c>
      <c r="X17" s="9">
        <v>138.4</v>
      </c>
      <c r="Y17" s="9">
        <f t="shared" si="6"/>
        <v>104.34</v>
      </c>
      <c r="Z17" s="9">
        <v>41</v>
      </c>
      <c r="AA17" s="9">
        <f t="shared" si="4"/>
        <v>6.9399999999999977</v>
      </c>
      <c r="AB17" s="10">
        <f t="shared" si="7"/>
        <v>93.348667816752922</v>
      </c>
    </row>
    <row r="18" spans="2:28" ht="18.5" x14ac:dyDescent="0.45">
      <c r="B18"/>
      <c r="D18" s="83" t="s">
        <v>49</v>
      </c>
      <c r="E18" s="85"/>
      <c r="F18" s="21"/>
      <c r="G18" s="21"/>
      <c r="H18" s="21" t="s">
        <v>48</v>
      </c>
      <c r="I18" s="22"/>
      <c r="J18"/>
      <c r="K18"/>
      <c r="L18"/>
      <c r="N18" s="5"/>
      <c r="O18" s="81" t="s">
        <v>63</v>
      </c>
      <c r="P18" s="81"/>
      <c r="Q18" s="81"/>
      <c r="R18" s="81"/>
      <c r="S18" s="81"/>
      <c r="T18" s="42"/>
      <c r="U18" s="42"/>
      <c r="W18" s="11" t="s">
        <v>57</v>
      </c>
      <c r="X18" s="34"/>
      <c r="Y18" s="33">
        <f>AVERAGE(Y6:Y17)</f>
        <v>102.40666666666665</v>
      </c>
      <c r="Z18" s="12"/>
      <c r="AA18" s="38">
        <f>AVERAGE(AA6:AA17)</f>
        <v>6.0233333333333308</v>
      </c>
      <c r="AB18" s="38">
        <f>AVERAGE(Z6:Z17)</f>
        <v>40.083333333333336</v>
      </c>
    </row>
    <row r="19" spans="2:28" ht="18.5" x14ac:dyDescent="0.45">
      <c r="B19" s="22" t="s">
        <v>98</v>
      </c>
      <c r="C19" s="17" t="s">
        <v>60</v>
      </c>
      <c r="D19" s="49" t="s">
        <v>61</v>
      </c>
      <c r="E19" s="51" t="s">
        <v>94</v>
      </c>
      <c r="F19" s="17" t="s">
        <v>62</v>
      </c>
      <c r="G19" s="17" t="s">
        <v>95</v>
      </c>
      <c r="H19" s="21"/>
      <c r="I19" s="21" t="s">
        <v>88</v>
      </c>
      <c r="J19" s="17" t="s">
        <v>58</v>
      </c>
      <c r="K19" s="17" t="s">
        <v>56</v>
      </c>
      <c r="L19" s="17" t="s">
        <v>76</v>
      </c>
      <c r="N19" s="23" t="s">
        <v>99</v>
      </c>
      <c r="O19" s="21" t="s">
        <v>52</v>
      </c>
      <c r="P19" s="21" t="s">
        <v>90</v>
      </c>
      <c r="Q19" s="21" t="s">
        <v>48</v>
      </c>
      <c r="R19" s="21" t="s">
        <v>91</v>
      </c>
      <c r="S19" s="17" t="s">
        <v>58</v>
      </c>
      <c r="T19" s="17" t="s">
        <v>56</v>
      </c>
      <c r="U19" s="14" t="s">
        <v>54</v>
      </c>
      <c r="W19" s="11" t="s">
        <v>55</v>
      </c>
      <c r="X19" s="34"/>
      <c r="Y19" s="33">
        <f>_xlfn.STDEV.P(W6:W17)/SQRT(12)</f>
        <v>0.99652172859178312</v>
      </c>
      <c r="Z19" s="12"/>
      <c r="AA19" s="38">
        <f>_xlfn.STDEV.P(AA6:AA17)/SQRT(12)</f>
        <v>0.58533387117160762</v>
      </c>
      <c r="AB19" s="38">
        <f>_xlfn.STDEV.P(Z6:Z17)/SQRT(12)</f>
        <v>0.58533387117160818</v>
      </c>
    </row>
    <row r="20" spans="2:28" ht="21" x14ac:dyDescent="0.5">
      <c r="B20" s="23" t="s">
        <v>34</v>
      </c>
      <c r="C20" s="23">
        <v>1157.5</v>
      </c>
      <c r="D20" s="50">
        <v>420</v>
      </c>
      <c r="E20" s="50">
        <f>D20-$R$1</f>
        <v>377.7</v>
      </c>
      <c r="F20" s="23"/>
      <c r="G20" s="23"/>
      <c r="H20" s="23">
        <v>189.2</v>
      </c>
      <c r="I20" s="23">
        <f>H20-$R$1</f>
        <v>146.89999999999998</v>
      </c>
      <c r="J20" s="25">
        <f t="shared" ref="J20:J28" si="10">(D20/1000)/(1/10000)</f>
        <v>4200</v>
      </c>
      <c r="K20" s="25">
        <f>(I20/1000)/(1/10000)</f>
        <v>1468.9999999999998</v>
      </c>
      <c r="L20" s="26">
        <f>K20-$R$29</f>
        <v>1441.8499999999997</v>
      </c>
      <c r="N20" s="25"/>
      <c r="O20" s="25"/>
      <c r="P20" s="25"/>
      <c r="Q20" s="25"/>
      <c r="R20" s="25"/>
      <c r="S20" s="23"/>
      <c r="T20" s="23"/>
      <c r="U20" s="23"/>
      <c r="W20" s="88" t="s">
        <v>45</v>
      </c>
      <c r="X20" s="88"/>
      <c r="Y20" s="88"/>
      <c r="Z20" s="88"/>
      <c r="AA20" s="88"/>
      <c r="AB20" s="89"/>
    </row>
    <row r="21" spans="2:28" ht="15.5" x14ac:dyDescent="0.35">
      <c r="B21" s="23" t="s">
        <v>35</v>
      </c>
      <c r="C21" s="23">
        <v>900.3</v>
      </c>
      <c r="D21" s="50">
        <v>403</v>
      </c>
      <c r="E21" s="50">
        <f t="shared" ref="E21:E28" si="11">D21-$R$1</f>
        <v>360.7</v>
      </c>
      <c r="F21" s="23"/>
      <c r="G21" s="23"/>
      <c r="H21" s="23">
        <v>170.2</v>
      </c>
      <c r="I21" s="23">
        <f t="shared" ref="I21:I28" si="12">H21-$R$1</f>
        <v>127.89999999999999</v>
      </c>
      <c r="J21" s="25">
        <f t="shared" si="10"/>
        <v>4030</v>
      </c>
      <c r="K21" s="25">
        <f t="shared" ref="K21:K28" si="13">(I21/1000)/(1/10000)</f>
        <v>1278.9999999999998</v>
      </c>
      <c r="L21" s="26">
        <f t="shared" ref="L21:L28" si="14">K21-$R$29</f>
        <v>1251.8499999999997</v>
      </c>
      <c r="N21" s="25"/>
      <c r="O21" s="25"/>
      <c r="P21" s="25"/>
      <c r="Q21" s="25"/>
      <c r="R21" s="25"/>
      <c r="S21" s="23"/>
      <c r="T21" s="23"/>
      <c r="U21" s="23"/>
      <c r="W21" s="6" t="s">
        <v>2</v>
      </c>
      <c r="X21" s="13" t="s">
        <v>3</v>
      </c>
      <c r="Y21" s="13" t="s">
        <v>96</v>
      </c>
      <c r="Z21" s="13" t="s">
        <v>4</v>
      </c>
      <c r="AA21" s="13" t="s">
        <v>72</v>
      </c>
      <c r="AB21" s="14" t="s">
        <v>54</v>
      </c>
    </row>
    <row r="22" spans="2:28" x14ac:dyDescent="0.35">
      <c r="B22" s="23" t="s">
        <v>36</v>
      </c>
      <c r="C22" s="23">
        <v>1223</v>
      </c>
      <c r="D22" s="50">
        <v>514</v>
      </c>
      <c r="E22" s="50">
        <f t="shared" si="11"/>
        <v>471.7</v>
      </c>
      <c r="F22" s="23"/>
      <c r="G22" s="23"/>
      <c r="H22" s="23">
        <v>203.6</v>
      </c>
      <c r="I22" s="23">
        <f t="shared" si="12"/>
        <v>161.30000000000001</v>
      </c>
      <c r="J22" s="25">
        <f t="shared" si="10"/>
        <v>5140</v>
      </c>
      <c r="K22" s="25">
        <f t="shared" si="13"/>
        <v>1613</v>
      </c>
      <c r="L22" s="26">
        <f t="shared" si="14"/>
        <v>1585.85</v>
      </c>
      <c r="N22" s="25"/>
      <c r="O22" s="25"/>
      <c r="P22" s="25"/>
      <c r="Q22" s="25"/>
      <c r="R22" s="25"/>
      <c r="S22" s="23"/>
      <c r="T22" s="23"/>
      <c r="U22" s="23"/>
      <c r="W22" s="9">
        <v>1</v>
      </c>
      <c r="X22" s="9">
        <v>72.099999999999994</v>
      </c>
      <c r="Y22" s="9">
        <f>X22-$T$1</f>
        <v>38.039999999999992</v>
      </c>
      <c r="Z22" s="9">
        <v>36.299999999999997</v>
      </c>
      <c r="AA22" s="9">
        <f>Z22-$T$1</f>
        <v>2.2399999999999949</v>
      </c>
      <c r="AB22" s="10">
        <f>((Y22-AA22)/Y22)*100</f>
        <v>94.111461619348063</v>
      </c>
    </row>
    <row r="23" spans="2:28" x14ac:dyDescent="0.35">
      <c r="B23" s="23" t="s">
        <v>37</v>
      </c>
      <c r="C23" s="23">
        <v>1212</v>
      </c>
      <c r="D23" s="50">
        <v>298</v>
      </c>
      <c r="E23" s="50">
        <f t="shared" si="11"/>
        <v>255.7</v>
      </c>
      <c r="F23" s="23"/>
      <c r="G23" s="23"/>
      <c r="H23" s="23">
        <v>144.69999999999999</v>
      </c>
      <c r="I23" s="23">
        <f t="shared" si="12"/>
        <v>102.39999999999999</v>
      </c>
      <c r="J23" s="25">
        <f t="shared" si="10"/>
        <v>2979.9999999999995</v>
      </c>
      <c r="K23" s="25">
        <f t="shared" si="13"/>
        <v>1023.9999999999999</v>
      </c>
      <c r="L23" s="26">
        <f t="shared" si="14"/>
        <v>996.84999999999991</v>
      </c>
      <c r="N23" s="25"/>
      <c r="O23" s="25"/>
      <c r="P23" s="25"/>
      <c r="Q23" s="25"/>
      <c r="R23" s="25"/>
      <c r="S23" s="23"/>
      <c r="T23" s="23"/>
      <c r="U23" s="23"/>
      <c r="W23" s="9">
        <v>2</v>
      </c>
      <c r="X23" s="9">
        <v>60.7</v>
      </c>
      <c r="Y23" s="9">
        <f>X23-$T$1</f>
        <v>26.64</v>
      </c>
      <c r="Z23" s="9">
        <v>35.200000000000003</v>
      </c>
      <c r="AA23" s="9">
        <f t="shared" ref="AA23:AA32" si="15">Z23-$T$1</f>
        <v>1.1400000000000006</v>
      </c>
      <c r="AB23" s="10">
        <f t="shared" ref="AB23:AB32" si="16">((Y23-AA23)/Y23)*100</f>
        <v>95.72072072072072</v>
      </c>
    </row>
    <row r="24" spans="2:28" x14ac:dyDescent="0.35">
      <c r="B24" s="23" t="s">
        <v>38</v>
      </c>
      <c r="C24" s="23">
        <v>1517.6</v>
      </c>
      <c r="D24" s="50">
        <v>501</v>
      </c>
      <c r="E24" s="50">
        <f t="shared" si="11"/>
        <v>458.7</v>
      </c>
      <c r="F24" s="23"/>
      <c r="G24" s="23"/>
      <c r="H24" s="23">
        <v>214.4</v>
      </c>
      <c r="I24" s="23">
        <f t="shared" si="12"/>
        <v>172.10000000000002</v>
      </c>
      <c r="J24" s="25">
        <f t="shared" si="10"/>
        <v>5010</v>
      </c>
      <c r="K24" s="25">
        <f t="shared" si="13"/>
        <v>1721.0000000000002</v>
      </c>
      <c r="L24" s="26">
        <f t="shared" si="14"/>
        <v>1693.8500000000001</v>
      </c>
      <c r="N24"/>
      <c r="O24"/>
      <c r="P24"/>
      <c r="Q24" s="25"/>
      <c r="R24" s="25"/>
      <c r="S24" s="23"/>
      <c r="T24" s="23"/>
      <c r="U24" s="23"/>
      <c r="W24" s="9">
        <v>3</v>
      </c>
      <c r="X24" s="9">
        <v>80.3</v>
      </c>
      <c r="Y24" s="9">
        <f t="shared" ref="Y24:Y32" si="17">X24-$T$1</f>
        <v>46.239999999999995</v>
      </c>
      <c r="Z24" s="9">
        <v>36.9</v>
      </c>
      <c r="AA24" s="9">
        <f t="shared" si="15"/>
        <v>2.8399999999999963</v>
      </c>
      <c r="AB24" s="10">
        <f t="shared" si="16"/>
        <v>93.858131487889281</v>
      </c>
    </row>
    <row r="25" spans="2:28" x14ac:dyDescent="0.35">
      <c r="B25" s="23" t="s">
        <v>39</v>
      </c>
      <c r="C25" s="23">
        <v>1320.3</v>
      </c>
      <c r="D25" s="50">
        <v>462.4</v>
      </c>
      <c r="E25" s="50">
        <f t="shared" si="11"/>
        <v>420.09999999999997</v>
      </c>
      <c r="F25" s="23"/>
      <c r="G25" s="23"/>
      <c r="H25" s="23">
        <v>214.4</v>
      </c>
      <c r="I25" s="23">
        <f t="shared" si="12"/>
        <v>172.10000000000002</v>
      </c>
      <c r="J25" s="25">
        <f t="shared" si="10"/>
        <v>4624</v>
      </c>
      <c r="K25" s="25">
        <f t="shared" si="13"/>
        <v>1721.0000000000002</v>
      </c>
      <c r="L25" s="26">
        <f t="shared" si="14"/>
        <v>1693.8500000000001</v>
      </c>
      <c r="N25" s="25"/>
      <c r="O25" s="25"/>
      <c r="P25" s="25"/>
      <c r="Q25" s="25"/>
      <c r="R25" s="25"/>
      <c r="S25" s="23"/>
      <c r="T25" s="23"/>
      <c r="U25" s="23"/>
      <c r="W25" s="9">
        <v>4</v>
      </c>
      <c r="X25" s="9">
        <v>58.5</v>
      </c>
      <c r="Y25" s="9">
        <f t="shared" si="17"/>
        <v>24.439999999999998</v>
      </c>
      <c r="Z25" s="9">
        <v>34.299999999999997</v>
      </c>
      <c r="AA25" s="9">
        <f>Z25-$T$1</f>
        <v>0.23999999999999488</v>
      </c>
      <c r="AB25" s="10">
        <f t="shared" si="16"/>
        <v>99.018003273322435</v>
      </c>
    </row>
    <row r="26" spans="2:28" x14ac:dyDescent="0.35">
      <c r="B26" s="23" t="s">
        <v>40</v>
      </c>
      <c r="C26" s="23">
        <v>100.4</v>
      </c>
      <c r="D26" s="50">
        <f>F26+O26</f>
        <v>407.6</v>
      </c>
      <c r="E26" s="50">
        <f t="shared" si="11"/>
        <v>365.3</v>
      </c>
      <c r="F26" s="23">
        <v>347.6</v>
      </c>
      <c r="G26" s="23">
        <f>F26-T1</f>
        <v>313.54000000000002</v>
      </c>
      <c r="H26" s="23">
        <v>131.30000000000001</v>
      </c>
      <c r="I26" s="23">
        <f t="shared" si="12"/>
        <v>89.000000000000014</v>
      </c>
      <c r="J26" s="25">
        <f t="shared" si="10"/>
        <v>4076</v>
      </c>
      <c r="K26" s="25">
        <f t="shared" si="13"/>
        <v>890</v>
      </c>
      <c r="L26" s="26">
        <f t="shared" si="14"/>
        <v>862.85</v>
      </c>
      <c r="N26" s="25" t="s">
        <v>40</v>
      </c>
      <c r="O26" s="25">
        <v>60</v>
      </c>
      <c r="P26" s="25">
        <f>O26-T2</f>
        <v>38.200000000000003</v>
      </c>
      <c r="Q26" s="25">
        <v>51.3</v>
      </c>
      <c r="R26" s="25">
        <f>Q26-T2</f>
        <v>29.499999999999996</v>
      </c>
      <c r="S26" s="25">
        <f>(O26/1000)/(1/10000)</f>
        <v>600</v>
      </c>
      <c r="T26" s="25">
        <f>(Q26/1000)/(1/10000)</f>
        <v>513</v>
      </c>
      <c r="U26" s="26">
        <f>((P26-R26)/P26)*100</f>
        <v>22.774869109947659</v>
      </c>
      <c r="W26" s="9">
        <v>5</v>
      </c>
      <c r="X26" s="9">
        <v>92.3</v>
      </c>
      <c r="Y26" s="9">
        <f t="shared" si="17"/>
        <v>58.239999999999995</v>
      </c>
      <c r="Z26" s="9">
        <v>38.799999999999997</v>
      </c>
      <c r="AA26" s="9">
        <f t="shared" si="15"/>
        <v>4.7399999999999949</v>
      </c>
      <c r="AB26" s="10">
        <f t="shared" si="16"/>
        <v>91.861263736263737</v>
      </c>
    </row>
    <row r="27" spans="2:28" x14ac:dyDescent="0.35">
      <c r="B27" s="23" t="s">
        <v>41</v>
      </c>
      <c r="C27" s="23">
        <v>935</v>
      </c>
      <c r="D27" s="50">
        <v>341.2</v>
      </c>
      <c r="E27" s="50">
        <f t="shared" si="11"/>
        <v>298.89999999999998</v>
      </c>
      <c r="F27" s="23"/>
      <c r="G27" s="23"/>
      <c r="H27" s="23">
        <v>158.80000000000001</v>
      </c>
      <c r="I27" s="23">
        <f t="shared" si="12"/>
        <v>116.50000000000001</v>
      </c>
      <c r="J27" s="25">
        <f t="shared" si="10"/>
        <v>3412</v>
      </c>
      <c r="K27" s="25">
        <f t="shared" si="13"/>
        <v>1165.0000000000002</v>
      </c>
      <c r="L27" s="26">
        <f>K27-$R$29</f>
        <v>1137.8500000000001</v>
      </c>
      <c r="N27" s="25"/>
      <c r="O27" s="25"/>
      <c r="P27" s="25"/>
      <c r="Q27" s="25"/>
      <c r="R27" s="25"/>
      <c r="S27" s="23"/>
      <c r="T27" s="23"/>
      <c r="U27" s="23"/>
      <c r="W27" s="9">
        <v>6</v>
      </c>
      <c r="X27" s="9">
        <v>80.400000000000006</v>
      </c>
      <c r="Y27" s="9">
        <f>X27-$T$1</f>
        <v>46.34</v>
      </c>
      <c r="Z27" s="9">
        <v>36.799999999999997</v>
      </c>
      <c r="AA27" s="9">
        <f t="shared" si="15"/>
        <v>2.7399999999999949</v>
      </c>
      <c r="AB27" s="10">
        <f t="shared" si="16"/>
        <v>94.087181700474758</v>
      </c>
    </row>
    <row r="28" spans="2:28" x14ac:dyDescent="0.35">
      <c r="B28" s="23" t="s">
        <v>42</v>
      </c>
      <c r="C28" s="23">
        <v>1465</v>
      </c>
      <c r="D28" s="50">
        <f>F28+O28</f>
        <v>516.19999999999993</v>
      </c>
      <c r="E28" s="50">
        <f t="shared" si="11"/>
        <v>473.89999999999992</v>
      </c>
      <c r="F28" s="23">
        <v>462.4</v>
      </c>
      <c r="G28" s="23">
        <f>F28-T1</f>
        <v>428.34</v>
      </c>
      <c r="H28" s="23">
        <v>162.80000000000001</v>
      </c>
      <c r="I28" s="23">
        <f t="shared" si="12"/>
        <v>120.50000000000001</v>
      </c>
      <c r="J28" s="25">
        <f t="shared" si="10"/>
        <v>5161.9999999999982</v>
      </c>
      <c r="K28" s="25">
        <f t="shared" si="13"/>
        <v>1205</v>
      </c>
      <c r="L28" s="26">
        <f t="shared" si="14"/>
        <v>1177.8499999999999</v>
      </c>
      <c r="N28" s="25" t="s">
        <v>42</v>
      </c>
      <c r="O28" s="25">
        <v>53.8</v>
      </c>
      <c r="P28" s="25">
        <f>O28-T2</f>
        <v>31.999999999999996</v>
      </c>
      <c r="Q28" s="25">
        <v>46.6</v>
      </c>
      <c r="R28" s="25">
        <f>Q28-T2</f>
        <v>24.8</v>
      </c>
      <c r="S28" s="25">
        <f>(O28/1000)/(1/10000)</f>
        <v>538</v>
      </c>
      <c r="T28" s="25">
        <f>(Q28/1000)/(1/10000)</f>
        <v>466</v>
      </c>
      <c r="U28" s="26">
        <f>((P28-R28)/P28)*100</f>
        <v>22.499999999999989</v>
      </c>
      <c r="W28" s="9">
        <v>7</v>
      </c>
      <c r="X28" s="9">
        <v>68.5</v>
      </c>
      <c r="Y28" s="9">
        <f t="shared" si="17"/>
        <v>34.44</v>
      </c>
      <c r="Z28" s="9">
        <v>34.799999999999997</v>
      </c>
      <c r="AA28" s="9">
        <f t="shared" si="15"/>
        <v>0.73999999999999488</v>
      </c>
      <c r="AB28" s="10">
        <f t="shared" si="16"/>
        <v>97.85133565621372</v>
      </c>
    </row>
    <row r="29" spans="2:28" ht="18.5" x14ac:dyDescent="0.35">
      <c r="B29"/>
      <c r="C29"/>
      <c r="D29"/>
      <c r="E29"/>
      <c r="F29"/>
      <c r="G29"/>
      <c r="H29"/>
      <c r="I29"/>
      <c r="J29"/>
      <c r="K29"/>
      <c r="L29" s="70">
        <f>AVERAGE(L20:L28)</f>
        <v>1315.8500000000001</v>
      </c>
      <c r="N29" s="27" t="s">
        <v>59</v>
      </c>
      <c r="O29" s="28"/>
      <c r="P29" s="28">
        <f t="shared" ref="P29:U29" si="18">AVERAGE(P26:P28)</f>
        <v>35.1</v>
      </c>
      <c r="Q29" s="28">
        <f t="shared" si="18"/>
        <v>48.95</v>
      </c>
      <c r="R29" s="28">
        <f t="shared" si="18"/>
        <v>27.15</v>
      </c>
      <c r="S29" s="28">
        <f t="shared" si="18"/>
        <v>569</v>
      </c>
      <c r="T29" s="28">
        <f t="shared" si="18"/>
        <v>489.5</v>
      </c>
      <c r="U29" s="28">
        <f t="shared" si="18"/>
        <v>22.637434554973822</v>
      </c>
      <c r="W29" s="9">
        <v>8</v>
      </c>
      <c r="X29" s="9">
        <v>67.7</v>
      </c>
      <c r="Y29" s="9">
        <f t="shared" si="17"/>
        <v>33.64</v>
      </c>
      <c r="Z29" s="9">
        <v>35.700000000000003</v>
      </c>
      <c r="AA29" s="9">
        <f t="shared" si="15"/>
        <v>1.6400000000000006</v>
      </c>
      <c r="AB29" s="10">
        <f t="shared" si="16"/>
        <v>95.124851367419737</v>
      </c>
    </row>
    <row r="30" spans="2:28" ht="18.5" x14ac:dyDescent="0.35">
      <c r="B30"/>
      <c r="C30"/>
      <c r="D30"/>
      <c r="E30"/>
      <c r="F30"/>
      <c r="G30"/>
      <c r="H30"/>
      <c r="I30"/>
      <c r="J30" t="s">
        <v>110</v>
      </c>
      <c r="K30">
        <v>234.2</v>
      </c>
      <c r="L30" s="32">
        <f>L29+K30</f>
        <v>1550.0500000000002</v>
      </c>
      <c r="N30" s="27" t="s">
        <v>55</v>
      </c>
      <c r="O30" s="28"/>
      <c r="P30" s="28">
        <f t="shared" ref="P30:U30" si="19">_xlfn.STDEV.P(P26:P28)/SQRT(9)</f>
        <v>1.0333333333333343</v>
      </c>
      <c r="Q30" s="28">
        <f t="shared" si="19"/>
        <v>0.78333333333333266</v>
      </c>
      <c r="R30" s="28">
        <f t="shared" si="19"/>
        <v>0.78333333333333266</v>
      </c>
      <c r="S30" s="28">
        <f t="shared" si="19"/>
        <v>10.333333333333334</v>
      </c>
      <c r="T30" s="28">
        <f t="shared" si="19"/>
        <v>7.833333333333333</v>
      </c>
      <c r="U30" s="28">
        <f t="shared" si="19"/>
        <v>4.5811518324611576E-2</v>
      </c>
      <c r="W30" s="9">
        <v>9</v>
      </c>
      <c r="X30" s="9">
        <v>67.2</v>
      </c>
      <c r="Y30" s="9">
        <f t="shared" si="17"/>
        <v>33.14</v>
      </c>
      <c r="Z30" s="9">
        <v>35.9</v>
      </c>
      <c r="AA30" s="9">
        <f t="shared" si="15"/>
        <v>1.8399999999999963</v>
      </c>
      <c r="AB30" s="10">
        <f t="shared" si="16"/>
        <v>94.447797223898618</v>
      </c>
    </row>
    <row r="31" spans="2:28" customFormat="1" x14ac:dyDescent="0.35">
      <c r="V31" s="18"/>
      <c r="W31" s="9">
        <v>10</v>
      </c>
      <c r="X31" s="9">
        <v>82.4</v>
      </c>
      <c r="Y31" s="9">
        <f t="shared" si="17"/>
        <v>48.34</v>
      </c>
      <c r="Z31" s="9">
        <v>37.1</v>
      </c>
      <c r="AA31" s="9">
        <f t="shared" si="15"/>
        <v>3.0399999999999991</v>
      </c>
      <c r="AB31" s="10">
        <f t="shared" si="16"/>
        <v>93.711212246586683</v>
      </c>
    </row>
    <row r="32" spans="2:28" customFormat="1" x14ac:dyDescent="0.35">
      <c r="V32" s="18"/>
      <c r="W32" s="9">
        <v>11</v>
      </c>
      <c r="X32" s="9">
        <v>68.3</v>
      </c>
      <c r="Y32" s="9">
        <f t="shared" si="17"/>
        <v>34.239999999999995</v>
      </c>
      <c r="Z32" s="9">
        <v>35.700000000000003</v>
      </c>
      <c r="AA32" s="9">
        <f t="shared" si="15"/>
        <v>1.6400000000000006</v>
      </c>
      <c r="AB32" s="10">
        <f t="shared" si="16"/>
        <v>95.210280373831765</v>
      </c>
    </row>
    <row r="33" spans="2:31" ht="28.5" x14ac:dyDescent="0.35">
      <c r="C33" s="87" t="s">
        <v>100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S33" s="18"/>
      <c r="U33"/>
      <c r="W33" s="9">
        <v>12</v>
      </c>
      <c r="X33" s="9">
        <v>62.2</v>
      </c>
      <c r="Y33" s="9">
        <f>X33-$T$1</f>
        <v>28.14</v>
      </c>
      <c r="Z33" s="9">
        <v>35.200000000000003</v>
      </c>
      <c r="AA33" s="9">
        <f>Z33-$T$1</f>
        <v>1.1400000000000006</v>
      </c>
      <c r="AB33" s="10">
        <f>((Y33-AA33)/Y33)*100</f>
        <v>95.948827292110877</v>
      </c>
    </row>
    <row r="34" spans="2:31" ht="18.5" x14ac:dyDescent="0.45">
      <c r="C34" s="86" t="s">
        <v>106</v>
      </c>
      <c r="D34" s="86"/>
      <c r="E34" s="86"/>
      <c r="F34" s="86"/>
      <c r="G34" s="86"/>
      <c r="L34" s="86" t="s">
        <v>46</v>
      </c>
      <c r="M34" s="86"/>
      <c r="N34" s="86"/>
      <c r="O34" s="86"/>
      <c r="P34" s="86"/>
      <c r="S34" s="18"/>
      <c r="U34"/>
      <c r="V34"/>
      <c r="W34" s="11" t="s">
        <v>57</v>
      </c>
      <c r="X34" s="12"/>
      <c r="Y34" s="33">
        <f>AVERAGE(Y22:Y33)</f>
        <v>37.656666666666666</v>
      </c>
      <c r="Z34" s="12"/>
      <c r="AA34" s="38">
        <f>AVERAGE(AA22:AA33)</f>
        <v>1.9983333333333306</v>
      </c>
      <c r="AB34" s="38">
        <f>AVERAGE(AA22:AA33)</f>
        <v>1.9983333333333306</v>
      </c>
      <c r="AE34"/>
    </row>
    <row r="35" spans="2:31" ht="18.5" x14ac:dyDescent="0.45">
      <c r="B35" s="17" t="s">
        <v>2</v>
      </c>
      <c r="C35" s="24" t="s">
        <v>3</v>
      </c>
      <c r="D35" s="48" t="s">
        <v>92</v>
      </c>
      <c r="E35" s="24" t="s">
        <v>4</v>
      </c>
      <c r="F35" s="24" t="s">
        <v>102</v>
      </c>
      <c r="G35" s="17" t="s">
        <v>58</v>
      </c>
      <c r="H35" s="17" t="s">
        <v>56</v>
      </c>
      <c r="I35" s="14" t="s">
        <v>54</v>
      </c>
      <c r="M35" s="14" t="s">
        <v>2</v>
      </c>
      <c r="N35" s="24" t="s">
        <v>3</v>
      </c>
      <c r="O35" s="24" t="s">
        <v>89</v>
      </c>
      <c r="P35" s="24" t="s">
        <v>4</v>
      </c>
      <c r="Q35" s="48" t="s">
        <v>78</v>
      </c>
      <c r="R35" s="17" t="s">
        <v>58</v>
      </c>
      <c r="S35" s="17" t="s">
        <v>56</v>
      </c>
      <c r="T35" s="14" t="s">
        <v>54</v>
      </c>
      <c r="W35" s="11" t="s">
        <v>55</v>
      </c>
      <c r="X35" s="12"/>
      <c r="Y35" s="33">
        <f>_xlfn.STDEV.P(X22:X33)/SQRT(12)</f>
        <v>2.8040108508798331</v>
      </c>
      <c r="Z35" s="12"/>
      <c r="AA35" s="38">
        <f>_xlfn.STDEV.P(AA22:AA33)/SQRT(12)</f>
        <v>0.33695085640138889</v>
      </c>
      <c r="AB35" s="38">
        <f>_xlfn.STDEV.P(AA22:AA33)/SQRT(12)</f>
        <v>0.33695085640138889</v>
      </c>
    </row>
    <row r="36" spans="2:31" x14ac:dyDescent="0.35">
      <c r="B36" s="25" t="s">
        <v>23</v>
      </c>
      <c r="C36" s="25">
        <v>249.2</v>
      </c>
      <c r="D36" s="5">
        <f>C36-$T$2</f>
        <v>227.39999999999998</v>
      </c>
      <c r="E36" s="25">
        <v>44.8</v>
      </c>
      <c r="F36" s="25">
        <f>E36-$T$2</f>
        <v>22.999999999999996</v>
      </c>
      <c r="G36" s="25">
        <f>(D36/1000)/(1/10000)</f>
        <v>2274</v>
      </c>
      <c r="H36" s="25">
        <f>(F36/1000)/(1/10000)</f>
        <v>229.99999999999994</v>
      </c>
      <c r="I36" s="26">
        <f>((D36-F36)/D36)*100</f>
        <v>89.885664028144248</v>
      </c>
      <c r="M36" s="25" t="s">
        <v>23</v>
      </c>
      <c r="N36" s="23">
        <v>529.4</v>
      </c>
      <c r="O36" s="23">
        <f>N36-$T$2</f>
        <v>507.59999999999997</v>
      </c>
      <c r="P36" s="23">
        <v>94.9</v>
      </c>
      <c r="Q36" s="5">
        <f>P36-$T$2</f>
        <v>73.100000000000009</v>
      </c>
      <c r="R36" s="25">
        <f>(O36/1000)/(1/10000)</f>
        <v>5075.9999999999991</v>
      </c>
      <c r="S36" s="25">
        <f>(Q36/1000)/(1/10000)</f>
        <v>731.00000000000011</v>
      </c>
      <c r="T36" s="26">
        <f>((O36-Q36)/O36)*100</f>
        <v>85.59889676910953</v>
      </c>
      <c r="Z36" s="15"/>
    </row>
    <row r="37" spans="2:31" x14ac:dyDescent="0.35">
      <c r="B37" s="25" t="s">
        <v>24</v>
      </c>
      <c r="C37" s="25">
        <v>147.9</v>
      </c>
      <c r="D37" s="5">
        <f t="shared" ref="D37:D44" si="20">C37-$T$2</f>
        <v>126.10000000000001</v>
      </c>
      <c r="E37" s="25">
        <v>35.5</v>
      </c>
      <c r="F37" s="25">
        <f t="shared" ref="F37:F44" si="21">E37-$T$2</f>
        <v>13.7</v>
      </c>
      <c r="G37" s="25">
        <f t="shared" ref="G37:G44" si="22">(D37/1000)/(1/10000)</f>
        <v>1261.0000000000002</v>
      </c>
      <c r="H37" s="25">
        <f t="shared" ref="H37:H44" si="23">(F37/1000)/(1/10000)</f>
        <v>136.99999999999997</v>
      </c>
      <c r="I37" s="26">
        <f t="shared" ref="I37:I44" si="24">((D37-F37)/D37)*100</f>
        <v>89.135606661379853</v>
      </c>
      <c r="M37" s="25" t="s">
        <v>24</v>
      </c>
      <c r="N37" s="23">
        <v>314.5</v>
      </c>
      <c r="O37" s="23">
        <f t="shared" ref="O37:O44" si="25">N37-$T$2</f>
        <v>292.7</v>
      </c>
      <c r="P37" s="23">
        <v>65</v>
      </c>
      <c r="Q37" s="5">
        <f t="shared" ref="Q37:Q44" si="26">P37-$T$2</f>
        <v>43.2</v>
      </c>
      <c r="R37" s="25">
        <f t="shared" ref="R37:R44" si="27">(O37/1000)/(1/10000)</f>
        <v>2927</v>
      </c>
      <c r="S37" s="25">
        <f t="shared" ref="S37:S44" si="28">(Q37/1000)/(1/10000)</f>
        <v>432</v>
      </c>
      <c r="T37" s="26">
        <f t="shared" ref="T37:T44" si="29">((O37-Q37)/O37)*100</f>
        <v>85.240860949777925</v>
      </c>
    </row>
    <row r="38" spans="2:31" x14ac:dyDescent="0.35">
      <c r="B38" s="25" t="s">
        <v>27</v>
      </c>
      <c r="C38" s="25">
        <v>140.1</v>
      </c>
      <c r="D38" s="5">
        <f t="shared" si="20"/>
        <v>118.3</v>
      </c>
      <c r="E38" s="25">
        <v>34.5</v>
      </c>
      <c r="F38" s="25">
        <f t="shared" si="21"/>
        <v>12.7</v>
      </c>
      <c r="G38" s="25">
        <f t="shared" si="22"/>
        <v>1183</v>
      </c>
      <c r="H38" s="25">
        <f t="shared" si="23"/>
        <v>126.99999999999999</v>
      </c>
      <c r="I38" s="26">
        <f t="shared" si="24"/>
        <v>89.264581572273883</v>
      </c>
      <c r="M38" s="25" t="s">
        <v>27</v>
      </c>
      <c r="N38" s="23">
        <v>275.5</v>
      </c>
      <c r="O38" s="23">
        <f t="shared" si="25"/>
        <v>253.7</v>
      </c>
      <c r="P38" s="23">
        <v>61.6</v>
      </c>
      <c r="Q38" s="5">
        <f t="shared" si="26"/>
        <v>39.799999999999997</v>
      </c>
      <c r="R38" s="25">
        <f t="shared" si="27"/>
        <v>2536.9999999999995</v>
      </c>
      <c r="S38" s="25">
        <f t="shared" si="28"/>
        <v>397.99999999999994</v>
      </c>
      <c r="T38" s="26">
        <f t="shared" si="29"/>
        <v>84.312179739850208</v>
      </c>
    </row>
    <row r="39" spans="2:31" ht="18.5" x14ac:dyDescent="0.35">
      <c r="B39" s="25" t="s">
        <v>28</v>
      </c>
      <c r="C39" s="25">
        <v>86</v>
      </c>
      <c r="D39" s="5">
        <f t="shared" si="20"/>
        <v>64.2</v>
      </c>
      <c r="E39" s="25">
        <v>37.9</v>
      </c>
      <c r="F39" s="25">
        <f t="shared" si="21"/>
        <v>16.099999999999998</v>
      </c>
      <c r="G39" s="25">
        <f t="shared" si="22"/>
        <v>642</v>
      </c>
      <c r="H39" s="25">
        <f t="shared" si="23"/>
        <v>160.99999999999994</v>
      </c>
      <c r="I39" s="26">
        <f t="shared" si="24"/>
        <v>74.922118380062315</v>
      </c>
      <c r="M39" s="25" t="s">
        <v>28</v>
      </c>
      <c r="N39" s="23">
        <v>331</v>
      </c>
      <c r="O39" s="23">
        <f t="shared" si="25"/>
        <v>309.2</v>
      </c>
      <c r="P39" s="23">
        <v>86.3</v>
      </c>
      <c r="Q39" s="5">
        <f t="shared" si="26"/>
        <v>64.5</v>
      </c>
      <c r="R39" s="25">
        <f t="shared" si="27"/>
        <v>3091.9999999999995</v>
      </c>
      <c r="S39" s="25">
        <f t="shared" si="28"/>
        <v>645</v>
      </c>
      <c r="T39" s="26">
        <f t="shared" si="29"/>
        <v>79.139715394566622</v>
      </c>
      <c r="X39" s="47" t="s">
        <v>101</v>
      </c>
      <c r="Y39" s="47"/>
    </row>
    <row r="40" spans="2:31" x14ac:dyDescent="0.35">
      <c r="B40" s="25" t="s">
        <v>29</v>
      </c>
      <c r="C40" s="25">
        <v>57.7</v>
      </c>
      <c r="D40" s="5">
        <f t="shared" si="20"/>
        <v>35.900000000000006</v>
      </c>
      <c r="E40" s="25">
        <v>24.2</v>
      </c>
      <c r="F40" s="25">
        <f t="shared" si="21"/>
        <v>2.3999999999999986</v>
      </c>
      <c r="G40" s="25">
        <f t="shared" si="22"/>
        <v>359.00000000000006</v>
      </c>
      <c r="H40" s="25">
        <f t="shared" si="23"/>
        <v>23.999999999999982</v>
      </c>
      <c r="I40" s="26">
        <f t="shared" si="24"/>
        <v>93.314763231197773</v>
      </c>
      <c r="M40" s="25" t="s">
        <v>29</v>
      </c>
      <c r="N40" s="23">
        <v>319.39999999999998</v>
      </c>
      <c r="O40" s="23">
        <f t="shared" si="25"/>
        <v>297.59999999999997</v>
      </c>
      <c r="P40" s="23">
        <v>69.2</v>
      </c>
      <c r="Q40" s="5">
        <f t="shared" si="26"/>
        <v>47.400000000000006</v>
      </c>
      <c r="R40" s="25">
        <f t="shared" si="27"/>
        <v>2975.9999999999995</v>
      </c>
      <c r="S40" s="25">
        <f t="shared" si="28"/>
        <v>474</v>
      </c>
      <c r="T40" s="26">
        <f t="shared" si="29"/>
        <v>84.072580645161281</v>
      </c>
      <c r="X40" s="18" t="s">
        <v>74</v>
      </c>
      <c r="Y40" s="41">
        <f>O45/Y34</f>
        <v>7.8265616240299769</v>
      </c>
    </row>
    <row r="41" spans="2:31" x14ac:dyDescent="0.35">
      <c r="B41" s="25" t="s">
        <v>30</v>
      </c>
      <c r="C41" s="25">
        <v>101.1</v>
      </c>
      <c r="D41" s="5">
        <f t="shared" si="20"/>
        <v>79.3</v>
      </c>
      <c r="E41" s="25">
        <v>40.1</v>
      </c>
      <c r="F41" s="25">
        <f t="shared" si="21"/>
        <v>18.3</v>
      </c>
      <c r="G41" s="25">
        <f t="shared" si="22"/>
        <v>792.99999999999989</v>
      </c>
      <c r="H41" s="25">
        <f t="shared" si="23"/>
        <v>183</v>
      </c>
      <c r="I41" s="26">
        <f t="shared" si="24"/>
        <v>76.923076923076934</v>
      </c>
      <c r="M41" s="25" t="s">
        <v>30</v>
      </c>
      <c r="N41" s="23">
        <v>293.39999999999998</v>
      </c>
      <c r="O41" s="23">
        <f t="shared" si="25"/>
        <v>271.59999999999997</v>
      </c>
      <c r="P41" s="23">
        <v>77.2</v>
      </c>
      <c r="Q41" s="5">
        <f t="shared" si="26"/>
        <v>55.400000000000006</v>
      </c>
      <c r="R41" s="25">
        <f t="shared" si="27"/>
        <v>2715.9999999999995</v>
      </c>
      <c r="S41" s="25">
        <f t="shared" si="28"/>
        <v>554</v>
      </c>
      <c r="T41" s="26">
        <f t="shared" si="29"/>
        <v>79.602356406480112</v>
      </c>
      <c r="X41" s="18" t="s">
        <v>75</v>
      </c>
      <c r="Y41" s="41">
        <f>O59/Y34</f>
        <v>13.672361393880379</v>
      </c>
    </row>
    <row r="42" spans="2:31" x14ac:dyDescent="0.35">
      <c r="B42" s="25" t="s">
        <v>31</v>
      </c>
      <c r="C42" s="25">
        <v>108.4</v>
      </c>
      <c r="D42" s="5">
        <f t="shared" si="20"/>
        <v>86.600000000000009</v>
      </c>
      <c r="E42" s="25">
        <v>30.2</v>
      </c>
      <c r="F42" s="25">
        <f t="shared" si="21"/>
        <v>8.3999999999999986</v>
      </c>
      <c r="G42" s="25">
        <f t="shared" si="22"/>
        <v>866.00000000000011</v>
      </c>
      <c r="H42" s="25">
        <f t="shared" si="23"/>
        <v>83.999999999999972</v>
      </c>
      <c r="I42" s="26">
        <f t="shared" si="24"/>
        <v>90.300230946882238</v>
      </c>
      <c r="M42" s="25" t="s">
        <v>31</v>
      </c>
      <c r="N42" s="23">
        <v>325.60000000000002</v>
      </c>
      <c r="O42" s="23">
        <f t="shared" si="25"/>
        <v>303.8</v>
      </c>
      <c r="P42" s="23">
        <v>65.3</v>
      </c>
      <c r="Q42" s="5">
        <f t="shared" si="26"/>
        <v>43.5</v>
      </c>
      <c r="R42" s="25">
        <f t="shared" si="27"/>
        <v>3038</v>
      </c>
      <c r="S42" s="25">
        <f t="shared" si="28"/>
        <v>434.99999999999994</v>
      </c>
      <c r="T42" s="26">
        <f t="shared" si="29"/>
        <v>85.681369321922318</v>
      </c>
    </row>
    <row r="43" spans="2:31" x14ac:dyDescent="0.35">
      <c r="B43" s="25" t="s">
        <v>32</v>
      </c>
      <c r="C43" s="25">
        <v>104</v>
      </c>
      <c r="D43" s="5">
        <f t="shared" si="20"/>
        <v>82.2</v>
      </c>
      <c r="E43" s="25">
        <v>29.2</v>
      </c>
      <c r="F43" s="25">
        <f t="shared" si="21"/>
        <v>7.3999999999999986</v>
      </c>
      <c r="G43" s="25">
        <f t="shared" si="22"/>
        <v>822</v>
      </c>
      <c r="H43" s="25">
        <f t="shared" si="23"/>
        <v>73.999999999999986</v>
      </c>
      <c r="I43" s="26">
        <f t="shared" si="24"/>
        <v>90.997566909975674</v>
      </c>
      <c r="M43" s="25" t="s">
        <v>32</v>
      </c>
      <c r="N43" s="23">
        <v>235.5</v>
      </c>
      <c r="O43" s="23">
        <f t="shared" si="25"/>
        <v>213.7</v>
      </c>
      <c r="P43" s="23">
        <v>51.4</v>
      </c>
      <c r="Q43" s="5">
        <f t="shared" si="26"/>
        <v>29.599999999999998</v>
      </c>
      <c r="R43" s="25">
        <f t="shared" si="27"/>
        <v>2137</v>
      </c>
      <c r="S43" s="25">
        <f t="shared" si="28"/>
        <v>295.99999999999994</v>
      </c>
      <c r="T43" s="26">
        <f t="shared" si="29"/>
        <v>86.148806738418344</v>
      </c>
      <c r="X43"/>
      <c r="Y43"/>
      <c r="Z43"/>
    </row>
    <row r="44" spans="2:31" x14ac:dyDescent="0.35">
      <c r="B44" s="25" t="s">
        <v>33</v>
      </c>
      <c r="C44" s="25">
        <v>73.099999999999994</v>
      </c>
      <c r="D44" s="5">
        <f t="shared" si="20"/>
        <v>51.3</v>
      </c>
      <c r="E44" s="25">
        <v>26.1</v>
      </c>
      <c r="F44" s="25">
        <f t="shared" si="21"/>
        <v>4.3000000000000007</v>
      </c>
      <c r="G44" s="25">
        <f t="shared" si="22"/>
        <v>513</v>
      </c>
      <c r="H44" s="25">
        <f t="shared" si="23"/>
        <v>43.000000000000007</v>
      </c>
      <c r="I44" s="26">
        <f t="shared" si="24"/>
        <v>91.617933723196884</v>
      </c>
      <c r="M44" s="25" t="s">
        <v>33</v>
      </c>
      <c r="N44" s="23">
        <v>224.4</v>
      </c>
      <c r="O44" s="23">
        <f t="shared" si="25"/>
        <v>202.6</v>
      </c>
      <c r="P44" s="23">
        <v>58.1</v>
      </c>
      <c r="Q44" s="5">
        <f t="shared" si="26"/>
        <v>36.299999999999997</v>
      </c>
      <c r="R44" s="25">
        <f t="shared" si="27"/>
        <v>2026</v>
      </c>
      <c r="S44" s="25">
        <f t="shared" si="28"/>
        <v>363</v>
      </c>
      <c r="T44" s="26">
        <f t="shared" si="29"/>
        <v>82.082922013820351</v>
      </c>
      <c r="X44"/>
      <c r="Y44"/>
      <c r="Z44"/>
    </row>
    <row r="45" spans="2:31" ht="18.5" x14ac:dyDescent="0.35">
      <c r="B45" s="27" t="s">
        <v>59</v>
      </c>
      <c r="C45"/>
      <c r="D45" s="35">
        <f>AVERAGE(D36:D44)</f>
        <v>96.811111111111103</v>
      </c>
      <c r="E45"/>
      <c r="F45" s="35">
        <f>AVERAGE(F36:F44)</f>
        <v>11.811111111111108</v>
      </c>
      <c r="G45" s="35">
        <f>AVERAGE(G36:G44)</f>
        <v>968.11111111111109</v>
      </c>
      <c r="H45" s="35">
        <f>AVERAGE(H36:H44)</f>
        <v>118.11111111111109</v>
      </c>
      <c r="I45"/>
      <c r="J45" s="72">
        <f>L14+H45+S45</f>
        <v>1798.3377777777778</v>
      </c>
      <c r="K45"/>
      <c r="L45"/>
      <c r="M45" s="27" t="s">
        <v>59</v>
      </c>
      <c r="N45"/>
      <c r="O45" s="35">
        <f>AVERAGE(O36:O44)</f>
        <v>294.72222222222217</v>
      </c>
      <c r="P45"/>
      <c r="Q45" s="35">
        <f>AVERAGE(Q36:Q44)</f>
        <v>48.088888888888889</v>
      </c>
      <c r="S45" s="73">
        <f>AVERAGE(S36:S44)</f>
        <v>480.88888888888891</v>
      </c>
      <c r="T45"/>
      <c r="U45" s="18" t="s">
        <v>107</v>
      </c>
      <c r="V45" s="18" t="s">
        <v>108</v>
      </c>
      <c r="X45"/>
      <c r="Y45"/>
      <c r="Z45"/>
    </row>
    <row r="46" spans="2:31" ht="18.5" x14ac:dyDescent="0.35">
      <c r="B46" s="27" t="s">
        <v>55</v>
      </c>
      <c r="C46"/>
      <c r="D46" s="35">
        <f>_xlfn.STDEV.P(D36:D44)/SQRT(9)</f>
        <v>17.86173539219665</v>
      </c>
      <c r="E46"/>
      <c r="F46" s="35">
        <f>_xlfn.STDEV.P(F36:F44)/SQRT(9)</f>
        <v>2.1260549709189092</v>
      </c>
      <c r="G46" s="35">
        <f>_xlfn.STDEV.P(G36:G44)/SQRT(9)</f>
        <v>178.6173539219665</v>
      </c>
      <c r="H46" s="35">
        <f>_xlfn.STDEV.P(H36:H44)/SQRT(9)</f>
        <v>21.260549709189082</v>
      </c>
      <c r="I46"/>
      <c r="J46"/>
      <c r="K46"/>
      <c r="L46"/>
      <c r="M46" s="27" t="s">
        <v>55</v>
      </c>
      <c r="N46"/>
      <c r="O46" s="35">
        <f>_xlfn.STDEV.P(O36:O44)/SQRT(9)</f>
        <v>27.864286526822038</v>
      </c>
      <c r="P46"/>
      <c r="Q46" s="35">
        <f>_xlfn.STDEV.P(Q36:Q44)/SQRT(9)</f>
        <v>4.3649684128916499</v>
      </c>
      <c r="S46" s="18"/>
      <c r="T46"/>
      <c r="U46" s="18" t="s">
        <v>107</v>
      </c>
      <c r="V46" s="18" t="s">
        <v>109</v>
      </c>
      <c r="W46" s="15"/>
    </row>
    <row r="47" spans="2:31" x14ac:dyDescent="0.35">
      <c r="E47" s="29"/>
      <c r="F47" s="29"/>
      <c r="G47" s="29"/>
      <c r="H47" s="29"/>
      <c r="S47" s="18"/>
      <c r="T47"/>
      <c r="W47" s="15"/>
    </row>
    <row r="48" spans="2:31" x14ac:dyDescent="0.35">
      <c r="C48" s="81" t="s">
        <v>47</v>
      </c>
      <c r="D48" s="81"/>
      <c r="E48" s="81"/>
      <c r="F48" s="81"/>
      <c r="G48" s="81"/>
      <c r="M48" s="81" t="s">
        <v>46</v>
      </c>
      <c r="N48" s="81"/>
      <c r="O48" s="81"/>
      <c r="P48" s="81"/>
      <c r="Q48" s="81"/>
      <c r="S48" s="18"/>
      <c r="T48"/>
      <c r="W48"/>
    </row>
    <row r="49" spans="2:31" ht="15.5" x14ac:dyDescent="0.35">
      <c r="B49" s="17" t="s">
        <v>2</v>
      </c>
      <c r="C49" s="14" t="s">
        <v>3</v>
      </c>
      <c r="D49" s="48" t="s">
        <v>92</v>
      </c>
      <c r="E49" s="14" t="s">
        <v>4</v>
      </c>
      <c r="F49" s="14" t="s">
        <v>102</v>
      </c>
      <c r="G49" s="17" t="s">
        <v>58</v>
      </c>
      <c r="H49" s="17" t="s">
        <v>56</v>
      </c>
      <c r="I49" s="14" t="s">
        <v>54</v>
      </c>
      <c r="M49" s="17" t="s">
        <v>2</v>
      </c>
      <c r="N49" s="14" t="s">
        <v>3</v>
      </c>
      <c r="O49" s="24" t="s">
        <v>89</v>
      </c>
      <c r="P49" s="14" t="s">
        <v>4</v>
      </c>
      <c r="Q49" s="48" t="s">
        <v>78</v>
      </c>
      <c r="R49" s="17" t="s">
        <v>58</v>
      </c>
      <c r="S49" s="17" t="s">
        <v>56</v>
      </c>
      <c r="T49" s="14" t="s">
        <v>54</v>
      </c>
    </row>
    <row r="50" spans="2:31" x14ac:dyDescent="0.35">
      <c r="B50" s="25" t="s">
        <v>34</v>
      </c>
      <c r="C50" s="25">
        <v>125.8</v>
      </c>
      <c r="D50" s="5">
        <f>C50-$T$2</f>
        <v>104</v>
      </c>
      <c r="E50" s="25">
        <v>31.2</v>
      </c>
      <c r="F50" s="25">
        <f>E50-$T$2</f>
        <v>9.3999999999999986</v>
      </c>
      <c r="G50" s="25">
        <f>(D50/1000)/(1/10000)</f>
        <v>1040</v>
      </c>
      <c r="H50" s="25">
        <f>(F50/1000)/(1/10000)</f>
        <v>93.999999999999986</v>
      </c>
      <c r="I50" s="26">
        <f>((D50-F50)/D50)*100</f>
        <v>90.961538461538467</v>
      </c>
      <c r="M50" s="25" t="s">
        <v>34</v>
      </c>
      <c r="N50" s="25">
        <v>502.9</v>
      </c>
      <c r="O50" s="25">
        <f>N50-$T$2</f>
        <v>481.09999999999997</v>
      </c>
      <c r="P50" s="25">
        <v>92</v>
      </c>
      <c r="Q50" s="5">
        <f>P50-$T$2</f>
        <v>70.2</v>
      </c>
      <c r="R50" s="25">
        <f>(O50/1000)/(1/10000)</f>
        <v>4810.9999999999991</v>
      </c>
      <c r="S50" s="25">
        <f>(Q50/1000)/(1/10000)</f>
        <v>702</v>
      </c>
      <c r="T50" s="26">
        <f>((O50-Q50)/O50)*100</f>
        <v>85.40843899397214</v>
      </c>
    </row>
    <row r="51" spans="2:31" x14ac:dyDescent="0.35">
      <c r="B51" s="25" t="s">
        <v>35</v>
      </c>
      <c r="C51" s="25">
        <v>116</v>
      </c>
      <c r="D51" s="5">
        <f t="shared" ref="D51:D58" si="30">C51-$T$2</f>
        <v>94.2</v>
      </c>
      <c r="E51" s="25">
        <v>29.7</v>
      </c>
      <c r="F51" s="25">
        <f t="shared" ref="F51:F58" si="31">E51-$T$2</f>
        <v>7.8999999999999986</v>
      </c>
      <c r="G51" s="25">
        <f t="shared" ref="G51:G58" si="32">(D51/1000)/(1/10000)</f>
        <v>942</v>
      </c>
      <c r="H51" s="25">
        <f>(F51/1000)/(1/10000)</f>
        <v>78.999999999999986</v>
      </c>
      <c r="I51" s="26">
        <f t="shared" ref="I51:I58" si="33">((D51-F51)/D51)*100</f>
        <v>91.613588110403413</v>
      </c>
      <c r="M51" s="25" t="s">
        <v>35</v>
      </c>
      <c r="N51" s="25">
        <v>347</v>
      </c>
      <c r="O51" s="25">
        <f t="shared" ref="O51:O58" si="34">N51-$T$2</f>
        <v>325.2</v>
      </c>
      <c r="P51" s="25">
        <v>67.5</v>
      </c>
      <c r="Q51" s="5">
        <f t="shared" ref="Q51:Q58" si="35">P51-$T$2</f>
        <v>45.7</v>
      </c>
      <c r="R51" s="25">
        <f t="shared" ref="R51:R58" si="36">(O51/1000)/(1/10000)</f>
        <v>3251.9999999999995</v>
      </c>
      <c r="S51" s="25">
        <f t="shared" ref="S51:S58" si="37">(Q51/1000)/(1/10000)</f>
        <v>457</v>
      </c>
      <c r="T51" s="26">
        <f t="shared" ref="T51:T58" si="38">((O51-Q51)/O51)*100</f>
        <v>85.94710947109472</v>
      </c>
      <c r="W51"/>
      <c r="X51"/>
      <c r="AD51"/>
      <c r="AE51"/>
    </row>
    <row r="52" spans="2:31" x14ac:dyDescent="0.35">
      <c r="B52" s="25" t="s">
        <v>36</v>
      </c>
      <c r="C52" s="25">
        <v>128.19999999999999</v>
      </c>
      <c r="D52" s="5">
        <f t="shared" si="30"/>
        <v>106.39999999999999</v>
      </c>
      <c r="E52" s="25">
        <v>31.2</v>
      </c>
      <c r="F52" s="25">
        <f t="shared" si="31"/>
        <v>9.3999999999999986</v>
      </c>
      <c r="G52" s="25">
        <f t="shared" si="32"/>
        <v>1064</v>
      </c>
      <c r="H52" s="25">
        <f>(F52/1000)/(1/10000)</f>
        <v>93.999999999999986</v>
      </c>
      <c r="I52" s="26">
        <f t="shared" si="33"/>
        <v>91.165413533834595</v>
      </c>
      <c r="M52" s="25" t="s">
        <v>36</v>
      </c>
      <c r="N52" s="25">
        <v>721</v>
      </c>
      <c r="O52" s="25">
        <f t="shared" si="34"/>
        <v>699.2</v>
      </c>
      <c r="P52" s="25">
        <v>110.4</v>
      </c>
      <c r="Q52" s="5">
        <f t="shared" si="35"/>
        <v>88.600000000000009</v>
      </c>
      <c r="R52" s="25">
        <f t="shared" si="36"/>
        <v>6992</v>
      </c>
      <c r="S52" s="25">
        <f t="shared" si="37"/>
        <v>886.00000000000011</v>
      </c>
      <c r="T52" s="26">
        <f t="shared" si="38"/>
        <v>87.328375286041179</v>
      </c>
      <c r="W52"/>
      <c r="X52"/>
      <c r="AD52"/>
      <c r="AE52"/>
    </row>
    <row r="53" spans="2:31" x14ac:dyDescent="0.35">
      <c r="B53" s="25" t="s">
        <v>37</v>
      </c>
      <c r="C53" s="25">
        <v>127.5</v>
      </c>
      <c r="D53" s="5">
        <f t="shared" si="30"/>
        <v>105.7</v>
      </c>
      <c r="E53" s="25">
        <v>30.7</v>
      </c>
      <c r="F53" s="25">
        <f t="shared" si="31"/>
        <v>8.8999999999999986</v>
      </c>
      <c r="G53" s="25">
        <f t="shared" si="32"/>
        <v>1057</v>
      </c>
      <c r="H53" s="25">
        <f>(F53/1000)/(1/10000)</f>
        <v>88.999999999999972</v>
      </c>
      <c r="I53" s="26">
        <f t="shared" si="33"/>
        <v>91.579943235572387</v>
      </c>
      <c r="M53" s="25" t="s">
        <v>37</v>
      </c>
      <c r="N53" s="25">
        <v>522.5</v>
      </c>
      <c r="O53" s="25">
        <f t="shared" si="34"/>
        <v>500.7</v>
      </c>
      <c r="P53" s="25">
        <v>83</v>
      </c>
      <c r="Q53" s="5">
        <f t="shared" si="35"/>
        <v>61.2</v>
      </c>
      <c r="R53" s="25">
        <f t="shared" si="36"/>
        <v>5007</v>
      </c>
      <c r="S53" s="25">
        <f t="shared" si="37"/>
        <v>612</v>
      </c>
      <c r="T53" s="26">
        <f t="shared" si="38"/>
        <v>87.77711204313961</v>
      </c>
      <c r="W53"/>
      <c r="X53"/>
      <c r="AD53"/>
      <c r="AE53"/>
    </row>
    <row r="54" spans="2:31" x14ac:dyDescent="0.35">
      <c r="B54" s="25" t="s">
        <v>38</v>
      </c>
      <c r="C54" s="25">
        <v>320</v>
      </c>
      <c r="D54" s="5">
        <f t="shared" si="30"/>
        <v>298.2</v>
      </c>
      <c r="E54" s="25">
        <v>51.5</v>
      </c>
      <c r="F54" s="25">
        <f t="shared" si="31"/>
        <v>29.7</v>
      </c>
      <c r="G54" s="25">
        <f t="shared" si="32"/>
        <v>2981.9999999999995</v>
      </c>
      <c r="H54" s="25">
        <f t="shared" ref="H54:H58" si="39">(F54/1000)/(1/10000)</f>
        <v>297</v>
      </c>
      <c r="I54" s="26">
        <f t="shared" si="33"/>
        <v>90.040241448692157</v>
      </c>
      <c r="M54" s="25" t="s">
        <v>38</v>
      </c>
      <c r="N54" s="25">
        <v>615</v>
      </c>
      <c r="O54" s="25">
        <f t="shared" si="34"/>
        <v>593.20000000000005</v>
      </c>
      <c r="P54" s="25">
        <v>99</v>
      </c>
      <c r="Q54" s="5">
        <f t="shared" si="35"/>
        <v>77.2</v>
      </c>
      <c r="R54" s="25">
        <f t="shared" si="36"/>
        <v>5932</v>
      </c>
      <c r="S54" s="25">
        <f t="shared" si="37"/>
        <v>772</v>
      </c>
      <c r="T54" s="26">
        <f t="shared" si="38"/>
        <v>86.985839514497627</v>
      </c>
      <c r="W54"/>
      <c r="X54"/>
    </row>
    <row r="55" spans="2:31" x14ac:dyDescent="0.35">
      <c r="B55" s="25" t="s">
        <v>39</v>
      </c>
      <c r="C55" s="25">
        <v>203.6</v>
      </c>
      <c r="D55" s="5">
        <f t="shared" si="30"/>
        <v>181.79999999999998</v>
      </c>
      <c r="E55" s="25">
        <v>40.9</v>
      </c>
      <c r="F55" s="25">
        <f t="shared" si="31"/>
        <v>19.099999999999998</v>
      </c>
      <c r="G55" s="25">
        <f t="shared" si="32"/>
        <v>1817.9999999999998</v>
      </c>
      <c r="H55" s="25">
        <f t="shared" si="39"/>
        <v>190.99999999999997</v>
      </c>
      <c r="I55" s="26">
        <f t="shared" si="33"/>
        <v>89.493949394939492</v>
      </c>
      <c r="M55" s="25" t="s">
        <v>39</v>
      </c>
      <c r="N55" s="25">
        <v>562.29999999999995</v>
      </c>
      <c r="O55" s="25">
        <f t="shared" si="34"/>
        <v>540.5</v>
      </c>
      <c r="P55" s="25">
        <v>97</v>
      </c>
      <c r="Q55" s="5">
        <f t="shared" si="35"/>
        <v>75.2</v>
      </c>
      <c r="R55" s="25">
        <f t="shared" si="36"/>
        <v>5405</v>
      </c>
      <c r="S55" s="25">
        <f t="shared" si="37"/>
        <v>752</v>
      </c>
      <c r="T55" s="26">
        <f t="shared" si="38"/>
        <v>86.08695652173914</v>
      </c>
      <c r="W55"/>
      <c r="X55"/>
    </row>
    <row r="56" spans="2:31" x14ac:dyDescent="0.35">
      <c r="B56" s="25" t="s">
        <v>40</v>
      </c>
      <c r="C56" s="25">
        <v>128.69999999999999</v>
      </c>
      <c r="D56" s="5">
        <f t="shared" si="30"/>
        <v>106.89999999999999</v>
      </c>
      <c r="E56" s="25">
        <v>32.6</v>
      </c>
      <c r="F56" s="25">
        <f t="shared" si="31"/>
        <v>10.8</v>
      </c>
      <c r="G56" s="25">
        <f t="shared" si="32"/>
        <v>1069</v>
      </c>
      <c r="H56" s="25">
        <f t="shared" si="39"/>
        <v>108</v>
      </c>
      <c r="I56" s="26">
        <f t="shared" si="33"/>
        <v>89.897100093545362</v>
      </c>
      <c r="M56" s="25" t="s">
        <v>40</v>
      </c>
      <c r="N56" s="25">
        <v>448.9</v>
      </c>
      <c r="O56" s="25">
        <f t="shared" si="34"/>
        <v>427.09999999999997</v>
      </c>
      <c r="P56" s="25">
        <v>82.8</v>
      </c>
      <c r="Q56" s="5">
        <f t="shared" si="35"/>
        <v>61</v>
      </c>
      <c r="R56" s="25">
        <f t="shared" si="36"/>
        <v>4271</v>
      </c>
      <c r="S56" s="25">
        <f t="shared" si="37"/>
        <v>610</v>
      </c>
      <c r="T56" s="26">
        <f t="shared" si="38"/>
        <v>85.717630531491452</v>
      </c>
      <c r="W56"/>
      <c r="X56"/>
    </row>
    <row r="57" spans="2:31" x14ac:dyDescent="0.35">
      <c r="B57" s="25" t="s">
        <v>41</v>
      </c>
      <c r="C57" s="25">
        <v>79.3</v>
      </c>
      <c r="D57" s="5">
        <f t="shared" si="30"/>
        <v>57.5</v>
      </c>
      <c r="E57" s="25">
        <v>26.1</v>
      </c>
      <c r="F57" s="25">
        <f t="shared" si="31"/>
        <v>4.3000000000000007</v>
      </c>
      <c r="G57" s="25">
        <f t="shared" si="32"/>
        <v>575</v>
      </c>
      <c r="H57" s="25">
        <f t="shared" si="39"/>
        <v>43.000000000000007</v>
      </c>
      <c r="I57" s="26">
        <f t="shared" si="33"/>
        <v>92.521739130434781</v>
      </c>
      <c r="M57" s="25" t="s">
        <v>41</v>
      </c>
      <c r="N57" s="25">
        <v>482.2</v>
      </c>
      <c r="O57" s="25">
        <f t="shared" si="34"/>
        <v>460.4</v>
      </c>
      <c r="P57" s="25">
        <v>87.4</v>
      </c>
      <c r="Q57" s="5">
        <f t="shared" si="35"/>
        <v>65.600000000000009</v>
      </c>
      <c r="R57" s="25">
        <f t="shared" si="36"/>
        <v>4603.9999999999991</v>
      </c>
      <c r="S57" s="25">
        <f t="shared" si="37"/>
        <v>656</v>
      </c>
      <c r="T57" s="26">
        <f t="shared" si="38"/>
        <v>85.751520417028672</v>
      </c>
      <c r="W57"/>
      <c r="X57"/>
    </row>
    <row r="58" spans="2:31" x14ac:dyDescent="0.35">
      <c r="B58" s="25" t="s">
        <v>42</v>
      </c>
      <c r="C58" s="25">
        <v>230.2</v>
      </c>
      <c r="D58" s="5">
        <f t="shared" si="30"/>
        <v>208.39999999999998</v>
      </c>
      <c r="E58" s="25">
        <v>39.9</v>
      </c>
      <c r="F58" s="25">
        <f t="shared" si="31"/>
        <v>18.099999999999998</v>
      </c>
      <c r="G58" s="25">
        <f t="shared" si="32"/>
        <v>2083.9999999999995</v>
      </c>
      <c r="H58" s="25">
        <f t="shared" si="39"/>
        <v>180.99999999999997</v>
      </c>
      <c r="I58" s="26">
        <f t="shared" si="33"/>
        <v>91.314779270633395</v>
      </c>
      <c r="M58" s="25" t="s">
        <v>42</v>
      </c>
      <c r="N58" s="25">
        <v>628.1</v>
      </c>
      <c r="O58" s="25">
        <f t="shared" si="34"/>
        <v>606.30000000000007</v>
      </c>
      <c r="P58" s="25">
        <v>100.4</v>
      </c>
      <c r="Q58" s="5">
        <f t="shared" si="35"/>
        <v>78.600000000000009</v>
      </c>
      <c r="R58" s="25">
        <f t="shared" si="36"/>
        <v>6063</v>
      </c>
      <c r="S58" s="25">
        <f t="shared" si="37"/>
        <v>786</v>
      </c>
      <c r="T58" s="26">
        <f t="shared" si="38"/>
        <v>87.036120732310735</v>
      </c>
      <c r="W58"/>
      <c r="X58"/>
    </row>
    <row r="59" spans="2:31" ht="18.5" x14ac:dyDescent="0.35">
      <c r="B59" s="27" t="s">
        <v>59</v>
      </c>
      <c r="C59"/>
      <c r="D59" s="35">
        <f>AVERAGE(D50:D58)</f>
        <v>140.34444444444443</v>
      </c>
      <c r="E59"/>
      <c r="F59"/>
      <c r="G59" s="35">
        <f>AVERAGE(G50:G58)</f>
        <v>1403.4444444444443</v>
      </c>
      <c r="H59" s="35">
        <f>AVERAGE(H50:H58)</f>
        <v>130.66666666666663</v>
      </c>
      <c r="J59" s="73">
        <f>L29+H59+Q59</f>
        <v>1505.1888888888891</v>
      </c>
      <c r="M59" s="27" t="s">
        <v>59</v>
      </c>
      <c r="O59" s="35">
        <f>AVERAGE(O50:O58)</f>
        <v>514.8555555555555</v>
      </c>
      <c r="Q59" s="35">
        <f>AVERAGE(Q50:Q58,Q36:Q44)</f>
        <v>58.672222222222217</v>
      </c>
      <c r="S59" s="73">
        <f>AVERAGE(S50:S58)</f>
        <v>692.55555555555554</v>
      </c>
      <c r="T59"/>
      <c r="U59"/>
      <c r="V59"/>
    </row>
    <row r="60" spans="2:31" ht="18.5" x14ac:dyDescent="0.35">
      <c r="B60" s="27" t="s">
        <v>55</v>
      </c>
      <c r="C60"/>
      <c r="D60" s="35">
        <f>_xlfn.STDEV.P(D50:D58)/SQRT(9)</f>
        <v>23.584081841863821</v>
      </c>
      <c r="E60"/>
      <c r="F60"/>
      <c r="G60" s="35">
        <f>_xlfn.STDEV.P(G50:G58)/SQRT(9)</f>
        <v>235.84081841863812</v>
      </c>
      <c r="H60" s="35">
        <f>_xlfn.STDEV.P(H50:H58)/SQRT(9)</f>
        <v>24.629100523417268</v>
      </c>
      <c r="K60" s="71"/>
      <c r="L60"/>
      <c r="M60" s="27" t="s">
        <v>55</v>
      </c>
      <c r="O60" s="35">
        <f>_xlfn.STDEV.P(O50:O58)/SQRT(9)</f>
        <v>34.626034275629443</v>
      </c>
      <c r="Q60" s="35">
        <f>_xlfn.STDEV.P(Q50:Q58)/SQRT(9)</f>
        <v>3.9474045578689121</v>
      </c>
      <c r="S60" s="18"/>
      <c r="T60"/>
      <c r="U60"/>
      <c r="V60"/>
    </row>
    <row r="61" spans="2:31" x14ac:dyDescent="0.35">
      <c r="B61"/>
      <c r="C61"/>
      <c r="D61"/>
      <c r="E61"/>
      <c r="F61"/>
      <c r="G61"/>
      <c r="K61"/>
      <c r="L61"/>
      <c r="T61"/>
      <c r="U61"/>
    </row>
    <row r="62" spans="2:31" x14ac:dyDescent="0.35">
      <c r="B62"/>
      <c r="C62"/>
      <c r="D62"/>
      <c r="E62"/>
      <c r="F62"/>
      <c r="G62"/>
      <c r="K62"/>
      <c r="L62"/>
      <c r="R62"/>
    </row>
    <row r="63" spans="2:31" x14ac:dyDescent="0.35">
      <c r="B63"/>
      <c r="C63"/>
      <c r="D63"/>
      <c r="E63"/>
      <c r="F63"/>
      <c r="G63"/>
      <c r="K63"/>
      <c r="L63"/>
      <c r="R63"/>
    </row>
    <row r="64" spans="2:31" x14ac:dyDescent="0.35">
      <c r="B64"/>
      <c r="C64"/>
      <c r="D64"/>
      <c r="E64"/>
      <c r="F64"/>
      <c r="G64"/>
      <c r="K64"/>
      <c r="L64"/>
      <c r="R64"/>
    </row>
    <row r="65" spans="2:19" x14ac:dyDescent="0.35">
      <c r="B65"/>
      <c r="C65"/>
      <c r="D65"/>
      <c r="E65"/>
      <c r="F65"/>
      <c r="G65"/>
      <c r="K65"/>
      <c r="L65"/>
      <c r="R65"/>
    </row>
    <row r="66" spans="2:19" x14ac:dyDescent="0.35">
      <c r="B66"/>
      <c r="C66"/>
      <c r="D66"/>
      <c r="E66"/>
      <c r="F66"/>
      <c r="G66"/>
      <c r="K66"/>
      <c r="L66"/>
      <c r="R66"/>
    </row>
    <row r="67" spans="2:19" x14ac:dyDescent="0.35">
      <c r="B67"/>
      <c r="C67"/>
      <c r="D67"/>
      <c r="E67"/>
      <c r="F67"/>
      <c r="G67"/>
      <c r="K67"/>
      <c r="L67"/>
      <c r="R67"/>
    </row>
    <row r="68" spans="2:19" x14ac:dyDescent="0.35">
      <c r="B68"/>
      <c r="C68"/>
      <c r="D68"/>
      <c r="E68"/>
      <c r="F68"/>
      <c r="G68"/>
      <c r="K68"/>
      <c r="L68"/>
      <c r="R68"/>
    </row>
    <row r="69" spans="2:19" x14ac:dyDescent="0.35">
      <c r="B69"/>
      <c r="C69"/>
      <c r="D69"/>
      <c r="E69"/>
      <c r="F69"/>
      <c r="G69"/>
      <c r="K69"/>
      <c r="L69"/>
      <c r="R69"/>
    </row>
    <row r="70" spans="2:19" x14ac:dyDescent="0.35">
      <c r="B70"/>
      <c r="C70"/>
      <c r="D70"/>
      <c r="E70"/>
      <c r="F70"/>
      <c r="G70"/>
      <c r="K70"/>
      <c r="L70"/>
      <c r="R70"/>
    </row>
    <row r="71" spans="2:19" x14ac:dyDescent="0.35">
      <c r="B71"/>
      <c r="C71"/>
      <c r="D71"/>
      <c r="E71"/>
      <c r="F71"/>
      <c r="G71"/>
      <c r="R71"/>
    </row>
    <row r="72" spans="2:19" x14ac:dyDescent="0.35">
      <c r="B72" s="29"/>
      <c r="C72"/>
      <c r="D72"/>
      <c r="E72"/>
      <c r="F72"/>
      <c r="G72"/>
      <c r="K72"/>
      <c r="L72"/>
      <c r="R72"/>
    </row>
    <row r="73" spans="2:19" x14ac:dyDescent="0.35">
      <c r="B73"/>
      <c r="C73"/>
      <c r="D73"/>
      <c r="E73"/>
      <c r="F73"/>
      <c r="G73"/>
      <c r="K73"/>
      <c r="L73"/>
      <c r="R73"/>
    </row>
    <row r="74" spans="2:19" x14ac:dyDescent="0.35">
      <c r="B74"/>
      <c r="C74"/>
      <c r="D74"/>
      <c r="E74"/>
      <c r="F74"/>
      <c r="G74"/>
      <c r="K74"/>
      <c r="L74"/>
      <c r="R74"/>
    </row>
    <row r="75" spans="2:19" x14ac:dyDescent="0.35">
      <c r="B75"/>
      <c r="C75"/>
      <c r="D75"/>
      <c r="E75"/>
      <c r="F75"/>
      <c r="G75"/>
      <c r="K75"/>
      <c r="L75"/>
      <c r="R75"/>
    </row>
    <row r="76" spans="2:19" x14ac:dyDescent="0.35">
      <c r="B76"/>
      <c r="C76"/>
      <c r="K76"/>
      <c r="L76"/>
      <c r="R76"/>
    </row>
    <row r="77" spans="2:19" x14ac:dyDescent="0.35">
      <c r="B77"/>
      <c r="C77"/>
      <c r="K77"/>
      <c r="L77"/>
      <c r="R77"/>
    </row>
    <row r="78" spans="2:19" x14ac:dyDescent="0.35">
      <c r="B78"/>
      <c r="C78"/>
      <c r="K78"/>
      <c r="L78"/>
      <c r="R78"/>
    </row>
    <row r="79" spans="2:19" x14ac:dyDescent="0.35">
      <c r="B79"/>
      <c r="C79"/>
      <c r="K79"/>
      <c r="L79"/>
      <c r="R79"/>
    </row>
    <row r="80" spans="2:19" x14ac:dyDescent="0.35">
      <c r="B80"/>
      <c r="C80"/>
      <c r="K80"/>
      <c r="L80"/>
      <c r="S80" s="40"/>
    </row>
    <row r="81" spans="2:12" x14ac:dyDescent="0.35">
      <c r="B81"/>
      <c r="C81"/>
      <c r="K81"/>
      <c r="L81"/>
    </row>
    <row r="82" spans="2:12" x14ac:dyDescent="0.35">
      <c r="B82"/>
      <c r="C82"/>
      <c r="K82"/>
      <c r="L82"/>
    </row>
    <row r="83" spans="2:12" x14ac:dyDescent="0.35">
      <c r="B83"/>
      <c r="C83"/>
      <c r="K83"/>
      <c r="L83"/>
    </row>
    <row r="84" spans="2:12" x14ac:dyDescent="0.35">
      <c r="B84"/>
      <c r="C84"/>
    </row>
  </sheetData>
  <mergeCells count="14">
    <mergeCell ref="W4:AB4"/>
    <mergeCell ref="W20:AB20"/>
    <mergeCell ref="F3:G3"/>
    <mergeCell ref="D18:E18"/>
    <mergeCell ref="D3:E3"/>
    <mergeCell ref="C48:G48"/>
    <mergeCell ref="M48:Q48"/>
    <mergeCell ref="B1:E1"/>
    <mergeCell ref="F1:K1"/>
    <mergeCell ref="P3:T3"/>
    <mergeCell ref="O18:S18"/>
    <mergeCell ref="C34:G34"/>
    <mergeCell ref="L34:P34"/>
    <mergeCell ref="C33:P3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SOY</vt:lpstr>
      <vt:lpstr>Winter wheat</vt:lpstr>
      <vt:lpstr>Covercrops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Ehi</dc:creator>
  <cp:lastModifiedBy>Agustin Olivo</cp:lastModifiedBy>
  <dcterms:created xsi:type="dcterms:W3CDTF">2021-01-16T19:31:09Z</dcterms:created>
  <dcterms:modified xsi:type="dcterms:W3CDTF">2025-01-27T15:15:54Z</dcterms:modified>
</cp:coreProperties>
</file>