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oguelphca-my.sharepoint.com/personal/aolivo_uoguelph_ca/Documents/0_all_files_postdoc/1_projects/1_modeling_div_conv/1_modeling/r_analysis/data/measured_crop/raw_yield_data/2021/"/>
    </mc:Choice>
  </mc:AlternateContent>
  <xr:revisionPtr revIDLastSave="58" documentId="8_{E9662605-8969-4796-91E8-CECD9A0209F9}" xr6:coauthVersionLast="47" xr6:coauthVersionMax="47" xr10:uidLastSave="{18D52AB1-BFE7-4E20-A206-2903354E108D}"/>
  <bookViews>
    <workbookView xWindow="-80" yWindow="-80" windowWidth="19360" windowHeight="10240" firstSheet="7" activeTab="10" xr2:uid="{7D6D775C-34A1-834B-AEDE-FF63AADCBD38}"/>
  </bookViews>
  <sheets>
    <sheet name="Plant Sample Tracking" sheetId="1" r:id="rId1"/>
    <sheet name="Plant Sample IDs" sheetId="11" r:id="rId2"/>
    <sheet name="29-Jul-2020 - W.Wheat" sheetId="6" r:id="rId3"/>
    <sheet name="17-Sept-2020 - Soybeans" sheetId="2" r:id="rId4"/>
    <sheet name="9 &amp;11-Nov-2020 - CC" sheetId="7" r:id="rId5"/>
    <sheet name="10-May-2021 - CC" sheetId="8" r:id="rId6"/>
    <sheet name="23-Jun-2021 - V6 Corn" sheetId="9" r:id="rId7"/>
    <sheet name="20&amp;21-Jul-2021 - VT Corn" sheetId="10" r:id="rId8"/>
    <sheet name=" 2021 Harvest Corn! " sheetId="17" r:id="rId9"/>
    <sheet name="Corn Growth Rate" sheetId="18" r:id="rId10"/>
    <sheet name="2021 Harvest CC" sheetId="16"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5" i="16" l="1"/>
  <c r="T33" i="16"/>
  <c r="T23" i="16"/>
  <c r="T22" i="16"/>
  <c r="T18" i="16"/>
  <c r="T19" i="16"/>
  <c r="T46" i="16"/>
  <c r="T44" i="16"/>
  <c r="V5" i="16"/>
  <c r="V32" i="16"/>
  <c r="O65" i="6"/>
  <c r="O64" i="6"/>
  <c r="O62" i="6"/>
  <c r="O61" i="6"/>
  <c r="O47" i="6"/>
  <c r="O46" i="6"/>
  <c r="O60" i="6"/>
  <c r="O59" i="6"/>
  <c r="O58" i="6"/>
  <c r="O57" i="6"/>
  <c r="O56" i="6"/>
  <c r="O55" i="6"/>
  <c r="O54" i="6"/>
  <c r="O53" i="6"/>
  <c r="O52" i="6"/>
  <c r="O45" i="6"/>
  <c r="O44" i="6"/>
  <c r="O43" i="6"/>
  <c r="O42" i="6"/>
  <c r="O41" i="6"/>
  <c r="O40" i="6"/>
  <c r="O39" i="6"/>
  <c r="O38" i="6"/>
  <c r="O37" i="6"/>
  <c r="AB157" i="17"/>
  <c r="AB156" i="17"/>
  <c r="AB155" i="17"/>
  <c r="AB154" i="17"/>
  <c r="AF183" i="17"/>
  <c r="AF128" i="17"/>
  <c r="AF127" i="17"/>
  <c r="AF126" i="17"/>
  <c r="AF140" i="17"/>
  <c r="AF139" i="17"/>
  <c r="AF138" i="17"/>
  <c r="AF137" i="17"/>
  <c r="AF136" i="17"/>
  <c r="AF135" i="17"/>
  <c r="AF134" i="17"/>
  <c r="AF133" i="17"/>
  <c r="AF132" i="17"/>
  <c r="AF131" i="17"/>
  <c r="AF130" i="17"/>
  <c r="AF129" i="17"/>
  <c r="AF125" i="17"/>
  <c r="AF124" i="17"/>
  <c r="AF123" i="17"/>
  <c r="AF122" i="17"/>
  <c r="AF121" i="17"/>
  <c r="AF120" i="17"/>
  <c r="AF119" i="17"/>
  <c r="AF118" i="17"/>
  <c r="AF117" i="17"/>
  <c r="AF116" i="17"/>
  <c r="AF115" i="17"/>
  <c r="AF114" i="17"/>
  <c r="AF113" i="17"/>
  <c r="AF112" i="17"/>
  <c r="AF111" i="17"/>
  <c r="AF110" i="17"/>
  <c r="AF109" i="17"/>
  <c r="AF108" i="17"/>
  <c r="AF107" i="17"/>
  <c r="AF106" i="17"/>
  <c r="AF105" i="17"/>
  <c r="AF104" i="17"/>
  <c r="AF103" i="17"/>
  <c r="AF102" i="17"/>
  <c r="AF101" i="17"/>
  <c r="AF100" i="17"/>
  <c r="AF99" i="17"/>
  <c r="AF98" i="17"/>
  <c r="AF97" i="17"/>
  <c r="AF96" i="17"/>
  <c r="AF95" i="17"/>
  <c r="AF94" i="17"/>
  <c r="AF93" i="17"/>
  <c r="X143" i="17"/>
  <c r="X142" i="17"/>
  <c r="X141" i="17"/>
  <c r="X140" i="17"/>
  <c r="X139" i="17"/>
  <c r="X138" i="17"/>
  <c r="X137" i="17"/>
  <c r="X136" i="17"/>
  <c r="X135" i="17"/>
  <c r="X134" i="17"/>
  <c r="X133" i="17"/>
  <c r="X132" i="17"/>
  <c r="W22" i="2"/>
  <c r="W21" i="2"/>
  <c r="W20" i="2"/>
  <c r="W19" i="2"/>
  <c r="W18" i="2"/>
  <c r="W17" i="2"/>
  <c r="W16" i="2"/>
  <c r="W15" i="2"/>
  <c r="W14" i="2"/>
  <c r="W13" i="2"/>
  <c r="W12" i="2"/>
  <c r="W11" i="2"/>
  <c r="W10" i="2"/>
  <c r="W9" i="2"/>
  <c r="W8" i="2"/>
  <c r="W7" i="2"/>
  <c r="W6" i="2"/>
  <c r="W5" i="2"/>
  <c r="V22" i="2"/>
  <c r="V21" i="2"/>
  <c r="V20" i="2"/>
  <c r="V19" i="2"/>
  <c r="V18" i="2"/>
  <c r="V17" i="2"/>
  <c r="V16" i="2"/>
  <c r="V15" i="2"/>
  <c r="V14" i="2"/>
  <c r="V13" i="2"/>
  <c r="V12" i="2"/>
  <c r="V11" i="2"/>
  <c r="V10" i="2"/>
  <c r="V9" i="2"/>
  <c r="V8" i="2"/>
  <c r="V7" i="2"/>
  <c r="V6" i="2"/>
  <c r="V5" i="2"/>
  <c r="R18" i="2"/>
  <c r="R26" i="2"/>
  <c r="R25" i="2"/>
  <c r="R24" i="2"/>
  <c r="R23" i="2"/>
  <c r="R22" i="2"/>
  <c r="R21" i="2"/>
  <c r="R20" i="2"/>
  <c r="R19" i="2"/>
  <c r="R12" i="2"/>
  <c r="R11" i="2"/>
  <c r="R10" i="2"/>
  <c r="R9" i="2"/>
  <c r="R8" i="2"/>
  <c r="R7" i="2"/>
  <c r="R6" i="2"/>
  <c r="R5" i="2"/>
  <c r="R4" i="2"/>
  <c r="M26" i="6"/>
  <c r="M25" i="6"/>
  <c r="M24" i="6"/>
  <c r="M23" i="6"/>
  <c r="M22" i="6"/>
  <c r="M21" i="6"/>
  <c r="M20" i="6"/>
  <c r="M19" i="6"/>
  <c r="M18" i="6"/>
  <c r="M4" i="6"/>
  <c r="M12" i="6"/>
  <c r="M11" i="6"/>
  <c r="M10" i="6"/>
  <c r="M9" i="6"/>
  <c r="M8" i="6"/>
  <c r="M7" i="6"/>
  <c r="M6" i="6"/>
  <c r="M5" i="6"/>
  <c r="O30" i="6"/>
  <c r="O29" i="6"/>
  <c r="J65" i="6"/>
  <c r="J64" i="6"/>
  <c r="AF191" i="17"/>
  <c r="AF190" i="17"/>
  <c r="AF189" i="17"/>
  <c r="AF179" i="17"/>
  <c r="AF178" i="17"/>
  <c r="AF177" i="17"/>
  <c r="AF167" i="17"/>
  <c r="AF166" i="17"/>
  <c r="AF165" i="17"/>
  <c r="AF188" i="17"/>
  <c r="AF187" i="17"/>
  <c r="AF186" i="17"/>
  <c r="AF185" i="17"/>
  <c r="AF184" i="17"/>
  <c r="AF182" i="17"/>
  <c r="AF181" i="17"/>
  <c r="AF180" i="17"/>
  <c r="AF176" i="17"/>
  <c r="AF175" i="17"/>
  <c r="AF174" i="17"/>
  <c r="AF173" i="17"/>
  <c r="AF172" i="17"/>
  <c r="AF171" i="17"/>
  <c r="AF170" i="17"/>
  <c r="AF169" i="17"/>
  <c r="AF168" i="17"/>
  <c r="AF164" i="17"/>
  <c r="AF163" i="17"/>
  <c r="AF162" i="17"/>
  <c r="AF161" i="17"/>
  <c r="AF160" i="17"/>
  <c r="AF159" i="17"/>
  <c r="AF158" i="17"/>
  <c r="AF157" i="17"/>
  <c r="AF156" i="17"/>
  <c r="AF155" i="17"/>
  <c r="AF154" i="17"/>
  <c r="AF153" i="17"/>
  <c r="AF152" i="17"/>
  <c r="AF151" i="17"/>
  <c r="AF150" i="17"/>
  <c r="AF149" i="17"/>
  <c r="AF148" i="17"/>
  <c r="AF147" i="17"/>
  <c r="AF146" i="17"/>
  <c r="AF145" i="17"/>
  <c r="AF144" i="17"/>
  <c r="Z132" i="17"/>
  <c r="Z93" i="17"/>
  <c r="N64" i="6"/>
  <c r="AC87" i="16"/>
  <c r="AC86" i="16"/>
  <c r="AS3" i="16"/>
  <c r="BB16" i="16"/>
  <c r="BB15" i="16"/>
  <c r="C64" i="6"/>
  <c r="D62" i="2"/>
  <c r="D61" i="2"/>
  <c r="I62" i="2"/>
  <c r="N47" i="2"/>
  <c r="N46" i="2"/>
  <c r="AN11" i="17"/>
  <c r="AP69" i="17"/>
  <c r="AP68" i="17"/>
  <c r="AP67" i="17"/>
  <c r="AP66" i="17"/>
  <c r="AP65" i="17"/>
  <c r="AP64" i="17"/>
  <c r="AP63" i="17"/>
  <c r="AP62" i="17"/>
  <c r="AO69" i="17"/>
  <c r="AO68" i="17"/>
  <c r="AO67" i="17"/>
  <c r="AO66" i="17"/>
  <c r="AO65" i="17"/>
  <c r="AO64" i="17"/>
  <c r="AO63" i="17"/>
  <c r="AO62" i="17"/>
  <c r="AO140" i="17"/>
  <c r="AO139" i="17"/>
  <c r="AO138" i="17"/>
  <c r="AO137" i="17"/>
  <c r="AN140" i="17"/>
  <c r="AN139" i="17"/>
  <c r="AN138" i="17"/>
  <c r="AN137" i="17"/>
  <c r="AS29" i="7"/>
  <c r="AS27" i="7"/>
  <c r="V11" i="8"/>
  <c r="V10" i="8"/>
  <c r="V6" i="8"/>
  <c r="U15" i="8"/>
  <c r="U14" i="8"/>
  <c r="AV25" i="7"/>
  <c r="AV24" i="7"/>
  <c r="AV23" i="7"/>
  <c r="AV22" i="7"/>
  <c r="AV21" i="7"/>
  <c r="AV20" i="7"/>
  <c r="AV19" i="7"/>
  <c r="AV18" i="7"/>
  <c r="AV17" i="7"/>
  <c r="AV16" i="7"/>
  <c r="AV15" i="7"/>
  <c r="AV14" i="7"/>
  <c r="AV13" i="7"/>
  <c r="AV12" i="7"/>
  <c r="AV11" i="7"/>
  <c r="AV10" i="7"/>
  <c r="AV9" i="7"/>
  <c r="AV8" i="7"/>
  <c r="AV7" i="7"/>
  <c r="AV6" i="7"/>
  <c r="S42" i="8"/>
  <c r="S41" i="8"/>
  <c r="S40" i="8"/>
  <c r="S39" i="8"/>
  <c r="S38" i="8"/>
  <c r="S37" i="8"/>
  <c r="S36" i="8"/>
  <c r="S35" i="8"/>
  <c r="S34" i="8"/>
  <c r="S33" i="8"/>
  <c r="S32" i="8"/>
  <c r="Q104" i="9"/>
  <c r="Q103" i="9"/>
  <c r="Q95" i="9"/>
  <c r="Q94" i="9"/>
  <c r="Q92" i="9"/>
  <c r="Q91" i="9"/>
  <c r="Q83" i="9"/>
  <c r="Q82" i="9"/>
  <c r="Q80" i="9"/>
  <c r="Q79" i="9"/>
  <c r="Q71" i="9"/>
  <c r="Q70" i="9"/>
  <c r="Q68" i="9"/>
  <c r="Q67" i="9"/>
  <c r="Q59" i="9"/>
  <c r="Q58" i="9"/>
  <c r="N104" i="9"/>
  <c r="N103" i="9"/>
  <c r="N95" i="9"/>
  <c r="N94" i="9"/>
  <c r="N92" i="9"/>
  <c r="N91" i="9"/>
  <c r="N83" i="9"/>
  <c r="N82" i="9"/>
  <c r="N80" i="9"/>
  <c r="N79" i="9"/>
  <c r="N71" i="9"/>
  <c r="N70" i="9"/>
  <c r="N68" i="9"/>
  <c r="N67" i="9"/>
  <c r="N59" i="9"/>
  <c r="N58" i="9"/>
  <c r="P105" i="9"/>
  <c r="P104" i="9"/>
  <c r="P103" i="9"/>
  <c r="P102" i="9"/>
  <c r="P101" i="9"/>
  <c r="P100" i="9"/>
  <c r="P99" i="9"/>
  <c r="P98" i="9"/>
  <c r="P97" i="9"/>
  <c r="P96" i="9"/>
  <c r="P95" i="9"/>
  <c r="P94" i="9"/>
  <c r="P93" i="9"/>
  <c r="P92" i="9"/>
  <c r="P91" i="9"/>
  <c r="P90" i="9"/>
  <c r="P89" i="9"/>
  <c r="P88" i="9"/>
  <c r="P87" i="9"/>
  <c r="P86" i="9"/>
  <c r="P85" i="9"/>
  <c r="P84" i="9"/>
  <c r="P83" i="9"/>
  <c r="P82" i="9"/>
  <c r="P81" i="9"/>
  <c r="P80" i="9"/>
  <c r="P79" i="9"/>
  <c r="P78" i="9"/>
  <c r="P77" i="9"/>
  <c r="P76" i="9"/>
  <c r="P74" i="9"/>
  <c r="P73" i="9"/>
  <c r="P72" i="9"/>
  <c r="P70" i="9"/>
  <c r="P69" i="9"/>
  <c r="P68" i="9"/>
  <c r="P67" i="9"/>
  <c r="P66" i="9"/>
  <c r="P65" i="9"/>
  <c r="P64" i="9"/>
  <c r="P62" i="9"/>
  <c r="P61" i="9"/>
  <c r="P60" i="9"/>
  <c r="P59" i="9"/>
  <c r="P58" i="9"/>
  <c r="U50" i="17"/>
  <c r="U49" i="17"/>
  <c r="U48" i="17"/>
  <c r="U47" i="17"/>
  <c r="U46" i="17"/>
  <c r="U45" i="17"/>
  <c r="U44" i="17"/>
  <c r="U43" i="17"/>
  <c r="U42" i="17"/>
  <c r="U41" i="17"/>
  <c r="U40" i="17"/>
  <c r="U39" i="17"/>
  <c r="U38" i="17"/>
  <c r="U37" i="17"/>
  <c r="U36" i="17"/>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10" i="17"/>
  <c r="U9" i="17"/>
  <c r="U8" i="17"/>
  <c r="U7" i="17"/>
  <c r="U6" i="17"/>
  <c r="U5" i="17"/>
  <c r="U4" i="17"/>
  <c r="U3"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S28" i="8"/>
  <c r="S27" i="8"/>
  <c r="S26" i="8"/>
  <c r="S25" i="8"/>
  <c r="S24" i="8"/>
  <c r="S23" i="8"/>
  <c r="S22" i="8"/>
  <c r="S21" i="8"/>
  <c r="S20" i="8"/>
  <c r="S19" i="8"/>
  <c r="S18" i="8"/>
  <c r="L17" i="8"/>
  <c r="L16" i="8"/>
  <c r="AF56" i="16"/>
  <c r="AF55" i="16"/>
  <c r="AE56" i="16"/>
  <c r="AQ35" i="7"/>
  <c r="AP35" i="7"/>
  <c r="AO35" i="7"/>
  <c r="AN36" i="7"/>
  <c r="AN35" i="7"/>
  <c r="AM36" i="7"/>
  <c r="AM35" i="7"/>
  <c r="AL36" i="7"/>
  <c r="AL35" i="7"/>
  <c r="AI36" i="7"/>
  <c r="AI35" i="7"/>
  <c r="I61" i="2"/>
  <c r="M61" i="2"/>
  <c r="H61" i="2"/>
  <c r="H64" i="6"/>
  <c r="AO29" i="7"/>
  <c r="AK29" i="7"/>
  <c r="AK28" i="7"/>
  <c r="AO15" i="7"/>
  <c r="AM16" i="7"/>
  <c r="AO14" i="7"/>
  <c r="AK16" i="7"/>
  <c r="AK15" i="7"/>
  <c r="AO27" i="7"/>
  <c r="AO26" i="7"/>
  <c r="AO25" i="7"/>
  <c r="AO24" i="7"/>
  <c r="AO23" i="7"/>
  <c r="AO22" i="7"/>
  <c r="AO21" i="7"/>
  <c r="AO20" i="7"/>
  <c r="AO19" i="7"/>
  <c r="AO28" i="7" s="1"/>
  <c r="AM27" i="7"/>
  <c r="AM26" i="7"/>
  <c r="AM25" i="7"/>
  <c r="AM24" i="7"/>
  <c r="AM23" i="7"/>
  <c r="AM22" i="7"/>
  <c r="AM21" i="7"/>
  <c r="AM20" i="7"/>
  <c r="AM19" i="7"/>
  <c r="AM29" i="7" s="1"/>
  <c r="AO13" i="7"/>
  <c r="AO12" i="7"/>
  <c r="AO11" i="7"/>
  <c r="AO10" i="7"/>
  <c r="AO9" i="7"/>
  <c r="AO8" i="7"/>
  <c r="AO7" i="7"/>
  <c r="AO6" i="7"/>
  <c r="AK36" i="7" s="1"/>
  <c r="AM14" i="7"/>
  <c r="AM13" i="7"/>
  <c r="AM12" i="7"/>
  <c r="AM11" i="7"/>
  <c r="AM10" i="7"/>
  <c r="AM9" i="7"/>
  <c r="AM8" i="7"/>
  <c r="AM7" i="7"/>
  <c r="AM6" i="7"/>
  <c r="AM15" i="7" s="1"/>
  <c r="M18" i="2"/>
  <c r="M57" i="2"/>
  <c r="M56" i="2"/>
  <c r="M55" i="2"/>
  <c r="M54" i="2"/>
  <c r="M53" i="2"/>
  <c r="M52" i="2"/>
  <c r="M51" i="2"/>
  <c r="M50" i="2"/>
  <c r="M49" i="2"/>
  <c r="K57" i="2"/>
  <c r="K56" i="2"/>
  <c r="K55" i="2"/>
  <c r="K54" i="2"/>
  <c r="K53" i="2"/>
  <c r="K52" i="2"/>
  <c r="K51" i="2"/>
  <c r="K50" i="2"/>
  <c r="K49" i="2"/>
  <c r="H52" i="2"/>
  <c r="H51" i="2"/>
  <c r="H50" i="2"/>
  <c r="H49" i="2"/>
  <c r="F52" i="2"/>
  <c r="F51" i="2"/>
  <c r="F50" i="2"/>
  <c r="F49" i="2"/>
  <c r="M43" i="2"/>
  <c r="M42" i="2"/>
  <c r="M41" i="2"/>
  <c r="M40" i="2"/>
  <c r="M39" i="2"/>
  <c r="M38" i="2"/>
  <c r="M37" i="2"/>
  <c r="M36" i="2"/>
  <c r="M35" i="2"/>
  <c r="K43" i="2"/>
  <c r="K42" i="2"/>
  <c r="K41" i="2"/>
  <c r="K40" i="2"/>
  <c r="K39" i="2"/>
  <c r="K38" i="2"/>
  <c r="K37" i="2"/>
  <c r="K36" i="2"/>
  <c r="K35" i="2"/>
  <c r="H43" i="2"/>
  <c r="H42" i="2"/>
  <c r="H41" i="2"/>
  <c r="H40" i="2"/>
  <c r="H39" i="2"/>
  <c r="H38" i="2"/>
  <c r="H37" i="2"/>
  <c r="H36" i="2"/>
  <c r="H35" i="2"/>
  <c r="F43" i="2"/>
  <c r="F42" i="2"/>
  <c r="F41" i="2"/>
  <c r="F40" i="2"/>
  <c r="F39" i="2"/>
  <c r="F38" i="2"/>
  <c r="F37" i="2"/>
  <c r="F36" i="2"/>
  <c r="F35" i="2"/>
  <c r="D57" i="2"/>
  <c r="F57" i="2" s="1"/>
  <c r="D56" i="2"/>
  <c r="F56" i="2" s="1"/>
  <c r="D55" i="2"/>
  <c r="H55" i="2" s="1"/>
  <c r="D54" i="2"/>
  <c r="F54" i="2" s="1"/>
  <c r="D53" i="2"/>
  <c r="F53" i="2" s="1"/>
  <c r="D52" i="2"/>
  <c r="D51" i="2"/>
  <c r="D50" i="2"/>
  <c r="D49" i="2"/>
  <c r="D43" i="2"/>
  <c r="D42" i="2"/>
  <c r="D41" i="2"/>
  <c r="D40" i="2"/>
  <c r="D39" i="2"/>
  <c r="D38" i="2"/>
  <c r="D37" i="2"/>
  <c r="D45" i="2" s="1"/>
  <c r="D36" i="2"/>
  <c r="D35" i="2"/>
  <c r="I44" i="2"/>
  <c r="I45" i="2"/>
  <c r="S26" i="2"/>
  <c r="N26" i="2"/>
  <c r="O26" i="2" s="1"/>
  <c r="M26" i="2"/>
  <c r="L26" i="2"/>
  <c r="J26" i="2"/>
  <c r="I26" i="2"/>
  <c r="G26" i="2"/>
  <c r="H26" i="2" s="1"/>
  <c r="P26" i="2" s="1"/>
  <c r="S25" i="2"/>
  <c r="L25" i="2"/>
  <c r="M25" i="2" s="1"/>
  <c r="I25" i="2"/>
  <c r="J25" i="2" s="1"/>
  <c r="N25" i="2" s="1"/>
  <c r="O25" i="2" s="1"/>
  <c r="G25" i="2"/>
  <c r="H25" i="2" s="1"/>
  <c r="P25" i="2" s="1"/>
  <c r="L24" i="2"/>
  <c r="I24" i="2"/>
  <c r="J24" i="2" s="1"/>
  <c r="N24" i="2" s="1"/>
  <c r="O24" i="2" s="1"/>
  <c r="H24" i="2"/>
  <c r="G24" i="2"/>
  <c r="L23" i="2"/>
  <c r="I23" i="2"/>
  <c r="J23" i="2" s="1"/>
  <c r="N23" i="2" s="1"/>
  <c r="O23" i="2" s="1"/>
  <c r="G23" i="2"/>
  <c r="H23" i="2" s="1"/>
  <c r="P23" i="2" s="1"/>
  <c r="S22" i="2"/>
  <c r="P22" i="2"/>
  <c r="O22" i="2"/>
  <c r="M22" i="2"/>
  <c r="L22" i="2"/>
  <c r="I22" i="2"/>
  <c r="J22" i="2" s="1"/>
  <c r="N22" i="2" s="1"/>
  <c r="G22" i="2"/>
  <c r="H22" i="2" s="1"/>
  <c r="L21" i="2"/>
  <c r="I21" i="2"/>
  <c r="J21" i="2" s="1"/>
  <c r="N21" i="2" s="1"/>
  <c r="O21" i="2" s="1"/>
  <c r="G21" i="2"/>
  <c r="H21" i="2" s="1"/>
  <c r="P21" i="2" s="1"/>
  <c r="M20" i="2"/>
  <c r="L20" i="2"/>
  <c r="J20" i="2"/>
  <c r="I20" i="2"/>
  <c r="H20" i="2"/>
  <c r="G20" i="2"/>
  <c r="P19" i="2"/>
  <c r="N19" i="2"/>
  <c r="O19" i="2" s="1"/>
  <c r="L19" i="2"/>
  <c r="M19" i="2" s="1"/>
  <c r="I19" i="2"/>
  <c r="J19" i="2" s="1"/>
  <c r="G19" i="2"/>
  <c r="H19" i="2" s="1"/>
  <c r="S18" i="2"/>
  <c r="L18" i="2"/>
  <c r="L27" i="2" s="1"/>
  <c r="I18" i="2"/>
  <c r="J18" i="2" s="1"/>
  <c r="N18" i="2" s="1"/>
  <c r="G18" i="2"/>
  <c r="H18" i="2" s="1"/>
  <c r="P18" i="2" s="1"/>
  <c r="P12" i="2"/>
  <c r="O12" i="2"/>
  <c r="N12" i="2"/>
  <c r="L12" i="2"/>
  <c r="M12" i="2" s="1"/>
  <c r="I12" i="2"/>
  <c r="J12" i="2" s="1"/>
  <c r="G12" i="2"/>
  <c r="H12" i="2" s="1"/>
  <c r="L11" i="2"/>
  <c r="M11" i="2" s="1"/>
  <c r="I11" i="2"/>
  <c r="J11" i="2" s="1"/>
  <c r="N11" i="2" s="1"/>
  <c r="O11" i="2" s="1"/>
  <c r="H11" i="2"/>
  <c r="P11" i="2" s="1"/>
  <c r="G11" i="2"/>
  <c r="L10" i="2"/>
  <c r="I10" i="2"/>
  <c r="J10" i="2" s="1"/>
  <c r="N10" i="2" s="1"/>
  <c r="O10" i="2" s="1"/>
  <c r="G10" i="2"/>
  <c r="H10" i="2" s="1"/>
  <c r="N9" i="2"/>
  <c r="O9" i="2" s="1"/>
  <c r="M9" i="2"/>
  <c r="L9" i="2"/>
  <c r="J9" i="2"/>
  <c r="I9" i="2"/>
  <c r="G9" i="2"/>
  <c r="H9" i="2" s="1"/>
  <c r="P9" i="2" s="1"/>
  <c r="S8" i="2"/>
  <c r="L8" i="2"/>
  <c r="M8" i="2" s="1"/>
  <c r="I8" i="2"/>
  <c r="J8" i="2" s="1"/>
  <c r="N8" i="2" s="1"/>
  <c r="O8" i="2" s="1"/>
  <c r="G8" i="2"/>
  <c r="H8" i="2" s="1"/>
  <c r="P8" i="2" s="1"/>
  <c r="L7" i="2"/>
  <c r="M7" i="2" s="1"/>
  <c r="I7" i="2"/>
  <c r="J7" i="2" s="1"/>
  <c r="N7" i="2" s="1"/>
  <c r="O7" i="2" s="1"/>
  <c r="H7" i="2"/>
  <c r="G7" i="2"/>
  <c r="L6" i="2"/>
  <c r="S6" i="2" s="1"/>
  <c r="I6" i="2"/>
  <c r="J6" i="2" s="1"/>
  <c r="G6" i="2"/>
  <c r="H6" i="2" s="1"/>
  <c r="M5" i="2"/>
  <c r="L5" i="2"/>
  <c r="I5" i="2"/>
  <c r="J5" i="2" s="1"/>
  <c r="N5" i="2" s="1"/>
  <c r="O5" i="2" s="1"/>
  <c r="G5" i="2"/>
  <c r="H5" i="2" s="1"/>
  <c r="P5" i="2" s="1"/>
  <c r="S4" i="2"/>
  <c r="L4" i="2"/>
  <c r="I4" i="2"/>
  <c r="J4" i="2" s="1"/>
  <c r="N4" i="2" s="1"/>
  <c r="G4" i="2"/>
  <c r="H4" i="2" s="1"/>
  <c r="P4" i="2" s="1"/>
  <c r="AK122" i="17" l="1"/>
  <c r="AM28" i="7"/>
  <c r="AJ35" i="7"/>
  <c r="AO16" i="7"/>
  <c r="AJ36" i="7"/>
  <c r="AK35" i="7"/>
  <c r="H53" i="2"/>
  <c r="H54" i="2"/>
  <c r="F55" i="2"/>
  <c r="H56" i="2"/>
  <c r="D58" i="2"/>
  <c r="H57" i="2"/>
  <c r="M59" i="2"/>
  <c r="M58" i="2"/>
  <c r="H44" i="2"/>
  <c r="K44" i="2"/>
  <c r="D44" i="2"/>
  <c r="D59" i="2"/>
  <c r="M44" i="2"/>
  <c r="I58" i="2"/>
  <c r="K45" i="2"/>
  <c r="H45" i="2"/>
  <c r="M45" i="2"/>
  <c r="I59" i="2"/>
  <c r="P13" i="2"/>
  <c r="M6" i="2"/>
  <c r="S24" i="2"/>
  <c r="P24" i="2"/>
  <c r="P7" i="2"/>
  <c r="P10" i="2"/>
  <c r="P14" i="2" s="1"/>
  <c r="S11" i="2"/>
  <c r="R28" i="2"/>
  <c r="S21" i="2"/>
  <c r="N6" i="2"/>
  <c r="O6" i="2" s="1"/>
  <c r="N13" i="2"/>
  <c r="O4" i="2"/>
  <c r="N14" i="2"/>
  <c r="S23" i="2"/>
  <c r="N27" i="2"/>
  <c r="O18" i="2"/>
  <c r="N28" i="2"/>
  <c r="L13" i="2"/>
  <c r="S5" i="2"/>
  <c r="M10" i="2"/>
  <c r="P20" i="2"/>
  <c r="P28" i="2" s="1"/>
  <c r="N20" i="2"/>
  <c r="O20" i="2" s="1"/>
  <c r="P6" i="2"/>
  <c r="L28" i="2"/>
  <c r="M23" i="2"/>
  <c r="S12" i="2"/>
  <c r="S19" i="2"/>
  <c r="M24" i="2"/>
  <c r="S9" i="2"/>
  <c r="M21" i="2"/>
  <c r="L14" i="2"/>
  <c r="M4" i="2"/>
  <c r="H59" i="2" l="1"/>
  <c r="H58" i="2"/>
  <c r="K58" i="2"/>
  <c r="K59" i="2"/>
  <c r="F58" i="2"/>
  <c r="F59" i="2"/>
  <c r="F44" i="2"/>
  <c r="F45" i="2"/>
  <c r="S10" i="2"/>
  <c r="O14" i="2"/>
  <c r="O13" i="2"/>
  <c r="R14" i="2"/>
  <c r="R27" i="2"/>
  <c r="S7" i="2"/>
  <c r="M13" i="2"/>
  <c r="M14" i="2"/>
  <c r="S20" i="2"/>
  <c r="S28" i="2" s="1"/>
  <c r="M27" i="2"/>
  <c r="M28" i="2"/>
  <c r="O27" i="2"/>
  <c r="O28" i="2"/>
  <c r="R13" i="2"/>
  <c r="P27" i="2"/>
  <c r="V25" i="2" l="1"/>
  <c r="V23" i="2"/>
  <c r="S27" i="2"/>
  <c r="S13" i="2"/>
  <c r="S14" i="2"/>
  <c r="V24" i="2"/>
  <c r="W23" i="2" l="1"/>
  <c r="W25" i="2"/>
  <c r="W24" i="2"/>
  <c r="N62" i="6" l="1"/>
  <c r="N61" i="6"/>
  <c r="L62" i="6"/>
  <c r="L61" i="6"/>
  <c r="J62" i="6"/>
  <c r="J61" i="6"/>
  <c r="H62" i="6"/>
  <c r="H61" i="6"/>
  <c r="F62" i="6"/>
  <c r="F61" i="6"/>
  <c r="N47" i="6"/>
  <c r="N46" i="6"/>
  <c r="L47" i="6"/>
  <c r="L46" i="6"/>
  <c r="J47" i="6"/>
  <c r="J46" i="6"/>
  <c r="H47" i="6"/>
  <c r="H46" i="6"/>
  <c r="F47" i="6"/>
  <c r="F46" i="6"/>
  <c r="D47" i="6"/>
  <c r="D46" i="6"/>
  <c r="D62" i="6"/>
  <c r="D61" i="6"/>
  <c r="N60" i="6"/>
  <c r="N59" i="6"/>
  <c r="N58" i="6"/>
  <c r="N57" i="6"/>
  <c r="N56" i="6"/>
  <c r="N55" i="6"/>
  <c r="N54" i="6"/>
  <c r="N53" i="6"/>
  <c r="N52" i="6"/>
  <c r="L60" i="6"/>
  <c r="L59" i="6"/>
  <c r="L58" i="6"/>
  <c r="L57" i="6"/>
  <c r="L56" i="6"/>
  <c r="L55" i="6"/>
  <c r="L54" i="6"/>
  <c r="L53" i="6"/>
  <c r="L52" i="6"/>
  <c r="H60" i="6"/>
  <c r="H59" i="6"/>
  <c r="H58" i="6"/>
  <c r="H57" i="6"/>
  <c r="H56" i="6"/>
  <c r="H55" i="6"/>
  <c r="H54" i="6"/>
  <c r="H53" i="6"/>
  <c r="H52" i="6"/>
  <c r="N45" i="6"/>
  <c r="N44" i="6"/>
  <c r="N43" i="6"/>
  <c r="N42" i="6"/>
  <c r="N41" i="6"/>
  <c r="N40" i="6"/>
  <c r="N39" i="6"/>
  <c r="N38" i="6"/>
  <c r="N37" i="6"/>
  <c r="L45" i="6"/>
  <c r="L44" i="6"/>
  <c r="L43" i="6"/>
  <c r="L42" i="6"/>
  <c r="L41" i="6"/>
  <c r="L40" i="6"/>
  <c r="L39" i="6"/>
  <c r="L38" i="6"/>
  <c r="L37" i="6"/>
  <c r="H45" i="6"/>
  <c r="H44" i="6"/>
  <c r="H43" i="6"/>
  <c r="H42" i="6"/>
  <c r="H41" i="6"/>
  <c r="H40" i="6"/>
  <c r="H39" i="6"/>
  <c r="H38" i="6"/>
  <c r="H37" i="6"/>
  <c r="F60" i="6"/>
  <c r="F59" i="6"/>
  <c r="F58" i="6"/>
  <c r="F57" i="6"/>
  <c r="F56" i="6"/>
  <c r="F55" i="6"/>
  <c r="F54" i="6"/>
  <c r="F53" i="6"/>
  <c r="F52" i="6"/>
  <c r="F45" i="6"/>
  <c r="F44" i="6"/>
  <c r="F43" i="6"/>
  <c r="F42" i="6"/>
  <c r="F41" i="6"/>
  <c r="F40" i="6"/>
  <c r="F39" i="6"/>
  <c r="F38" i="6"/>
  <c r="F37" i="6"/>
  <c r="J60" i="6"/>
  <c r="J59" i="6"/>
  <c r="J58" i="6"/>
  <c r="J57" i="6"/>
  <c r="J56" i="6"/>
  <c r="J55" i="6"/>
  <c r="J54" i="6"/>
  <c r="J53" i="6"/>
  <c r="J52" i="6"/>
  <c r="J45" i="6"/>
  <c r="J44" i="6"/>
  <c r="J43" i="6"/>
  <c r="J42" i="6"/>
  <c r="J41" i="6"/>
  <c r="J40" i="6"/>
  <c r="J39" i="6"/>
  <c r="J38" i="6"/>
  <c r="J37" i="6"/>
  <c r="D60" i="6"/>
  <c r="D59" i="6"/>
  <c r="D58" i="6"/>
  <c r="D57" i="6"/>
  <c r="D56" i="6"/>
  <c r="D55" i="6"/>
  <c r="D54" i="6"/>
  <c r="D53" i="6"/>
  <c r="D52" i="6"/>
  <c r="D45" i="6"/>
  <c r="D44" i="6"/>
  <c r="D43" i="6"/>
  <c r="D42" i="6"/>
  <c r="D41" i="6"/>
  <c r="D40" i="6"/>
  <c r="D39" i="6"/>
  <c r="D38" i="6"/>
  <c r="D37" i="6"/>
  <c r="N20" i="6"/>
  <c r="N18" i="6"/>
  <c r="N12" i="6"/>
  <c r="N8" i="6"/>
  <c r="N4" i="6"/>
  <c r="V27" i="6"/>
  <c r="T27" i="6"/>
  <c r="V26" i="6"/>
  <c r="T26" i="6"/>
  <c r="L26" i="6"/>
  <c r="Z22" i="6" s="1"/>
  <c r="I26" i="6"/>
  <c r="J26" i="6" s="1"/>
  <c r="O26" i="6" s="1"/>
  <c r="G26" i="6"/>
  <c r="H26" i="6" s="1"/>
  <c r="V25" i="6"/>
  <c r="T25" i="6"/>
  <c r="AE21" i="6" s="1"/>
  <c r="L25" i="6"/>
  <c r="Z21" i="6" s="1"/>
  <c r="I25" i="6"/>
  <c r="J25" i="6" s="1"/>
  <c r="G25" i="6"/>
  <c r="H25" i="6" s="1"/>
  <c r="V24" i="6"/>
  <c r="T24" i="6"/>
  <c r="AE20" i="6" s="1"/>
  <c r="L24" i="6"/>
  <c r="I24" i="6"/>
  <c r="J24" i="6" s="1"/>
  <c r="G24" i="6"/>
  <c r="H24" i="6" s="1"/>
  <c r="V23" i="6"/>
  <c r="T23" i="6"/>
  <c r="L23" i="6"/>
  <c r="N23" i="6" s="1"/>
  <c r="I23" i="6"/>
  <c r="J23" i="6" s="1"/>
  <c r="G23" i="6"/>
  <c r="H23" i="6" s="1"/>
  <c r="V22" i="6"/>
  <c r="T22" i="6"/>
  <c r="AE18" i="6" s="1"/>
  <c r="L22" i="6"/>
  <c r="Z18" i="6" s="1"/>
  <c r="I22" i="6"/>
  <c r="J22" i="6" s="1"/>
  <c r="G22" i="6"/>
  <c r="H22" i="6" s="1"/>
  <c r="V21" i="6"/>
  <c r="T21" i="6"/>
  <c r="L21" i="6"/>
  <c r="Z17" i="6" s="1"/>
  <c r="I21" i="6"/>
  <c r="J21" i="6" s="1"/>
  <c r="G21" i="6"/>
  <c r="H21" i="6" s="1"/>
  <c r="V20" i="6"/>
  <c r="T20" i="6"/>
  <c r="L20" i="6"/>
  <c r="I20" i="6"/>
  <c r="J20" i="6" s="1"/>
  <c r="G20" i="6"/>
  <c r="H20" i="6" s="1"/>
  <c r="V19" i="6"/>
  <c r="T19" i="6"/>
  <c r="AE15" i="6" s="1"/>
  <c r="L19" i="6"/>
  <c r="I19" i="6"/>
  <c r="J19" i="6" s="1"/>
  <c r="G19" i="6"/>
  <c r="H19" i="6" s="1"/>
  <c r="L18" i="6"/>
  <c r="I18" i="6"/>
  <c r="J18" i="6" s="1"/>
  <c r="G18" i="6"/>
  <c r="H18" i="6" s="1"/>
  <c r="P18" i="6" s="1"/>
  <c r="AE16" i="6"/>
  <c r="Z13" i="6"/>
  <c r="V13" i="6"/>
  <c r="T13" i="6"/>
  <c r="AE14" i="6" s="1"/>
  <c r="V12" i="6"/>
  <c r="T12" i="6"/>
  <c r="AE13" i="6" s="1"/>
  <c r="L12" i="6"/>
  <c r="I12" i="6"/>
  <c r="J12" i="6" s="1"/>
  <c r="G12" i="6"/>
  <c r="H12" i="6" s="1"/>
  <c r="AE11" i="6"/>
  <c r="V11" i="6"/>
  <c r="T11" i="6"/>
  <c r="W11" i="6" s="1"/>
  <c r="L11" i="6"/>
  <c r="Z12" i="6" s="1"/>
  <c r="I11" i="6"/>
  <c r="J11" i="6" s="1"/>
  <c r="G11" i="6"/>
  <c r="H11" i="6" s="1"/>
  <c r="V10" i="6"/>
  <c r="T10" i="6"/>
  <c r="L10" i="6"/>
  <c r="Z11" i="6" s="1"/>
  <c r="I10" i="6"/>
  <c r="J10" i="6" s="1"/>
  <c r="O10" i="6" s="1"/>
  <c r="G10" i="6"/>
  <c r="H10" i="6" s="1"/>
  <c r="V9" i="6"/>
  <c r="T9" i="6"/>
  <c r="AE10" i="6" s="1"/>
  <c r="L9" i="6"/>
  <c r="Z10" i="6" s="1"/>
  <c r="I9" i="6"/>
  <c r="J9" i="6" s="1"/>
  <c r="G9" i="6"/>
  <c r="H9" i="6" s="1"/>
  <c r="V8" i="6"/>
  <c r="T8" i="6"/>
  <c r="L8" i="6"/>
  <c r="I8" i="6"/>
  <c r="J8" i="6" s="1"/>
  <c r="G8" i="6"/>
  <c r="H8" i="6" s="1"/>
  <c r="V7" i="6"/>
  <c r="T7" i="6"/>
  <c r="AE8" i="6" s="1"/>
  <c r="L7" i="6"/>
  <c r="Z8" i="6" s="1"/>
  <c r="I7" i="6"/>
  <c r="J7" i="6" s="1"/>
  <c r="G7" i="6"/>
  <c r="H7" i="6" s="1"/>
  <c r="V6" i="6"/>
  <c r="T6" i="6"/>
  <c r="AE7" i="6" s="1"/>
  <c r="L6" i="6"/>
  <c r="Z7" i="6" s="1"/>
  <c r="I6" i="6"/>
  <c r="J6" i="6" s="1"/>
  <c r="O6" i="6" s="1"/>
  <c r="G6" i="6"/>
  <c r="H6" i="6" s="1"/>
  <c r="V5" i="6"/>
  <c r="T5" i="6"/>
  <c r="AE6" i="6" s="1"/>
  <c r="L5" i="6"/>
  <c r="Z6" i="6" s="1"/>
  <c r="I5" i="6"/>
  <c r="J5" i="6" s="1"/>
  <c r="G5" i="6"/>
  <c r="H5" i="6" s="1"/>
  <c r="L4" i="6"/>
  <c r="I4" i="6"/>
  <c r="J4" i="6" s="1"/>
  <c r="G4" i="6"/>
  <c r="H4" i="6" s="1"/>
  <c r="P4" i="6" s="1"/>
  <c r="W8" i="6" l="1"/>
  <c r="AA22" i="6"/>
  <c r="AB22" i="6" s="1"/>
  <c r="W27" i="6"/>
  <c r="Z19" i="6"/>
  <c r="P7" i="6"/>
  <c r="P9" i="6"/>
  <c r="W12" i="6"/>
  <c r="AA7" i="6"/>
  <c r="AB7" i="6" s="1"/>
  <c r="O5" i="6"/>
  <c r="AA6" i="6" s="1"/>
  <c r="AB6" i="6" s="1"/>
  <c r="O7" i="6"/>
  <c r="AA8" i="6" s="1"/>
  <c r="AB8" i="6" s="1"/>
  <c r="O9" i="6"/>
  <c r="AA10" i="6" s="1"/>
  <c r="AB10" i="6" s="1"/>
  <c r="O11" i="6"/>
  <c r="AA12" i="6" s="1"/>
  <c r="AB12" i="6" s="1"/>
  <c r="O21" i="6"/>
  <c r="AA17" i="6" s="1"/>
  <c r="AB17" i="6" s="1"/>
  <c r="O25" i="6"/>
  <c r="AA21" i="6" s="1"/>
  <c r="AB21" i="6" s="1"/>
  <c r="N21" i="6"/>
  <c r="AA11" i="6"/>
  <c r="AB11" i="6" s="1"/>
  <c r="N26" i="6"/>
  <c r="W23" i="6"/>
  <c r="W7" i="6"/>
  <c r="P8" i="6"/>
  <c r="V29" i="6"/>
  <c r="W20" i="6"/>
  <c r="AE23" i="6"/>
  <c r="P19" i="6"/>
  <c r="W5" i="6"/>
  <c r="P24" i="6"/>
  <c r="Z9" i="6"/>
  <c r="V15" i="6"/>
  <c r="Z14" i="6"/>
  <c r="P5" i="6"/>
  <c r="P11" i="6"/>
  <c r="O19" i="6"/>
  <c r="AA15" i="6" s="1"/>
  <c r="AB15" i="6" s="1"/>
  <c r="W24" i="6"/>
  <c r="W6" i="6"/>
  <c r="O8" i="6"/>
  <c r="AA9" i="6" s="1"/>
  <c r="AB9" i="6" s="1"/>
  <c r="AE12" i="6"/>
  <c r="O18" i="6"/>
  <c r="P21" i="6"/>
  <c r="W26" i="6"/>
  <c r="N5" i="6"/>
  <c r="N29" i="6" s="1"/>
  <c r="AE9" i="6"/>
  <c r="W13" i="6"/>
  <c r="P10" i="6"/>
  <c r="P20" i="6"/>
  <c r="W22" i="6"/>
  <c r="O20" i="6"/>
  <c r="AA16" i="6" s="1"/>
  <c r="AB16" i="6" s="1"/>
  <c r="W25" i="6"/>
  <c r="V28" i="6"/>
  <c r="O4" i="6"/>
  <c r="AA5" i="6" s="1"/>
  <c r="AB5" i="6" s="1"/>
  <c r="P6" i="6"/>
  <c r="W10" i="6"/>
  <c r="O12" i="6"/>
  <c r="AA13" i="6" s="1"/>
  <c r="AB13" i="6" s="1"/>
  <c r="W21" i="6"/>
  <c r="O23" i="6"/>
  <c r="AA19" i="6" s="1"/>
  <c r="AB19" i="6" s="1"/>
  <c r="O24" i="6"/>
  <c r="AA20" i="6" s="1"/>
  <c r="AB20" i="6" s="1"/>
  <c r="P26" i="6"/>
  <c r="P12" i="6"/>
  <c r="P23" i="6"/>
  <c r="AA14" i="6"/>
  <c r="AB14" i="6" s="1"/>
  <c r="P22" i="6"/>
  <c r="O22" i="6"/>
  <c r="AA18" i="6" s="1"/>
  <c r="AB18" i="6" s="1"/>
  <c r="P25" i="6"/>
  <c r="Z20" i="6"/>
  <c r="AE22" i="6"/>
  <c r="N24" i="6"/>
  <c r="N11" i="6"/>
  <c r="N22" i="6"/>
  <c r="AE17" i="6"/>
  <c r="Z5" i="6"/>
  <c r="L14" i="6"/>
  <c r="W9" i="6"/>
  <c r="V14" i="6"/>
  <c r="Z16" i="6"/>
  <c r="AE19" i="6"/>
  <c r="N6" i="6"/>
  <c r="L27" i="6"/>
  <c r="N9" i="6"/>
  <c r="N25" i="6"/>
  <c r="L13" i="6"/>
  <c r="N7" i="6"/>
  <c r="Z15" i="6"/>
  <c r="W19" i="6"/>
  <c r="L28" i="6"/>
  <c r="N19" i="6"/>
  <c r="N10" i="6"/>
  <c r="N27" i="6" l="1"/>
  <c r="N13" i="6"/>
  <c r="N30" i="6"/>
  <c r="N14" i="6"/>
  <c r="AB25" i="6"/>
  <c r="AB23" i="6"/>
  <c r="N28" i="6"/>
  <c r="P13" i="6"/>
  <c r="P14" i="6"/>
  <c r="W14" i="6"/>
  <c r="O27" i="6"/>
  <c r="O28" i="6"/>
  <c r="M28" i="6"/>
  <c r="W15" i="6"/>
  <c r="O13" i="6"/>
  <c r="O14" i="6"/>
  <c r="P27" i="6"/>
  <c r="M14" i="6"/>
  <c r="M13" i="6"/>
  <c r="P28" i="6"/>
  <c r="W29" i="6"/>
  <c r="W28" i="6"/>
  <c r="M27" i="6"/>
  <c r="Z24" i="6"/>
  <c r="Z25" i="6"/>
  <c r="Z23" i="6"/>
  <c r="AA24" i="6"/>
  <c r="AA23" i="6"/>
  <c r="AA25" i="6"/>
  <c r="P31" i="6" l="1"/>
  <c r="U10" i="9" l="1"/>
  <c r="U18" i="9"/>
  <c r="U22" i="9"/>
  <c r="AJ188" i="17"/>
  <c r="AH175" i="17"/>
  <c r="AH168" i="17"/>
  <c r="AH191" i="17"/>
  <c r="AH190" i="17"/>
  <c r="AH189" i="17"/>
  <c r="AH188" i="17"/>
  <c r="AJ187" i="17"/>
  <c r="AJ186" i="17"/>
  <c r="AJ185" i="17"/>
  <c r="AH184" i="17"/>
  <c r="AH183" i="17"/>
  <c r="AH182" i="17"/>
  <c r="AH181" i="17"/>
  <c r="AH180" i="17"/>
  <c r="AH179" i="17"/>
  <c r="AH178" i="17"/>
  <c r="AJ177" i="17"/>
  <c r="AJ176" i="17"/>
  <c r="AJ175" i="17"/>
  <c r="AH174" i="17"/>
  <c r="AH173" i="17"/>
  <c r="AH172" i="17"/>
  <c r="AH171" i="17"/>
  <c r="AH170" i="17"/>
  <c r="AH169" i="17"/>
  <c r="AJ168" i="17"/>
  <c r="AJ167" i="17"/>
  <c r="AJ166" i="17"/>
  <c r="AJ165" i="17"/>
  <c r="AH164" i="17"/>
  <c r="AH163" i="17"/>
  <c r="AH162" i="17"/>
  <c r="AH161" i="17"/>
  <c r="AH160" i="17"/>
  <c r="AH159" i="17"/>
  <c r="AH158" i="17"/>
  <c r="AJ157" i="17"/>
  <c r="AJ156" i="17"/>
  <c r="AJ155" i="17"/>
  <c r="AH154" i="17"/>
  <c r="AH153" i="17"/>
  <c r="AH152" i="17"/>
  <c r="AH151" i="17"/>
  <c r="AH150" i="17"/>
  <c r="AH149" i="17"/>
  <c r="AJ148" i="17"/>
  <c r="AJ147" i="17"/>
  <c r="AJ146" i="17"/>
  <c r="AJ145" i="17"/>
  <c r="AJ144" i="17"/>
  <c r="N64" i="10"/>
  <c r="R73" i="17"/>
  <c r="R72" i="17"/>
  <c r="R71" i="17"/>
  <c r="R70" i="17"/>
  <c r="O16" i="8"/>
  <c r="S71" i="16"/>
  <c r="AD103" i="16" s="1"/>
  <c r="Q71" i="16"/>
  <c r="AC103" i="16" s="1"/>
  <c r="Q37" i="16"/>
  <c r="AJ140" i="17"/>
  <c r="AJ139" i="17"/>
  <c r="AJ138" i="17"/>
  <c r="AJ137" i="17"/>
  <c r="AJ136" i="17"/>
  <c r="AJ135" i="17"/>
  <c r="AJ134" i="17"/>
  <c r="AJ133" i="17"/>
  <c r="AJ132" i="17"/>
  <c r="AJ131" i="17"/>
  <c r="AJ130" i="17"/>
  <c r="AJ129" i="17"/>
  <c r="AJ128" i="17"/>
  <c r="AJ127" i="17"/>
  <c r="AJ126" i="17"/>
  <c r="AJ125" i="17"/>
  <c r="AJ124" i="17"/>
  <c r="AJ123" i="17"/>
  <c r="AJ122" i="17"/>
  <c r="AJ121" i="17"/>
  <c r="AJ120" i="17"/>
  <c r="AJ119" i="17"/>
  <c r="AJ118" i="17"/>
  <c r="AJ117" i="17"/>
  <c r="AJ116" i="17"/>
  <c r="AJ115" i="17"/>
  <c r="AJ114" i="17"/>
  <c r="AJ113" i="17"/>
  <c r="AJ112" i="17"/>
  <c r="AJ111" i="17"/>
  <c r="AJ110" i="17"/>
  <c r="AJ109" i="17"/>
  <c r="AJ108" i="17"/>
  <c r="AJ107" i="17"/>
  <c r="AJ106" i="17"/>
  <c r="AJ105" i="17"/>
  <c r="AJ104" i="17"/>
  <c r="AJ103" i="17"/>
  <c r="AJ102" i="17"/>
  <c r="AJ101" i="17"/>
  <c r="AJ100" i="17"/>
  <c r="AJ99" i="17"/>
  <c r="AJ98" i="17"/>
  <c r="AJ97" i="17"/>
  <c r="AJ96" i="17"/>
  <c r="AJ95" i="17"/>
  <c r="AJ94" i="17"/>
  <c r="AJ93" i="17"/>
  <c r="AH140" i="17"/>
  <c r="AH139" i="17"/>
  <c r="AH138" i="17"/>
  <c r="AH137" i="17"/>
  <c r="AH136" i="17"/>
  <c r="AH135" i="17"/>
  <c r="AH134" i="17"/>
  <c r="AH133" i="17"/>
  <c r="AH132" i="17"/>
  <c r="AH131" i="17"/>
  <c r="AH130" i="17"/>
  <c r="AH129" i="17"/>
  <c r="AH128" i="17"/>
  <c r="AH127" i="17"/>
  <c r="AH126" i="17"/>
  <c r="AH125" i="17"/>
  <c r="AH124" i="17"/>
  <c r="AH123" i="17"/>
  <c r="AH122" i="17"/>
  <c r="AH121" i="17"/>
  <c r="AH120" i="17"/>
  <c r="AH119" i="17"/>
  <c r="AH118" i="17"/>
  <c r="AH117" i="17"/>
  <c r="AH116" i="17"/>
  <c r="AH115" i="17"/>
  <c r="AH114" i="17"/>
  <c r="AP113" i="17" s="1"/>
  <c r="AH113" i="17"/>
  <c r="AH112" i="17"/>
  <c r="AH111" i="17"/>
  <c r="AH110" i="17"/>
  <c r="AH109" i="17"/>
  <c r="AH108" i="17"/>
  <c r="AH107" i="17"/>
  <c r="AH106" i="17"/>
  <c r="AH105" i="17"/>
  <c r="AH104" i="17"/>
  <c r="AH103" i="17"/>
  <c r="AH102" i="17"/>
  <c r="AP112" i="17" s="1"/>
  <c r="AH101" i="17"/>
  <c r="AH100" i="17"/>
  <c r="AH99" i="17"/>
  <c r="AH98" i="17"/>
  <c r="AH97" i="17"/>
  <c r="AH96" i="17"/>
  <c r="AH95" i="17"/>
  <c r="AH94" i="17"/>
  <c r="AH93" i="17"/>
  <c r="T10" i="9"/>
  <c r="T18" i="9"/>
  <c r="T22" i="9"/>
  <c r="R10" i="9"/>
  <c r="R18" i="9"/>
  <c r="R22" i="9"/>
  <c r="O265" i="17"/>
  <c r="O264" i="17"/>
  <c r="O263" i="17"/>
  <c r="O262" i="17"/>
  <c r="O261" i="17"/>
  <c r="O260" i="17"/>
  <c r="O259" i="17"/>
  <c r="O258" i="17"/>
  <c r="O257" i="17"/>
  <c r="O256" i="17"/>
  <c r="O255" i="17"/>
  <c r="O254" i="17"/>
  <c r="O253" i="17"/>
  <c r="O252" i="17"/>
  <c r="O251" i="17"/>
  <c r="O250" i="17"/>
  <c r="O249" i="17"/>
  <c r="O248" i="17"/>
  <c r="O247" i="17"/>
  <c r="O246" i="17"/>
  <c r="O245" i="17"/>
  <c r="O244" i="17"/>
  <c r="O243" i="17"/>
  <c r="O242" i="17"/>
  <c r="O241" i="17"/>
  <c r="O240" i="17"/>
  <c r="O239" i="17"/>
  <c r="O238" i="17"/>
  <c r="O237" i="17"/>
  <c r="O236" i="17"/>
  <c r="O235" i="17"/>
  <c r="O234" i="17"/>
  <c r="O233" i="17"/>
  <c r="O232" i="17"/>
  <c r="O231" i="17"/>
  <c r="O230" i="17"/>
  <c r="O229" i="17"/>
  <c r="O228" i="17"/>
  <c r="O227" i="17"/>
  <c r="O226" i="17"/>
  <c r="O225" i="17"/>
  <c r="O224" i="17"/>
  <c r="O223" i="17"/>
  <c r="O222" i="17"/>
  <c r="O221" i="17"/>
  <c r="O220" i="17"/>
  <c r="O219" i="17"/>
  <c r="O218" i="17"/>
  <c r="O217" i="17"/>
  <c r="O216" i="17"/>
  <c r="O215" i="17"/>
  <c r="O214" i="17"/>
  <c r="O213" i="17"/>
  <c r="O212" i="17"/>
  <c r="O211" i="17"/>
  <c r="O210" i="17"/>
  <c r="O209" i="17"/>
  <c r="O208" i="17"/>
  <c r="O207" i="17"/>
  <c r="O206" i="17"/>
  <c r="O205" i="17"/>
  <c r="O204" i="17"/>
  <c r="O203" i="17"/>
  <c r="O202" i="17"/>
  <c r="O201" i="17"/>
  <c r="O200" i="17"/>
  <c r="O199" i="17"/>
  <c r="O198" i="17"/>
  <c r="O197" i="17"/>
  <c r="O196" i="17"/>
  <c r="O195" i="17"/>
  <c r="O194" i="17"/>
  <c r="O193" i="17"/>
  <c r="O192" i="17"/>
  <c r="O191" i="17"/>
  <c r="O190" i="17"/>
  <c r="O189" i="17"/>
  <c r="O188" i="17"/>
  <c r="O187" i="17"/>
  <c r="O186" i="17"/>
  <c r="O185" i="17"/>
  <c r="O184" i="17"/>
  <c r="O183" i="17"/>
  <c r="O182" i="17"/>
  <c r="AP100" i="17"/>
  <c r="AP99" i="17"/>
  <c r="AP98" i="17"/>
  <c r="AP97" i="17"/>
  <c r="AP96" i="17"/>
  <c r="AP95" i="17"/>
  <c r="AO100" i="17"/>
  <c r="AO99" i="17"/>
  <c r="AO98" i="17"/>
  <c r="AO97" i="17"/>
  <c r="AO96" i="17"/>
  <c r="AO95" i="17"/>
  <c r="AP94" i="17"/>
  <c r="AO94" i="17"/>
  <c r="AP93" i="17"/>
  <c r="AO93" i="17"/>
  <c r="W143" i="17"/>
  <c r="W142" i="17"/>
  <c r="W141" i="17"/>
  <c r="W140" i="17"/>
  <c r="W139" i="17"/>
  <c r="W138" i="17"/>
  <c r="W137" i="17"/>
  <c r="W136" i="17"/>
  <c r="W135" i="17"/>
  <c r="W134" i="17"/>
  <c r="W133" i="17"/>
  <c r="W132" i="17"/>
  <c r="U132" i="17"/>
  <c r="X12" i="17"/>
  <c r="Z12" i="17" s="1"/>
  <c r="AA12" i="17" s="1"/>
  <c r="AI12" i="17" s="1"/>
  <c r="X13" i="17"/>
  <c r="Z13" i="17" s="1"/>
  <c r="AA13" i="17" s="1"/>
  <c r="X14" i="17"/>
  <c r="Z14" i="17" s="1"/>
  <c r="AA14" i="17" s="1"/>
  <c r="X24" i="17"/>
  <c r="Z24" i="17" s="1"/>
  <c r="AA24" i="17" s="1"/>
  <c r="AI24" i="17" s="1"/>
  <c r="X25" i="17"/>
  <c r="Z25" i="17" s="1"/>
  <c r="AA25" i="17" s="1"/>
  <c r="AI25" i="17" s="1"/>
  <c r="X26" i="17"/>
  <c r="Z26" i="17" s="1"/>
  <c r="AA26" i="17" s="1"/>
  <c r="X36" i="17"/>
  <c r="Z36" i="17" s="1"/>
  <c r="AA36" i="17" s="1"/>
  <c r="AI36" i="17" s="1"/>
  <c r="X37" i="17"/>
  <c r="Z37" i="17" s="1"/>
  <c r="AA37" i="17" s="1"/>
  <c r="X38" i="17"/>
  <c r="Z38" i="17" s="1"/>
  <c r="AA38" i="17" s="1"/>
  <c r="X48" i="17"/>
  <c r="Z48" i="17" s="1"/>
  <c r="AA48" i="17" s="1"/>
  <c r="AI48" i="17" s="1"/>
  <c r="X49" i="17"/>
  <c r="Z49" i="17" s="1"/>
  <c r="AA49" i="17" s="1"/>
  <c r="X50" i="17"/>
  <c r="Z50" i="17" s="1"/>
  <c r="AA50" i="17" s="1"/>
  <c r="V12" i="17"/>
  <c r="W12" i="17" s="1"/>
  <c r="V13" i="17"/>
  <c r="W13" i="17" s="1"/>
  <c r="V14" i="17"/>
  <c r="W14" i="17" s="1"/>
  <c r="V24" i="17"/>
  <c r="W24" i="17" s="1"/>
  <c r="V25" i="17"/>
  <c r="W25" i="17" s="1"/>
  <c r="V26" i="17"/>
  <c r="W26" i="17" s="1"/>
  <c r="V36" i="17"/>
  <c r="W36" i="17" s="1"/>
  <c r="V37" i="17"/>
  <c r="W37" i="17" s="1"/>
  <c r="V38" i="17"/>
  <c r="W38" i="17" s="1"/>
  <c r="V48" i="17"/>
  <c r="W48" i="17" s="1"/>
  <c r="V49" i="17"/>
  <c r="W49" i="17" s="1"/>
  <c r="V50" i="17"/>
  <c r="W50" i="17" s="1"/>
  <c r="N87" i="17"/>
  <c r="V139" i="17"/>
  <c r="V138" i="17"/>
  <c r="U136" i="17"/>
  <c r="V143" i="17"/>
  <c r="V142" i="17"/>
  <c r="V141" i="17"/>
  <c r="V140" i="17"/>
  <c r="V137" i="17"/>
  <c r="V135" i="17"/>
  <c r="V133" i="17"/>
  <c r="V132" i="17"/>
  <c r="K93" i="17"/>
  <c r="M93" i="17" s="1"/>
  <c r="K94" i="17"/>
  <c r="M94" i="17" s="1"/>
  <c r="K95" i="17"/>
  <c r="M95" i="17" s="1"/>
  <c r="K96" i="17"/>
  <c r="M96" i="17" s="1"/>
  <c r="K97" i="17"/>
  <c r="M97" i="17" s="1"/>
  <c r="K98" i="17"/>
  <c r="M98" i="17" s="1"/>
  <c r="K99" i="17"/>
  <c r="M99" i="17" s="1"/>
  <c r="K100" i="17"/>
  <c r="M100" i="17" s="1"/>
  <c r="K101" i="17"/>
  <c r="M101" i="17" s="1"/>
  <c r="K102" i="17"/>
  <c r="M102" i="17" s="1"/>
  <c r="K103" i="17"/>
  <c r="M103" i="17" s="1"/>
  <c r="K104" i="17"/>
  <c r="M104" i="17" s="1"/>
  <c r="K105" i="17"/>
  <c r="M105" i="17" s="1"/>
  <c r="K106" i="17"/>
  <c r="M106" i="17" s="1"/>
  <c r="K107" i="17"/>
  <c r="M107" i="17" s="1"/>
  <c r="K108" i="17"/>
  <c r="M108" i="17" s="1"/>
  <c r="K109" i="17"/>
  <c r="M109" i="17" s="1"/>
  <c r="K110" i="17"/>
  <c r="M110" i="17" s="1"/>
  <c r="K111" i="17"/>
  <c r="M111" i="17" s="1"/>
  <c r="K112" i="17"/>
  <c r="M112" i="17" s="1"/>
  <c r="K113" i="17"/>
  <c r="M113" i="17" s="1"/>
  <c r="K114" i="17"/>
  <c r="M114" i="17" s="1"/>
  <c r="K115" i="17"/>
  <c r="M115" i="17" s="1"/>
  <c r="K116" i="17"/>
  <c r="M116" i="17" s="1"/>
  <c r="K117" i="17"/>
  <c r="M117" i="17" s="1"/>
  <c r="K118" i="17"/>
  <c r="M118" i="17" s="1"/>
  <c r="K119" i="17"/>
  <c r="M119" i="17" s="1"/>
  <c r="K120" i="17"/>
  <c r="M120" i="17" s="1"/>
  <c r="K121" i="17"/>
  <c r="M121" i="17" s="1"/>
  <c r="K122" i="17"/>
  <c r="M122" i="17" s="1"/>
  <c r="K123" i="17"/>
  <c r="M123" i="17" s="1"/>
  <c r="K124" i="17"/>
  <c r="M124" i="17" s="1"/>
  <c r="K125" i="17"/>
  <c r="M125" i="17" s="1"/>
  <c r="K126" i="17"/>
  <c r="M126" i="17" s="1"/>
  <c r="K127" i="17"/>
  <c r="M127" i="17" s="1"/>
  <c r="K128" i="17"/>
  <c r="M128" i="17" s="1"/>
  <c r="K129" i="17"/>
  <c r="M129" i="17" s="1"/>
  <c r="K130" i="17"/>
  <c r="M130" i="17" s="1"/>
  <c r="K131" i="17"/>
  <c r="M131" i="17" s="1"/>
  <c r="K132" i="17"/>
  <c r="M132" i="17" s="1"/>
  <c r="K133" i="17"/>
  <c r="M133" i="17" s="1"/>
  <c r="K134" i="17"/>
  <c r="M134" i="17" s="1"/>
  <c r="K135" i="17"/>
  <c r="M135" i="17" s="1"/>
  <c r="K136" i="17"/>
  <c r="M136" i="17" s="1"/>
  <c r="K137" i="17"/>
  <c r="M137" i="17" s="1"/>
  <c r="K138" i="17"/>
  <c r="M138" i="17" s="1"/>
  <c r="K139" i="17"/>
  <c r="M139" i="17" s="1"/>
  <c r="K140" i="17"/>
  <c r="M140" i="17" s="1"/>
  <c r="K141" i="17"/>
  <c r="M141" i="17" s="1"/>
  <c r="K142" i="17"/>
  <c r="M142" i="17" s="1"/>
  <c r="K143" i="17"/>
  <c r="M143" i="17" s="1"/>
  <c r="K144" i="17"/>
  <c r="M144" i="17" s="1"/>
  <c r="K145" i="17"/>
  <c r="M145" i="17" s="1"/>
  <c r="K146" i="17"/>
  <c r="M146" i="17" s="1"/>
  <c r="K147" i="17"/>
  <c r="M147" i="17" s="1"/>
  <c r="K148" i="17"/>
  <c r="M148" i="17" s="1"/>
  <c r="K149" i="17"/>
  <c r="M149" i="17" s="1"/>
  <c r="K150" i="17"/>
  <c r="M150" i="17" s="1"/>
  <c r="K151" i="17"/>
  <c r="M151" i="17" s="1"/>
  <c r="K152" i="17"/>
  <c r="M152" i="17" s="1"/>
  <c r="K153" i="17"/>
  <c r="M153" i="17" s="1"/>
  <c r="K154" i="17"/>
  <c r="M154" i="17" s="1"/>
  <c r="K155" i="17"/>
  <c r="M155" i="17" s="1"/>
  <c r="K156" i="17"/>
  <c r="M156" i="17" s="1"/>
  <c r="K157" i="17"/>
  <c r="M157" i="17" s="1"/>
  <c r="K158" i="17"/>
  <c r="M158" i="17" s="1"/>
  <c r="K159" i="17"/>
  <c r="M159" i="17" s="1"/>
  <c r="K160" i="17"/>
  <c r="M160" i="17" s="1"/>
  <c r="K161" i="17"/>
  <c r="M161" i="17" s="1"/>
  <c r="K162" i="17"/>
  <c r="M162" i="17" s="1"/>
  <c r="K163" i="17"/>
  <c r="M163" i="17" s="1"/>
  <c r="K164" i="17"/>
  <c r="M164" i="17" s="1"/>
  <c r="K165" i="17"/>
  <c r="M165" i="17" s="1"/>
  <c r="K166" i="17"/>
  <c r="M166" i="17" s="1"/>
  <c r="K167" i="17"/>
  <c r="M167" i="17" s="1"/>
  <c r="K168" i="17"/>
  <c r="M168" i="17" s="1"/>
  <c r="K169" i="17"/>
  <c r="M169" i="17" s="1"/>
  <c r="K170" i="17"/>
  <c r="M170" i="17" s="1"/>
  <c r="K171" i="17"/>
  <c r="M171" i="17" s="1"/>
  <c r="K172" i="17"/>
  <c r="M172" i="17" s="1"/>
  <c r="K173" i="17"/>
  <c r="M173" i="17" s="1"/>
  <c r="K174" i="17"/>
  <c r="M174" i="17" s="1"/>
  <c r="K175" i="17"/>
  <c r="M175" i="17" s="1"/>
  <c r="K176" i="17"/>
  <c r="M176" i="17" s="1"/>
  <c r="AZ8" i="16"/>
  <c r="AZ7" i="16"/>
  <c r="AZ6" i="16"/>
  <c r="AZ5" i="16"/>
  <c r="AY8" i="16"/>
  <c r="AY7" i="16"/>
  <c r="AY6" i="16"/>
  <c r="AY5" i="16"/>
  <c r="AX8" i="16"/>
  <c r="AX7" i="16"/>
  <c r="AX6" i="16"/>
  <c r="AX5" i="16"/>
  <c r="AQ8" i="16"/>
  <c r="AQ7" i="16"/>
  <c r="AQ6" i="16"/>
  <c r="AQ5" i="16"/>
  <c r="AP8" i="16"/>
  <c r="AP7" i="16"/>
  <c r="AP6" i="16"/>
  <c r="AP5" i="16"/>
  <c r="AO8" i="16"/>
  <c r="AO7" i="16"/>
  <c r="AO6" i="16"/>
  <c r="AO5" i="16"/>
  <c r="AI5" i="16"/>
  <c r="AG28" i="16"/>
  <c r="AG27" i="16"/>
  <c r="AG26" i="16"/>
  <c r="AE52" i="16" s="1"/>
  <c r="AG25" i="16"/>
  <c r="AG24" i="16"/>
  <c r="AG23" i="16"/>
  <c r="AG22" i="16"/>
  <c r="AG21" i="16"/>
  <c r="AG20" i="16"/>
  <c r="AG19" i="16"/>
  <c r="AG18" i="16"/>
  <c r="AG17" i="16"/>
  <c r="AG16" i="16"/>
  <c r="AG15" i="16"/>
  <c r="AG14" i="16"/>
  <c r="AG13" i="16"/>
  <c r="AG12" i="16"/>
  <c r="AG11" i="16"/>
  <c r="AG10" i="16"/>
  <c r="AG9" i="16"/>
  <c r="AG8" i="16"/>
  <c r="AG7" i="16"/>
  <c r="AG6" i="16"/>
  <c r="AG5" i="16"/>
  <c r="I5" i="16"/>
  <c r="U143" i="17"/>
  <c r="U142" i="17"/>
  <c r="U141" i="17"/>
  <c r="U140" i="17"/>
  <c r="U139" i="17"/>
  <c r="U138" i="17"/>
  <c r="U137" i="17"/>
  <c r="U133" i="17"/>
  <c r="L76" i="16"/>
  <c r="N76" i="16" s="1"/>
  <c r="O76" i="16" s="1"/>
  <c r="L27" i="16"/>
  <c r="M27" i="16" s="1"/>
  <c r="L7" i="16"/>
  <c r="M7" i="16" s="1"/>
  <c r="W53" i="10"/>
  <c r="X53" i="10" s="1"/>
  <c r="W52" i="10"/>
  <c r="X52" i="10" s="1"/>
  <c r="W51" i="10"/>
  <c r="X51" i="10" s="1"/>
  <c r="W41" i="10"/>
  <c r="X41" i="10" s="1"/>
  <c r="W40" i="10"/>
  <c r="X40" i="10" s="1"/>
  <c r="W39" i="10"/>
  <c r="X39" i="10" s="1"/>
  <c r="W29" i="10"/>
  <c r="X29" i="10" s="1"/>
  <c r="W28" i="10"/>
  <c r="X28" i="10" s="1"/>
  <c r="W27" i="10"/>
  <c r="X27" i="10" s="1"/>
  <c r="W17" i="10"/>
  <c r="X17" i="10" s="1"/>
  <c r="W16" i="10"/>
  <c r="X16" i="10" s="1"/>
  <c r="W15" i="10"/>
  <c r="X15" i="10" s="1"/>
  <c r="U53" i="10"/>
  <c r="V53" i="10" s="1"/>
  <c r="U52" i="10"/>
  <c r="V52" i="10" s="1"/>
  <c r="U51" i="10"/>
  <c r="V51" i="10" s="1"/>
  <c r="U41" i="10"/>
  <c r="V41" i="10" s="1"/>
  <c r="U40" i="10"/>
  <c r="V40" i="10" s="1"/>
  <c r="U39" i="10"/>
  <c r="V39" i="10" s="1"/>
  <c r="U29" i="10"/>
  <c r="V29" i="10" s="1"/>
  <c r="U28" i="10"/>
  <c r="V28" i="10" s="1"/>
  <c r="U27" i="10"/>
  <c r="V27" i="10" s="1"/>
  <c r="U17" i="10"/>
  <c r="V17" i="10" s="1"/>
  <c r="U16" i="10"/>
  <c r="V16" i="10" s="1"/>
  <c r="U15" i="10"/>
  <c r="V15" i="10" s="1"/>
  <c r="M5" i="9"/>
  <c r="M6" i="9"/>
  <c r="M7" i="9"/>
  <c r="M8" i="9"/>
  <c r="M9" i="9"/>
  <c r="M11" i="9"/>
  <c r="M12" i="9"/>
  <c r="M13" i="9"/>
  <c r="M14" i="9"/>
  <c r="M15" i="9"/>
  <c r="M16" i="9"/>
  <c r="M17" i="9"/>
  <c r="M19" i="9"/>
  <c r="M20" i="9"/>
  <c r="M21"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K6" i="8"/>
  <c r="I28" i="16"/>
  <c r="L28" i="16" s="1"/>
  <c r="I27" i="16"/>
  <c r="I26" i="16"/>
  <c r="L26" i="16" s="1"/>
  <c r="I25" i="16"/>
  <c r="I24" i="16"/>
  <c r="L24" i="16" s="1"/>
  <c r="N24" i="16" s="1"/>
  <c r="O24" i="16" s="1"/>
  <c r="I23" i="16"/>
  <c r="L23" i="16" s="1"/>
  <c r="I22" i="16"/>
  <c r="L22" i="16" s="1"/>
  <c r="N22" i="16" s="1"/>
  <c r="O22" i="16" s="1"/>
  <c r="I21" i="16"/>
  <c r="L21" i="16" s="1"/>
  <c r="I20" i="16"/>
  <c r="L20" i="16" s="1"/>
  <c r="I19" i="16"/>
  <c r="L19" i="16" s="1"/>
  <c r="M19" i="16" s="1"/>
  <c r="I18" i="16"/>
  <c r="L18" i="16" s="1"/>
  <c r="I17" i="16"/>
  <c r="L17" i="16" s="1"/>
  <c r="M17" i="16" s="1"/>
  <c r="I16" i="16"/>
  <c r="L16" i="16" s="1"/>
  <c r="I15" i="16"/>
  <c r="L15" i="16" s="1"/>
  <c r="I14" i="16"/>
  <c r="L14" i="16" s="1"/>
  <c r="N14" i="16" s="1"/>
  <c r="Q14" i="16" s="1"/>
  <c r="AC70" i="16" s="1"/>
  <c r="I13" i="16"/>
  <c r="L13" i="16" s="1"/>
  <c r="I12" i="16"/>
  <c r="L12" i="16" s="1"/>
  <c r="N12" i="16" s="1"/>
  <c r="O12" i="16" s="1"/>
  <c r="I11" i="16"/>
  <c r="L11" i="16" s="1"/>
  <c r="I10" i="16"/>
  <c r="L10" i="16" s="1"/>
  <c r="I9" i="16"/>
  <c r="L9" i="16" s="1"/>
  <c r="M9" i="16" s="1"/>
  <c r="I8" i="16"/>
  <c r="L8" i="16" s="1"/>
  <c r="I7" i="16"/>
  <c r="I6" i="16"/>
  <c r="L6" i="16" s="1"/>
  <c r="G28" i="16"/>
  <c r="J28" i="16" s="1"/>
  <c r="K28" i="16" s="1"/>
  <c r="G27" i="16"/>
  <c r="J27" i="16" s="1"/>
  <c r="K27" i="16" s="1"/>
  <c r="G26" i="16"/>
  <c r="G25" i="16"/>
  <c r="G24" i="16"/>
  <c r="G23" i="16"/>
  <c r="G22" i="16"/>
  <c r="G21" i="16"/>
  <c r="G20" i="16"/>
  <c r="G19" i="16"/>
  <c r="J19" i="16" s="1"/>
  <c r="K19" i="16" s="1"/>
  <c r="G18" i="16"/>
  <c r="J18" i="16" s="1"/>
  <c r="K18" i="16" s="1"/>
  <c r="G17" i="16"/>
  <c r="J17" i="16" s="1"/>
  <c r="K17" i="16" s="1"/>
  <c r="G16" i="16"/>
  <c r="G15" i="16"/>
  <c r="G14" i="16"/>
  <c r="G13" i="16"/>
  <c r="G12" i="16"/>
  <c r="G11" i="16"/>
  <c r="G10" i="16"/>
  <c r="G9" i="16"/>
  <c r="J9" i="16" s="1"/>
  <c r="K9" i="16" s="1"/>
  <c r="G8" i="16"/>
  <c r="J8" i="16" s="1"/>
  <c r="K8" i="16" s="1"/>
  <c r="G7" i="16"/>
  <c r="J7" i="16" s="1"/>
  <c r="K7" i="16" s="1"/>
  <c r="G6" i="16"/>
  <c r="G5" i="16"/>
  <c r="I55" i="16"/>
  <c r="I54" i="16"/>
  <c r="L54" i="16" s="1"/>
  <c r="N54" i="16" s="1"/>
  <c r="I52" i="16"/>
  <c r="L52" i="16" s="1"/>
  <c r="I51" i="16"/>
  <c r="L51" i="16" s="1"/>
  <c r="I50" i="16"/>
  <c r="L50" i="16" s="1"/>
  <c r="I48" i="16"/>
  <c r="I45" i="16"/>
  <c r="L45" i="16" s="1"/>
  <c r="M45" i="16" s="1"/>
  <c r="I43" i="16"/>
  <c r="L43" i="16" s="1"/>
  <c r="M43" i="16" s="1"/>
  <c r="I42" i="16"/>
  <c r="J42" i="16" s="1"/>
  <c r="K42" i="16" s="1"/>
  <c r="I41" i="16"/>
  <c r="L41" i="16" s="1"/>
  <c r="I40" i="16"/>
  <c r="I37" i="16"/>
  <c r="L37" i="16" s="1"/>
  <c r="N37" i="16" s="1"/>
  <c r="O37" i="16" s="1"/>
  <c r="I34" i="16"/>
  <c r="L34" i="16" s="1"/>
  <c r="I33" i="16"/>
  <c r="L33" i="16" s="1"/>
  <c r="G55" i="16"/>
  <c r="G54" i="16"/>
  <c r="J54" i="16" s="1"/>
  <c r="K54" i="16" s="1"/>
  <c r="G52" i="16"/>
  <c r="G51" i="16"/>
  <c r="G50" i="16"/>
  <c r="G48" i="16"/>
  <c r="G45" i="16"/>
  <c r="G43" i="16"/>
  <c r="G42" i="16"/>
  <c r="G41" i="16"/>
  <c r="G40" i="16"/>
  <c r="G37" i="16"/>
  <c r="J37" i="16" s="1"/>
  <c r="K37" i="16" s="1"/>
  <c r="G34" i="16"/>
  <c r="G33" i="16"/>
  <c r="I82" i="16"/>
  <c r="L82" i="16" s="1"/>
  <c r="I81" i="16"/>
  <c r="L81" i="16" s="1"/>
  <c r="N81" i="16" s="1"/>
  <c r="Q81" i="16" s="1"/>
  <c r="AC108" i="16" s="1"/>
  <c r="I77" i="16"/>
  <c r="L77" i="16" s="1"/>
  <c r="I76" i="16"/>
  <c r="I73" i="16"/>
  <c r="L73" i="16" s="1"/>
  <c r="I72" i="16"/>
  <c r="L72" i="16" s="1"/>
  <c r="I71" i="16"/>
  <c r="L71" i="16" s="1"/>
  <c r="N71" i="16" s="1"/>
  <c r="I67" i="16"/>
  <c r="L67" i="16" s="1"/>
  <c r="I61" i="16"/>
  <c r="L61" i="16" s="1"/>
  <c r="I60" i="16"/>
  <c r="L60" i="16" s="1"/>
  <c r="N60" i="16" s="1"/>
  <c r="O60" i="16" s="1"/>
  <c r="I59" i="16"/>
  <c r="L59" i="16" s="1"/>
  <c r="G82" i="16"/>
  <c r="G81" i="16"/>
  <c r="G77" i="16"/>
  <c r="G76" i="16"/>
  <c r="G73" i="16"/>
  <c r="J73" i="16" s="1"/>
  <c r="K73" i="16" s="1"/>
  <c r="G72" i="16"/>
  <c r="G71" i="16"/>
  <c r="J71" i="16" s="1"/>
  <c r="K71" i="16" s="1"/>
  <c r="G67" i="16"/>
  <c r="G61" i="16"/>
  <c r="G60" i="16"/>
  <c r="G59" i="16"/>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H5" i="9"/>
  <c r="L5" i="9" s="1"/>
  <c r="H6" i="9"/>
  <c r="L6" i="9" s="1"/>
  <c r="H7" i="9"/>
  <c r="L7" i="9" s="1"/>
  <c r="H8" i="9"/>
  <c r="L8" i="9" s="1"/>
  <c r="H9" i="9"/>
  <c r="L9" i="9" s="1"/>
  <c r="H10" i="9"/>
  <c r="H11" i="9"/>
  <c r="L11" i="9" s="1"/>
  <c r="H12" i="9"/>
  <c r="L12" i="9" s="1"/>
  <c r="H13" i="9"/>
  <c r="L13" i="9" s="1"/>
  <c r="H14" i="9"/>
  <c r="L14" i="9" s="1"/>
  <c r="H15" i="9"/>
  <c r="L15" i="9" s="1"/>
  <c r="H16" i="9"/>
  <c r="L16" i="9" s="1"/>
  <c r="H17" i="9"/>
  <c r="L17" i="9" s="1"/>
  <c r="H18" i="9"/>
  <c r="H19" i="9"/>
  <c r="L19" i="9" s="1"/>
  <c r="H20" i="9"/>
  <c r="L20" i="9" s="1"/>
  <c r="H21" i="9"/>
  <c r="L21" i="9" s="1"/>
  <c r="H22" i="9"/>
  <c r="H23" i="9"/>
  <c r="L23" i="9" s="1"/>
  <c r="H24" i="9"/>
  <c r="L24" i="9" s="1"/>
  <c r="H25" i="9"/>
  <c r="L25" i="9" s="1"/>
  <c r="H26" i="9"/>
  <c r="L26" i="9" s="1"/>
  <c r="H27" i="9"/>
  <c r="L27" i="9" s="1"/>
  <c r="H28" i="9"/>
  <c r="L28" i="9" s="1"/>
  <c r="H29" i="9"/>
  <c r="L29" i="9" s="1"/>
  <c r="H30" i="9"/>
  <c r="L30" i="9" s="1"/>
  <c r="H31" i="9"/>
  <c r="L31" i="9" s="1"/>
  <c r="H32" i="9"/>
  <c r="L32" i="9" s="1"/>
  <c r="H33" i="9"/>
  <c r="L33" i="9" s="1"/>
  <c r="H34" i="9"/>
  <c r="L34" i="9" s="1"/>
  <c r="H35" i="9"/>
  <c r="L35" i="9" s="1"/>
  <c r="H36" i="9"/>
  <c r="L36" i="9" s="1"/>
  <c r="H37" i="9"/>
  <c r="L37" i="9" s="1"/>
  <c r="H38" i="9"/>
  <c r="L38" i="9" s="1"/>
  <c r="H39" i="9"/>
  <c r="L39" i="9" s="1"/>
  <c r="H40" i="9"/>
  <c r="L40" i="9" s="1"/>
  <c r="H41" i="9"/>
  <c r="L41" i="9" s="1"/>
  <c r="H42" i="9"/>
  <c r="L42" i="9" s="1"/>
  <c r="H43" i="9"/>
  <c r="L43" i="9" s="1"/>
  <c r="H44" i="9"/>
  <c r="L44" i="9" s="1"/>
  <c r="H45" i="9"/>
  <c r="L45" i="9" s="1"/>
  <c r="H46" i="9"/>
  <c r="L46" i="9" s="1"/>
  <c r="H47" i="9"/>
  <c r="L47" i="9" s="1"/>
  <c r="H48" i="9"/>
  <c r="L48" i="9" s="1"/>
  <c r="H49" i="9"/>
  <c r="L49" i="9" s="1"/>
  <c r="H50" i="9"/>
  <c r="L50" i="9" s="1"/>
  <c r="H51" i="9"/>
  <c r="L51" i="9" s="1"/>
  <c r="H52" i="9"/>
  <c r="L52" i="9" s="1"/>
  <c r="M89" i="10"/>
  <c r="N89" i="10" s="1"/>
  <c r="M88" i="10"/>
  <c r="N88" i="10" s="1"/>
  <c r="M87" i="10"/>
  <c r="N87" i="10" s="1"/>
  <c r="M86" i="10"/>
  <c r="N86" i="10" s="1"/>
  <c r="M85" i="10"/>
  <c r="N85" i="10" s="1"/>
  <c r="M84" i="10"/>
  <c r="N84" i="10" s="1"/>
  <c r="M83" i="10"/>
  <c r="N83" i="10" s="1"/>
  <c r="M82" i="10"/>
  <c r="N82" i="10" s="1"/>
  <c r="M81" i="10"/>
  <c r="N81" i="10" s="1"/>
  <c r="M80" i="10"/>
  <c r="N80" i="10" s="1"/>
  <c r="M79" i="10"/>
  <c r="N79" i="10" s="1"/>
  <c r="M78" i="10"/>
  <c r="N78" i="10" s="1"/>
  <c r="M77" i="10"/>
  <c r="N77" i="10" s="1"/>
  <c r="T46" i="10" s="1"/>
  <c r="M76" i="10"/>
  <c r="N76" i="10" s="1"/>
  <c r="M75" i="10"/>
  <c r="N75" i="10" s="1"/>
  <c r="M74" i="10"/>
  <c r="N74" i="10" s="1"/>
  <c r="M73" i="10"/>
  <c r="N73" i="10" s="1"/>
  <c r="T44" i="10" s="1"/>
  <c r="M72" i="10"/>
  <c r="N72" i="10" s="1"/>
  <c r="M71" i="10"/>
  <c r="N71" i="10" s="1"/>
  <c r="M70" i="10"/>
  <c r="N70" i="10" s="1"/>
  <c r="M69" i="10"/>
  <c r="N69" i="10" s="1"/>
  <c r="M68" i="10"/>
  <c r="N68" i="10" s="1"/>
  <c r="M67" i="10"/>
  <c r="N67" i="10" s="1"/>
  <c r="M66" i="10"/>
  <c r="N66" i="10" s="1"/>
  <c r="M65" i="10"/>
  <c r="N65" i="10" s="1"/>
  <c r="M64" i="10"/>
  <c r="M63" i="10"/>
  <c r="N63" i="10" s="1"/>
  <c r="M62" i="10"/>
  <c r="N62" i="10" s="1"/>
  <c r="M61" i="10"/>
  <c r="N61" i="10" s="1"/>
  <c r="M60" i="10"/>
  <c r="N60" i="10" s="1"/>
  <c r="T36" i="10" s="1"/>
  <c r="M59" i="10"/>
  <c r="N59" i="10" s="1"/>
  <c r="M58" i="10"/>
  <c r="N58" i="10" s="1"/>
  <c r="T35" i="10" s="1"/>
  <c r="M57" i="10"/>
  <c r="N57" i="10" s="1"/>
  <c r="M56" i="10"/>
  <c r="N56" i="10" s="1"/>
  <c r="T34" i="10" s="1"/>
  <c r="M55" i="10"/>
  <c r="N55" i="10" s="1"/>
  <c r="M54" i="10"/>
  <c r="N54" i="10" s="1"/>
  <c r="M53" i="10"/>
  <c r="N53" i="10" s="1"/>
  <c r="M52" i="10"/>
  <c r="N52" i="10" s="1"/>
  <c r="M51" i="10"/>
  <c r="N51" i="10" s="1"/>
  <c r="M50" i="10"/>
  <c r="N50" i="10" s="1"/>
  <c r="T31" i="10" s="1"/>
  <c r="M49" i="10"/>
  <c r="N49" i="10" s="1"/>
  <c r="M48" i="10"/>
  <c r="N48" i="10" s="1"/>
  <c r="T30" i="10" s="1"/>
  <c r="M47" i="10"/>
  <c r="N47" i="10" s="1"/>
  <c r="M46" i="10"/>
  <c r="N46" i="10" s="1"/>
  <c r="M45" i="10"/>
  <c r="N45" i="10" s="1"/>
  <c r="M44" i="10"/>
  <c r="N44" i="10" s="1"/>
  <c r="M43" i="10"/>
  <c r="N43" i="10" s="1"/>
  <c r="T26" i="10" s="1"/>
  <c r="M42" i="10"/>
  <c r="N42" i="10" s="1"/>
  <c r="M41" i="10"/>
  <c r="N41" i="10" s="1"/>
  <c r="M40" i="10"/>
  <c r="N40" i="10" s="1"/>
  <c r="M39" i="10"/>
  <c r="N39" i="10" s="1"/>
  <c r="M38" i="10"/>
  <c r="N38" i="10" s="1"/>
  <c r="M37" i="10"/>
  <c r="N37" i="10" s="1"/>
  <c r="T23" i="10" s="1"/>
  <c r="M36" i="10"/>
  <c r="N36" i="10" s="1"/>
  <c r="M35" i="10"/>
  <c r="N35" i="10" s="1"/>
  <c r="M34" i="10"/>
  <c r="N34" i="10" s="1"/>
  <c r="M33" i="10"/>
  <c r="N33" i="10" s="1"/>
  <c r="T21" i="10" s="1"/>
  <c r="M32" i="10"/>
  <c r="N32" i="10" s="1"/>
  <c r="M31" i="10"/>
  <c r="N31" i="10" s="1"/>
  <c r="M30" i="10"/>
  <c r="N30" i="10" s="1"/>
  <c r="M29" i="10"/>
  <c r="N29" i="10" s="1"/>
  <c r="M28" i="10"/>
  <c r="N28" i="10" s="1"/>
  <c r="M27" i="10"/>
  <c r="N27" i="10" s="1"/>
  <c r="T18" i="10" s="1"/>
  <c r="M26" i="10"/>
  <c r="N26" i="10" s="1"/>
  <c r="M25" i="10"/>
  <c r="N25" i="10" s="1"/>
  <c r="M24" i="10"/>
  <c r="N24" i="10" s="1"/>
  <c r="M23" i="10"/>
  <c r="N23" i="10" s="1"/>
  <c r="M22" i="10"/>
  <c r="N22" i="10" s="1"/>
  <c r="M21" i="10"/>
  <c r="N21" i="10" s="1"/>
  <c r="M20" i="10"/>
  <c r="N20" i="10" s="1"/>
  <c r="T13" i="10" s="1"/>
  <c r="M19" i="10"/>
  <c r="N19" i="10" s="1"/>
  <c r="M18" i="10"/>
  <c r="N18" i="10" s="1"/>
  <c r="T12" i="10" s="1"/>
  <c r="M17" i="10"/>
  <c r="N17" i="10" s="1"/>
  <c r="M16" i="10"/>
  <c r="N16" i="10" s="1"/>
  <c r="T11" i="10" s="1"/>
  <c r="M15" i="10"/>
  <c r="N15" i="10" s="1"/>
  <c r="M14" i="10"/>
  <c r="N14" i="10" s="1"/>
  <c r="M13" i="10"/>
  <c r="N13" i="10" s="1"/>
  <c r="M12" i="10"/>
  <c r="N12" i="10" s="1"/>
  <c r="M11" i="10"/>
  <c r="N11" i="10" s="1"/>
  <c r="M10" i="10"/>
  <c r="M9" i="10"/>
  <c r="N9" i="10" s="1"/>
  <c r="M8" i="10"/>
  <c r="N8" i="10" s="1"/>
  <c r="T7" i="10" s="1"/>
  <c r="M7" i="10"/>
  <c r="N7" i="10" s="1"/>
  <c r="M6" i="10"/>
  <c r="N6" i="10" s="1"/>
  <c r="T6" i="10" s="1"/>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H89" i="10"/>
  <c r="I89" i="10" s="1"/>
  <c r="H88" i="10"/>
  <c r="I88" i="10" s="1"/>
  <c r="H87" i="10"/>
  <c r="I87" i="10" s="1"/>
  <c r="H86" i="10"/>
  <c r="I86" i="10" s="1"/>
  <c r="H85" i="10"/>
  <c r="I85" i="10" s="1"/>
  <c r="S50" i="10" s="1"/>
  <c r="H84" i="10"/>
  <c r="I84" i="10" s="1"/>
  <c r="H83" i="10"/>
  <c r="I83" i="10" s="1"/>
  <c r="H82" i="10"/>
  <c r="I82" i="10" s="1"/>
  <c r="H81" i="10"/>
  <c r="I81" i="10" s="1"/>
  <c r="H80" i="10"/>
  <c r="I80" i="10" s="1"/>
  <c r="H79" i="10"/>
  <c r="I79" i="10" s="1"/>
  <c r="H78" i="10"/>
  <c r="I78" i="10" s="1"/>
  <c r="H77" i="10"/>
  <c r="I77" i="10" s="1"/>
  <c r="H76" i="10"/>
  <c r="I76" i="10" s="1"/>
  <c r="H75" i="10"/>
  <c r="I75" i="10" s="1"/>
  <c r="S45" i="10" s="1"/>
  <c r="H74" i="10"/>
  <c r="I74" i="10" s="1"/>
  <c r="H73" i="10"/>
  <c r="I73" i="10" s="1"/>
  <c r="H72" i="10"/>
  <c r="I72" i="10" s="1"/>
  <c r="H71" i="10"/>
  <c r="I71" i="10" s="1"/>
  <c r="H70" i="10"/>
  <c r="I70" i="10" s="1"/>
  <c r="H69" i="10"/>
  <c r="I69" i="10" s="1"/>
  <c r="H68" i="10"/>
  <c r="I68" i="10" s="1"/>
  <c r="H67" i="10"/>
  <c r="I67" i="10" s="1"/>
  <c r="H66" i="10"/>
  <c r="I66" i="10" s="1"/>
  <c r="H65" i="10"/>
  <c r="I65" i="10" s="1"/>
  <c r="H64" i="10"/>
  <c r="I64" i="10" s="1"/>
  <c r="S38" i="10" s="1"/>
  <c r="H63" i="10"/>
  <c r="I63" i="10" s="1"/>
  <c r="H62" i="10"/>
  <c r="I62" i="10" s="1"/>
  <c r="H61" i="10"/>
  <c r="I61" i="10" s="1"/>
  <c r="H60" i="10"/>
  <c r="I60" i="10" s="1"/>
  <c r="H59" i="10"/>
  <c r="I59" i="10" s="1"/>
  <c r="H58" i="10"/>
  <c r="I58" i="10" s="1"/>
  <c r="S35" i="10" s="1"/>
  <c r="H57" i="10"/>
  <c r="I57" i="10" s="1"/>
  <c r="H56" i="10"/>
  <c r="I56" i="10" s="1"/>
  <c r="S34" i="10" s="1"/>
  <c r="H55" i="10"/>
  <c r="I55" i="10" s="1"/>
  <c r="H54" i="10"/>
  <c r="I54" i="10" s="1"/>
  <c r="S33" i="10" s="1"/>
  <c r="H53" i="10"/>
  <c r="I53" i="10" s="1"/>
  <c r="H52" i="10"/>
  <c r="I52" i="10" s="1"/>
  <c r="H51" i="10"/>
  <c r="I51" i="10" s="1"/>
  <c r="H50" i="10"/>
  <c r="I50" i="10" s="1"/>
  <c r="H49" i="10"/>
  <c r="I49" i="10" s="1"/>
  <c r="H48" i="10"/>
  <c r="I48" i="10" s="1"/>
  <c r="S30" i="10" s="1"/>
  <c r="H47" i="10"/>
  <c r="I47" i="10" s="1"/>
  <c r="H46" i="10"/>
  <c r="I46" i="10" s="1"/>
  <c r="H45" i="10"/>
  <c r="I45" i="10" s="1"/>
  <c r="H44" i="10"/>
  <c r="I44" i="10" s="1"/>
  <c r="H43" i="10"/>
  <c r="I43" i="10" s="1"/>
  <c r="H42" i="10"/>
  <c r="I42" i="10" s="1"/>
  <c r="H41" i="10"/>
  <c r="I41" i="10" s="1"/>
  <c r="H40" i="10"/>
  <c r="I40" i="10" s="1"/>
  <c r="H39" i="10"/>
  <c r="I39" i="10" s="1"/>
  <c r="H38" i="10"/>
  <c r="I38" i="10" s="1"/>
  <c r="H37" i="10"/>
  <c r="I37" i="10" s="1"/>
  <c r="H36" i="10"/>
  <c r="I36" i="10" s="1"/>
  <c r="H35" i="10"/>
  <c r="I35" i="10" s="1"/>
  <c r="H34" i="10"/>
  <c r="I34" i="10" s="1"/>
  <c r="H33" i="10"/>
  <c r="I33" i="10" s="1"/>
  <c r="H32" i="10"/>
  <c r="I32" i="10" s="1"/>
  <c r="H31" i="10"/>
  <c r="I31" i="10" s="1"/>
  <c r="S20" i="10" s="1"/>
  <c r="H30" i="10"/>
  <c r="I30" i="10" s="1"/>
  <c r="H29" i="10"/>
  <c r="I29" i="10" s="1"/>
  <c r="H28" i="10"/>
  <c r="I28" i="10" s="1"/>
  <c r="H27" i="10"/>
  <c r="I27" i="10" s="1"/>
  <c r="H26" i="10"/>
  <c r="I26" i="10" s="1"/>
  <c r="H25" i="10"/>
  <c r="I25" i="10" s="1"/>
  <c r="H24" i="10"/>
  <c r="I24" i="10" s="1"/>
  <c r="H23" i="10"/>
  <c r="I23" i="10" s="1"/>
  <c r="H22" i="10"/>
  <c r="I22" i="10" s="1"/>
  <c r="H21" i="10"/>
  <c r="I21" i="10" s="1"/>
  <c r="H20" i="10"/>
  <c r="I20" i="10" s="1"/>
  <c r="H19" i="10"/>
  <c r="I19" i="10" s="1"/>
  <c r="H18" i="10"/>
  <c r="I18" i="10" s="1"/>
  <c r="S12" i="10" s="1"/>
  <c r="H17" i="10"/>
  <c r="I17" i="10" s="1"/>
  <c r="H16" i="10"/>
  <c r="I16" i="10" s="1"/>
  <c r="S11" i="10" s="1"/>
  <c r="H15" i="10"/>
  <c r="I15" i="10" s="1"/>
  <c r="H14" i="10"/>
  <c r="I14" i="10" s="1"/>
  <c r="S10" i="10" s="1"/>
  <c r="H13" i="10"/>
  <c r="I13" i="10" s="1"/>
  <c r="H12" i="10"/>
  <c r="I12" i="10" s="1"/>
  <c r="H11" i="10"/>
  <c r="I11" i="10" s="1"/>
  <c r="H10" i="10"/>
  <c r="I10" i="10" s="1"/>
  <c r="S8" i="10" s="1"/>
  <c r="H9" i="10"/>
  <c r="I9" i="10" s="1"/>
  <c r="H8" i="10"/>
  <c r="I8" i="10" s="1"/>
  <c r="S7" i="10" s="1"/>
  <c r="H7" i="10"/>
  <c r="I7" i="10" s="1"/>
  <c r="H6" i="10"/>
  <c r="I6" i="10" s="1"/>
  <c r="S6" i="10" s="1"/>
  <c r="I3" i="17"/>
  <c r="J3" i="17" s="1"/>
  <c r="I4" i="17"/>
  <c r="J4" i="17" s="1"/>
  <c r="I5" i="17"/>
  <c r="J5" i="17" s="1"/>
  <c r="I6" i="17"/>
  <c r="J6" i="17" s="1"/>
  <c r="I7" i="17"/>
  <c r="J7" i="17" s="1"/>
  <c r="I8" i="17"/>
  <c r="J8" i="17" s="1"/>
  <c r="I9" i="17"/>
  <c r="J9" i="17" s="1"/>
  <c r="I10" i="17"/>
  <c r="J10" i="17" s="1"/>
  <c r="I11" i="17"/>
  <c r="J11" i="17" s="1"/>
  <c r="I12" i="17"/>
  <c r="J12" i="17" s="1"/>
  <c r="I13" i="17"/>
  <c r="J13" i="17" s="1"/>
  <c r="I14" i="17"/>
  <c r="J14" i="17" s="1"/>
  <c r="I15" i="17"/>
  <c r="J15" i="17" s="1"/>
  <c r="I16" i="17"/>
  <c r="J16" i="17" s="1"/>
  <c r="I17" i="17"/>
  <c r="J17" i="17" s="1"/>
  <c r="I18" i="17"/>
  <c r="J18" i="17" s="1"/>
  <c r="I19" i="17"/>
  <c r="J19" i="17" s="1"/>
  <c r="I20" i="17"/>
  <c r="J20" i="17" s="1"/>
  <c r="I21" i="17"/>
  <c r="J21" i="17" s="1"/>
  <c r="I22" i="17"/>
  <c r="J22" i="17" s="1"/>
  <c r="I23" i="17"/>
  <c r="J23" i="17" s="1"/>
  <c r="I24" i="17"/>
  <c r="J24" i="17" s="1"/>
  <c r="I25" i="17"/>
  <c r="J25" i="17" s="1"/>
  <c r="I26" i="17"/>
  <c r="J26" i="17" s="1"/>
  <c r="I27" i="17"/>
  <c r="J27" i="17" s="1"/>
  <c r="I28" i="17"/>
  <c r="J28" i="17" s="1"/>
  <c r="I29" i="17"/>
  <c r="J29" i="17" s="1"/>
  <c r="I30" i="17"/>
  <c r="J30" i="17" s="1"/>
  <c r="I31" i="17"/>
  <c r="J31" i="17" s="1"/>
  <c r="I32" i="17"/>
  <c r="J32" i="17" s="1"/>
  <c r="I33" i="17"/>
  <c r="J33" i="17" s="1"/>
  <c r="I34" i="17"/>
  <c r="J34" i="17" s="1"/>
  <c r="I35" i="17"/>
  <c r="J35" i="17" s="1"/>
  <c r="I36" i="17"/>
  <c r="J36" i="17" s="1"/>
  <c r="I37" i="17"/>
  <c r="J37" i="17" s="1"/>
  <c r="I38" i="17"/>
  <c r="J38" i="17" s="1"/>
  <c r="I39" i="17"/>
  <c r="J39" i="17" s="1"/>
  <c r="I40" i="17"/>
  <c r="J40" i="17" s="1"/>
  <c r="I41" i="17"/>
  <c r="J41" i="17" s="1"/>
  <c r="I42" i="17"/>
  <c r="J42" i="17" s="1"/>
  <c r="I43" i="17"/>
  <c r="J43" i="17" s="1"/>
  <c r="I44" i="17"/>
  <c r="J44" i="17" s="1"/>
  <c r="I45" i="17"/>
  <c r="J45" i="17" s="1"/>
  <c r="I46" i="17"/>
  <c r="J46" i="17" s="1"/>
  <c r="I47" i="17"/>
  <c r="J47" i="17" s="1"/>
  <c r="I48" i="17"/>
  <c r="J48" i="17" s="1"/>
  <c r="I49" i="17"/>
  <c r="J49" i="17" s="1"/>
  <c r="I50" i="17"/>
  <c r="J50" i="17" s="1"/>
  <c r="I51" i="17"/>
  <c r="J51" i="17" s="1"/>
  <c r="I52" i="17"/>
  <c r="J52" i="17" s="1"/>
  <c r="I53" i="17"/>
  <c r="J53" i="17" s="1"/>
  <c r="I54" i="17"/>
  <c r="J54" i="17" s="1"/>
  <c r="I55" i="17"/>
  <c r="J55" i="17" s="1"/>
  <c r="I56" i="17"/>
  <c r="J56" i="17" s="1"/>
  <c r="I57" i="17"/>
  <c r="J57" i="17" s="1"/>
  <c r="I58" i="17"/>
  <c r="J58" i="17" s="1"/>
  <c r="I59" i="17"/>
  <c r="J59" i="17" s="1"/>
  <c r="I60" i="17"/>
  <c r="J60" i="17" s="1"/>
  <c r="I61" i="17"/>
  <c r="J61" i="17" s="1"/>
  <c r="I62" i="17"/>
  <c r="J62" i="17" s="1"/>
  <c r="I63" i="17"/>
  <c r="J63" i="17" s="1"/>
  <c r="I64" i="17"/>
  <c r="J64" i="17" s="1"/>
  <c r="I65" i="17"/>
  <c r="J65" i="17" s="1"/>
  <c r="I66" i="17"/>
  <c r="J66" i="17" s="1"/>
  <c r="I67" i="17"/>
  <c r="J67" i="17" s="1"/>
  <c r="I68" i="17"/>
  <c r="J68" i="17" s="1"/>
  <c r="I69" i="17"/>
  <c r="J69" i="17" s="1"/>
  <c r="I70" i="17"/>
  <c r="J70" i="17" s="1"/>
  <c r="I71" i="17"/>
  <c r="J71" i="17" s="1"/>
  <c r="I72" i="17"/>
  <c r="J72" i="17" s="1"/>
  <c r="I73" i="17"/>
  <c r="J73" i="17" s="1"/>
  <c r="I74" i="17"/>
  <c r="J74" i="17" s="1"/>
  <c r="I75" i="17"/>
  <c r="J75" i="17" s="1"/>
  <c r="I76" i="17"/>
  <c r="J76" i="17" s="1"/>
  <c r="I77" i="17"/>
  <c r="J77" i="17" s="1"/>
  <c r="I78" i="17"/>
  <c r="J78" i="17" s="1"/>
  <c r="I79" i="17"/>
  <c r="J79" i="17" s="1"/>
  <c r="I80" i="17"/>
  <c r="J80" i="17" s="1"/>
  <c r="I81" i="17"/>
  <c r="J81" i="17" s="1"/>
  <c r="I82" i="17"/>
  <c r="J82" i="17" s="1"/>
  <c r="I83" i="17"/>
  <c r="J83" i="17" s="1"/>
  <c r="I84" i="17"/>
  <c r="J84" i="17" s="1"/>
  <c r="I85" i="17"/>
  <c r="J85" i="17" s="1"/>
  <c r="I86" i="17"/>
  <c r="J86" i="17" s="1"/>
  <c r="L3" i="17"/>
  <c r="N3" i="17" s="1"/>
  <c r="L4" i="17"/>
  <c r="L5" i="17"/>
  <c r="N5" i="17" s="1"/>
  <c r="L6" i="17"/>
  <c r="L7" i="17"/>
  <c r="N7" i="17" s="1"/>
  <c r="L8" i="17"/>
  <c r="N8" i="17" s="1"/>
  <c r="L9" i="17"/>
  <c r="N9" i="17" s="1"/>
  <c r="L10" i="17"/>
  <c r="N10" i="17" s="1"/>
  <c r="L11" i="17"/>
  <c r="L12" i="17"/>
  <c r="L13" i="17"/>
  <c r="N13" i="17" s="1"/>
  <c r="L14" i="17"/>
  <c r="L15" i="17"/>
  <c r="N15" i="17" s="1"/>
  <c r="L16" i="17"/>
  <c r="L17" i="17"/>
  <c r="N17" i="17" s="1"/>
  <c r="L18" i="17"/>
  <c r="N18" i="17" s="1"/>
  <c r="L19" i="17"/>
  <c r="N19" i="17" s="1"/>
  <c r="L20" i="17"/>
  <c r="N20" i="17" s="1"/>
  <c r="L21" i="17"/>
  <c r="L22" i="17"/>
  <c r="L23" i="17"/>
  <c r="N23" i="17" s="1"/>
  <c r="L24" i="17"/>
  <c r="L25" i="17"/>
  <c r="N25" i="17" s="1"/>
  <c r="L26" i="17"/>
  <c r="L27" i="17"/>
  <c r="N27" i="17" s="1"/>
  <c r="L28" i="17"/>
  <c r="N28" i="17" s="1"/>
  <c r="L29" i="17"/>
  <c r="N29" i="17" s="1"/>
  <c r="L30" i="17"/>
  <c r="N30" i="17" s="1"/>
  <c r="L31" i="17"/>
  <c r="L32" i="17"/>
  <c r="L33" i="17"/>
  <c r="N33" i="17" s="1"/>
  <c r="L34" i="17"/>
  <c r="L35" i="17"/>
  <c r="N35" i="17" s="1"/>
  <c r="L36" i="17"/>
  <c r="L37" i="17"/>
  <c r="N37" i="17" s="1"/>
  <c r="L38" i="17"/>
  <c r="N38" i="17" s="1"/>
  <c r="L39" i="17"/>
  <c r="N39" i="17" s="1"/>
  <c r="L40" i="17"/>
  <c r="N40" i="17" s="1"/>
  <c r="L41" i="17"/>
  <c r="L42" i="17"/>
  <c r="L43" i="17"/>
  <c r="N43" i="17" s="1"/>
  <c r="L44" i="17"/>
  <c r="L45" i="17"/>
  <c r="N45" i="17" s="1"/>
  <c r="L46" i="17"/>
  <c r="L47" i="17"/>
  <c r="N47" i="17" s="1"/>
  <c r="L48" i="17"/>
  <c r="N48" i="17" s="1"/>
  <c r="L49" i="17"/>
  <c r="N49" i="17" s="1"/>
  <c r="L50" i="17"/>
  <c r="N50" i="17" s="1"/>
  <c r="L51" i="17"/>
  <c r="L52" i="17"/>
  <c r="L53" i="17"/>
  <c r="N53" i="17" s="1"/>
  <c r="L54" i="17"/>
  <c r="L55" i="17"/>
  <c r="N55" i="17" s="1"/>
  <c r="L56" i="17"/>
  <c r="L57" i="17"/>
  <c r="N57" i="17" s="1"/>
  <c r="L58" i="17"/>
  <c r="N58" i="17" s="1"/>
  <c r="L59" i="17"/>
  <c r="N59" i="17" s="1"/>
  <c r="L60" i="17"/>
  <c r="N60" i="17" s="1"/>
  <c r="L61" i="17"/>
  <c r="L62" i="17"/>
  <c r="L63" i="17"/>
  <c r="N63" i="17" s="1"/>
  <c r="L64" i="17"/>
  <c r="L65" i="17"/>
  <c r="N65" i="17" s="1"/>
  <c r="L66" i="17"/>
  <c r="L67" i="17"/>
  <c r="N67" i="17" s="1"/>
  <c r="L68" i="17"/>
  <c r="N68" i="17" s="1"/>
  <c r="L69" i="17"/>
  <c r="N69" i="17" s="1"/>
  <c r="L70" i="17"/>
  <c r="N70" i="17" s="1"/>
  <c r="L71" i="17"/>
  <c r="L72" i="17"/>
  <c r="L73" i="17"/>
  <c r="N73" i="17" s="1"/>
  <c r="L74" i="17"/>
  <c r="L75" i="17"/>
  <c r="N75" i="17" s="1"/>
  <c r="L76" i="17"/>
  <c r="L77" i="17"/>
  <c r="N77" i="17" s="1"/>
  <c r="L78" i="17"/>
  <c r="N78" i="17" s="1"/>
  <c r="L79" i="17"/>
  <c r="N79" i="17" s="1"/>
  <c r="L80" i="17"/>
  <c r="N80" i="17" s="1"/>
  <c r="L81" i="17"/>
  <c r="L82" i="17"/>
  <c r="L83" i="17"/>
  <c r="N83" i="17" s="1"/>
  <c r="L84" i="17"/>
  <c r="L85" i="17"/>
  <c r="N85" i="17" s="1"/>
  <c r="L86" i="17"/>
  <c r="I176" i="17"/>
  <c r="I175" i="17"/>
  <c r="I174" i="17"/>
  <c r="I173" i="17"/>
  <c r="I172" i="17"/>
  <c r="I171" i="17"/>
  <c r="I170" i="17"/>
  <c r="I169" i="17"/>
  <c r="I168" i="17"/>
  <c r="I167" i="17"/>
  <c r="I166" i="17"/>
  <c r="I165" i="17"/>
  <c r="I164" i="17"/>
  <c r="I163" i="17"/>
  <c r="I162" i="17"/>
  <c r="I161" i="17"/>
  <c r="I160" i="17"/>
  <c r="I159" i="17"/>
  <c r="I158" i="17"/>
  <c r="I157" i="17"/>
  <c r="I156" i="17"/>
  <c r="I155" i="17"/>
  <c r="I154" i="17"/>
  <c r="I153" i="17"/>
  <c r="I152" i="17"/>
  <c r="I151" i="17"/>
  <c r="I150" i="17"/>
  <c r="I149" i="17"/>
  <c r="I148" i="17"/>
  <c r="I147" i="17"/>
  <c r="I146" i="17"/>
  <c r="I145" i="17"/>
  <c r="I144" i="17"/>
  <c r="I143" i="17"/>
  <c r="I142" i="17"/>
  <c r="I141" i="17"/>
  <c r="I140" i="17"/>
  <c r="I139" i="17"/>
  <c r="I138" i="17"/>
  <c r="I137" i="17"/>
  <c r="I136" i="17"/>
  <c r="I135" i="17"/>
  <c r="I134" i="17"/>
  <c r="I133" i="17"/>
  <c r="I132" i="17"/>
  <c r="I131" i="17"/>
  <c r="I130" i="17"/>
  <c r="I129" i="17"/>
  <c r="I128" i="17"/>
  <c r="I127" i="17"/>
  <c r="I126" i="17"/>
  <c r="I125" i="17"/>
  <c r="I124" i="17"/>
  <c r="I123" i="17"/>
  <c r="I122" i="17"/>
  <c r="I121" i="17"/>
  <c r="I120" i="17"/>
  <c r="S105" i="17" s="1"/>
  <c r="I119" i="17"/>
  <c r="I118" i="17"/>
  <c r="I117" i="17"/>
  <c r="I116" i="17"/>
  <c r="I115" i="17"/>
  <c r="I114" i="17"/>
  <c r="I113" i="17"/>
  <c r="I112" i="17"/>
  <c r="I111" i="17"/>
  <c r="I110" i="17"/>
  <c r="I109" i="17"/>
  <c r="I108" i="17"/>
  <c r="I107" i="17"/>
  <c r="I106" i="17"/>
  <c r="I105" i="17"/>
  <c r="I104" i="17"/>
  <c r="I103" i="17"/>
  <c r="I102" i="17"/>
  <c r="I101" i="17"/>
  <c r="I100" i="17"/>
  <c r="I99" i="17"/>
  <c r="I98" i="17"/>
  <c r="I97" i="17"/>
  <c r="I96" i="17"/>
  <c r="I95" i="17"/>
  <c r="I94" i="17"/>
  <c r="I93" i="17"/>
  <c r="AE103" i="16" l="1"/>
  <c r="N52" i="9"/>
  <c r="O52" i="9" s="1"/>
  <c r="U52" i="9"/>
  <c r="N51" i="9"/>
  <c r="O51" i="9" s="1"/>
  <c r="P51" i="9" a="1"/>
  <c r="P51" i="9" s="1"/>
  <c r="U51" i="9"/>
  <c r="N50" i="9"/>
  <c r="O50" i="9" s="1"/>
  <c r="U50" i="9"/>
  <c r="N49" i="9"/>
  <c r="O49" i="9" s="1"/>
  <c r="U49" i="9"/>
  <c r="N48" i="9"/>
  <c r="O48" i="9" s="1"/>
  <c r="U48" i="9"/>
  <c r="N47" i="9"/>
  <c r="O47" i="9" s="1"/>
  <c r="U47" i="9"/>
  <c r="N46" i="9"/>
  <c r="O46" i="9" s="1"/>
  <c r="U46" i="9"/>
  <c r="N45" i="9"/>
  <c r="O45" i="9" s="1"/>
  <c r="U45" i="9"/>
  <c r="N44" i="9"/>
  <c r="O44" i="9" s="1"/>
  <c r="U44" i="9"/>
  <c r="N43" i="9"/>
  <c r="O43" i="9" s="1"/>
  <c r="U43" i="9"/>
  <c r="N42" i="9"/>
  <c r="O42" i="9" s="1"/>
  <c r="U42" i="9"/>
  <c r="N41" i="9"/>
  <c r="O41" i="9" s="1"/>
  <c r="U41" i="9"/>
  <c r="N40" i="9"/>
  <c r="O40" i="9" s="1"/>
  <c r="U40" i="9"/>
  <c r="N39" i="9"/>
  <c r="O39" i="9" s="1"/>
  <c r="U39" i="9"/>
  <c r="N38" i="9"/>
  <c r="O38" i="9" s="1"/>
  <c r="U38" i="9"/>
  <c r="N37" i="9"/>
  <c r="O37" i="9" s="1"/>
  <c r="U37" i="9"/>
  <c r="N36" i="9"/>
  <c r="O36" i="9" s="1"/>
  <c r="U36" i="9"/>
  <c r="N35" i="9"/>
  <c r="O35" i="9" s="1"/>
  <c r="U35" i="9"/>
  <c r="N34" i="9"/>
  <c r="O34" i="9" s="1"/>
  <c r="U34" i="9"/>
  <c r="N33" i="9"/>
  <c r="O33" i="9" s="1"/>
  <c r="U33" i="9"/>
  <c r="N32" i="9"/>
  <c r="O32" i="9" s="1"/>
  <c r="U32" i="9"/>
  <c r="N31" i="9"/>
  <c r="O31" i="9" s="1"/>
  <c r="U31" i="9"/>
  <c r="N30" i="9"/>
  <c r="O30" i="9" s="1"/>
  <c r="U30" i="9"/>
  <c r="N29" i="9"/>
  <c r="O29" i="9" s="1"/>
  <c r="U29" i="9"/>
  <c r="N28" i="9"/>
  <c r="O28" i="9" s="1"/>
  <c r="U28" i="9"/>
  <c r="N27" i="9"/>
  <c r="O27" i="9" s="1"/>
  <c r="U27" i="9"/>
  <c r="N26" i="9"/>
  <c r="O26" i="9" s="1"/>
  <c r="U26" i="9"/>
  <c r="N25" i="9"/>
  <c r="O25" i="9" s="1"/>
  <c r="U25" i="9"/>
  <c r="N24" i="9"/>
  <c r="O24" i="9" s="1"/>
  <c r="U24" i="9"/>
  <c r="N23" i="9"/>
  <c r="O23" i="9" s="1"/>
  <c r="U23" i="9"/>
  <c r="N21" i="9"/>
  <c r="O21" i="9" s="1"/>
  <c r="U21" i="9"/>
  <c r="N20" i="9"/>
  <c r="O20" i="9" s="1"/>
  <c r="U20" i="9"/>
  <c r="N19" i="9"/>
  <c r="O19" i="9" s="1"/>
  <c r="U19" i="9"/>
  <c r="N17" i="9"/>
  <c r="O17" i="9" s="1"/>
  <c r="U17" i="9"/>
  <c r="N16" i="9"/>
  <c r="O16" i="9" s="1"/>
  <c r="U16" i="9"/>
  <c r="N15" i="9"/>
  <c r="O15" i="9" s="1"/>
  <c r="U15" i="9"/>
  <c r="N14" i="9"/>
  <c r="O14" i="9" s="1"/>
  <c r="U14" i="9"/>
  <c r="N13" i="9"/>
  <c r="O13" i="9" s="1"/>
  <c r="U13" i="9"/>
  <c r="N12" i="9"/>
  <c r="O12" i="9" s="1"/>
  <c r="U12" i="9"/>
  <c r="N11" i="9"/>
  <c r="O11" i="9" s="1"/>
  <c r="U11" i="9"/>
  <c r="N9" i="9"/>
  <c r="O9" i="9" s="1"/>
  <c r="U9" i="9"/>
  <c r="N8" i="9"/>
  <c r="O8" i="9" s="1"/>
  <c r="U8" i="9"/>
  <c r="N7" i="9"/>
  <c r="O7" i="9" s="1"/>
  <c r="U7" i="9"/>
  <c r="N6" i="9"/>
  <c r="O6" i="9" s="1"/>
  <c r="U6" i="9"/>
  <c r="N5" i="9"/>
  <c r="O5" i="9" s="1"/>
  <c r="U5" i="9"/>
  <c r="AP121" i="17"/>
  <c r="AP114" i="17"/>
  <c r="AP122" i="17"/>
  <c r="AQ96" i="17"/>
  <c r="AP120" i="17"/>
  <c r="AP119" i="17"/>
  <c r="AQ93" i="17"/>
  <c r="AN115" i="17"/>
  <c r="AH166" i="17"/>
  <c r="AJ178" i="17"/>
  <c r="AI50" i="17"/>
  <c r="AK50" i="17" s="1"/>
  <c r="AI13" i="17"/>
  <c r="AM13" i="17" s="1"/>
  <c r="AH176" i="17"/>
  <c r="AI49" i="17"/>
  <c r="AK49" i="17" s="1"/>
  <c r="AH185" i="17"/>
  <c r="AI38" i="17"/>
  <c r="AK38" i="17" s="1"/>
  <c r="AI37" i="17"/>
  <c r="AM37" i="17" s="1"/>
  <c r="AH145" i="17"/>
  <c r="AJ151" i="17"/>
  <c r="AH146" i="17"/>
  <c r="AJ158" i="17"/>
  <c r="AI14" i="17"/>
  <c r="AK14" i="17" s="1"/>
  <c r="AI26" i="17"/>
  <c r="AK26" i="17" s="1"/>
  <c r="AH148" i="17"/>
  <c r="Q54" i="16"/>
  <c r="AC97" i="16" s="1"/>
  <c r="S54" i="16"/>
  <c r="AD97" i="16" s="1"/>
  <c r="AH5" i="16"/>
  <c r="AE31" i="16"/>
  <c r="AH25" i="16"/>
  <c r="AE51" i="16"/>
  <c r="AH17" i="16"/>
  <c r="AE43" i="16"/>
  <c r="AJ8" i="16"/>
  <c r="AE34" i="16"/>
  <c r="AI13" i="16"/>
  <c r="AE39" i="16"/>
  <c r="AI23" i="16"/>
  <c r="AE49" i="16"/>
  <c r="S22" i="16"/>
  <c r="AD78" i="16" s="1"/>
  <c r="AH16" i="16"/>
  <c r="AE42" i="16"/>
  <c r="AJ27" i="16"/>
  <c r="AE53" i="16"/>
  <c r="S14" i="16"/>
  <c r="AD70" i="16" s="1"/>
  <c r="AE70" i="16" s="1"/>
  <c r="S24" i="16"/>
  <c r="AD80" i="16" s="1"/>
  <c r="Q76" i="16"/>
  <c r="AC106" i="16" s="1"/>
  <c r="S37" i="16"/>
  <c r="AD87" i="16" s="1"/>
  <c r="AE87" i="16" s="1"/>
  <c r="S76" i="16"/>
  <c r="AD106" i="16" s="1"/>
  <c r="AI14" i="16"/>
  <c r="AE40" i="16"/>
  <c r="S12" i="16"/>
  <c r="AD68" i="16" s="1"/>
  <c r="AJ28" i="16"/>
  <c r="AE54" i="16"/>
  <c r="AJ20" i="16"/>
  <c r="AE46" i="16"/>
  <c r="S81" i="16"/>
  <c r="AD108" i="16" s="1"/>
  <c r="AE108" i="16" s="1"/>
  <c r="AJ19" i="16"/>
  <c r="AE45" i="16"/>
  <c r="AH11" i="16"/>
  <c r="AE37" i="16"/>
  <c r="AJ21" i="16"/>
  <c r="AE47" i="16"/>
  <c r="Q60" i="16"/>
  <c r="AC100" i="16" s="1"/>
  <c r="AI24" i="16"/>
  <c r="AE50" i="16"/>
  <c r="AH15" i="16"/>
  <c r="AE41" i="16"/>
  <c r="AH6" i="16"/>
  <c r="AE32" i="16"/>
  <c r="AJ7" i="16"/>
  <c r="AE33" i="16"/>
  <c r="AJ18" i="16"/>
  <c r="AE44" i="16"/>
  <c r="AJ9" i="16"/>
  <c r="AE35" i="16"/>
  <c r="AJ10" i="16"/>
  <c r="AE36" i="16"/>
  <c r="J76" i="16"/>
  <c r="K76" i="16" s="1"/>
  <c r="AJ12" i="16"/>
  <c r="AE38" i="16"/>
  <c r="AH22" i="16"/>
  <c r="AE48" i="16"/>
  <c r="S60" i="16"/>
  <c r="AD100" i="16" s="1"/>
  <c r="AN119" i="17"/>
  <c r="AJ159" i="17"/>
  <c r="AJ161" i="17"/>
  <c r="AN112" i="17"/>
  <c r="AN120" i="17"/>
  <c r="AJ169" i="17"/>
  <c r="AN113" i="17"/>
  <c r="AO121" i="17"/>
  <c r="AH155" i="17"/>
  <c r="AH186" i="17"/>
  <c r="AJ171" i="17"/>
  <c r="AJ189" i="17"/>
  <c r="AO112" i="17"/>
  <c r="AO113" i="17"/>
  <c r="AN121" i="17"/>
  <c r="AQ119" i="17"/>
  <c r="AH156" i="17"/>
  <c r="AN114" i="17"/>
  <c r="AN122" i="17"/>
  <c r="AQ120" i="17"/>
  <c r="AJ179" i="17"/>
  <c r="AP115" i="17"/>
  <c r="AH165" i="17"/>
  <c r="AJ149" i="17"/>
  <c r="AJ181" i="17"/>
  <c r="AK25" i="17"/>
  <c r="T49" i="10"/>
  <c r="S19" i="10"/>
  <c r="S24" i="10"/>
  <c r="S42" i="10"/>
  <c r="S47" i="10"/>
  <c r="T19" i="10"/>
  <c r="T24" i="10"/>
  <c r="W24" i="10" s="1"/>
  <c r="X24" i="10" s="1"/>
  <c r="T42" i="10"/>
  <c r="U42" i="10" s="1"/>
  <c r="V42" i="10" s="1"/>
  <c r="T47" i="10"/>
  <c r="Y29" i="10"/>
  <c r="Z29" i="10" s="1"/>
  <c r="AD29" i="10"/>
  <c r="T45" i="10"/>
  <c r="T50" i="10"/>
  <c r="Y28" i="10"/>
  <c r="Z28" i="10" s="1"/>
  <c r="AD28" i="10"/>
  <c r="Y39" i="10"/>
  <c r="AB39" i="10" s="1"/>
  <c r="AD39" i="10"/>
  <c r="Y40" i="10"/>
  <c r="Z40" i="10" s="1"/>
  <c r="AD40" i="10"/>
  <c r="T9" i="10"/>
  <c r="W9" i="10" s="1"/>
  <c r="X9" i="10" s="1"/>
  <c r="T32" i="10"/>
  <c r="W32" i="10" s="1"/>
  <c r="X32" i="10" s="1"/>
  <c r="T37" i="10"/>
  <c r="W37" i="10" s="1"/>
  <c r="X37" i="10" s="1"/>
  <c r="Y16" i="10"/>
  <c r="Z16" i="10" s="1"/>
  <c r="AD16" i="10"/>
  <c r="Y53" i="10"/>
  <c r="Z53" i="10" s="1"/>
  <c r="AD53" i="10"/>
  <c r="Y51" i="10"/>
  <c r="Z51" i="10" s="1"/>
  <c r="AI38" i="10" s="1"/>
  <c r="AD51" i="10"/>
  <c r="Y52" i="10"/>
  <c r="Z52" i="10" s="1"/>
  <c r="AD52" i="10"/>
  <c r="Y17" i="10"/>
  <c r="Z17" i="10" s="1"/>
  <c r="AD17" i="10"/>
  <c r="Y41" i="10"/>
  <c r="Z41" i="10" s="1"/>
  <c r="AD41" i="10"/>
  <c r="Y15" i="10"/>
  <c r="AE15" i="10" s="1"/>
  <c r="AD15" i="10"/>
  <c r="T14" i="10"/>
  <c r="S9" i="10"/>
  <c r="S14" i="10"/>
  <c r="S32" i="10"/>
  <c r="S37" i="10"/>
  <c r="Y27" i="10"/>
  <c r="AB27" i="10" s="1"/>
  <c r="AD27" i="10"/>
  <c r="AM14" i="17"/>
  <c r="AQ36" i="17"/>
  <c r="AK13" i="17"/>
  <c r="AO114" i="17"/>
  <c r="AO119" i="17"/>
  <c r="AQ121" i="17"/>
  <c r="AH147" i="17"/>
  <c r="AH157" i="17"/>
  <c r="AH167" i="17"/>
  <c r="AH177" i="17"/>
  <c r="AH187" i="17"/>
  <c r="AJ150" i="17"/>
  <c r="AJ160" i="17"/>
  <c r="AJ170" i="17"/>
  <c r="AJ180" i="17"/>
  <c r="AJ190" i="17"/>
  <c r="AO115" i="17"/>
  <c r="AO120" i="17"/>
  <c r="AQ122" i="17"/>
  <c r="AP36" i="17"/>
  <c r="AQ38" i="17"/>
  <c r="AJ191" i="17"/>
  <c r="AQ112" i="17"/>
  <c r="AJ152" i="17"/>
  <c r="AJ162" i="17"/>
  <c r="AJ172" i="17"/>
  <c r="AJ182" i="17"/>
  <c r="AP34" i="17"/>
  <c r="AQ113" i="17"/>
  <c r="AO122" i="17"/>
  <c r="AP38" i="17"/>
  <c r="AQ40" i="17"/>
  <c r="AJ153" i="17"/>
  <c r="AJ163" i="17"/>
  <c r="AJ173" i="17"/>
  <c r="AJ183" i="17"/>
  <c r="AQ114" i="17"/>
  <c r="AJ154" i="17"/>
  <c r="AJ164" i="17"/>
  <c r="AJ174" i="17"/>
  <c r="AJ184" i="17"/>
  <c r="AQ115" i="17"/>
  <c r="AP40" i="17"/>
  <c r="AH144" i="17"/>
  <c r="AQ34" i="17"/>
  <c r="T33" i="10"/>
  <c r="U33" i="10" s="1"/>
  <c r="V33" i="10" s="1"/>
  <c r="T22" i="10"/>
  <c r="W22" i="10" s="1"/>
  <c r="X22" i="10" s="1"/>
  <c r="T10" i="10"/>
  <c r="U10" i="10" s="1"/>
  <c r="V10" i="10" s="1"/>
  <c r="T38" i="10"/>
  <c r="T20" i="10"/>
  <c r="W20" i="10" s="1"/>
  <c r="X20" i="10" s="1"/>
  <c r="T25" i="10"/>
  <c r="W25" i="10" s="1"/>
  <c r="X25" i="10" s="1"/>
  <c r="T43" i="10"/>
  <c r="W43" i="10" s="1"/>
  <c r="X43" i="10" s="1"/>
  <c r="T48" i="10"/>
  <c r="W48" i="10" s="1"/>
  <c r="X48" i="10" s="1"/>
  <c r="S31" i="10"/>
  <c r="S36" i="10"/>
  <c r="W8" i="10"/>
  <c r="X8" i="10" s="1"/>
  <c r="S22" i="10"/>
  <c r="N10" i="10"/>
  <c r="T8" i="10" s="1"/>
  <c r="U8" i="10" s="1"/>
  <c r="V8" i="10" s="1"/>
  <c r="S18" i="10"/>
  <c r="S23" i="10"/>
  <c r="S46" i="10"/>
  <c r="U46" i="10" s="1"/>
  <c r="V46" i="10" s="1"/>
  <c r="S13" i="10"/>
  <c r="S25" i="10"/>
  <c r="S43" i="10"/>
  <c r="U43" i="10" s="1"/>
  <c r="V43" i="10" s="1"/>
  <c r="S21" i="10"/>
  <c r="U21" i="10" s="1"/>
  <c r="V21" i="10" s="1"/>
  <c r="S26" i="10"/>
  <c r="U26" i="10" s="1"/>
  <c r="V26" i="10" s="1"/>
  <c r="S44" i="10"/>
  <c r="U44" i="10" s="1"/>
  <c r="V44" i="10" s="1"/>
  <c r="S49" i="10"/>
  <c r="U49" i="10" s="1"/>
  <c r="V49" i="10" s="1"/>
  <c r="S48" i="10"/>
  <c r="AB53" i="10"/>
  <c r="AE16" i="10"/>
  <c r="AB15" i="10"/>
  <c r="AB16" i="10"/>
  <c r="W21" i="10"/>
  <c r="X21" i="10" s="1"/>
  <c r="W26" i="10"/>
  <c r="X26" i="10" s="1"/>
  <c r="W44" i="10"/>
  <c r="X44" i="10" s="1"/>
  <c r="W49" i="10"/>
  <c r="X49" i="10" s="1"/>
  <c r="AB17" i="10"/>
  <c r="AE29" i="10"/>
  <c r="AB28" i="10"/>
  <c r="W45" i="10"/>
  <c r="X45" i="10" s="1"/>
  <c r="W50" i="10"/>
  <c r="X50" i="10" s="1"/>
  <c r="AE41" i="10"/>
  <c r="W46" i="10"/>
  <c r="X46" i="10" s="1"/>
  <c r="AB41" i="10"/>
  <c r="AB51" i="10"/>
  <c r="AE53" i="10"/>
  <c r="W7" i="10"/>
  <c r="X7" i="10" s="1"/>
  <c r="W30" i="10"/>
  <c r="X30" i="10" s="1"/>
  <c r="W35" i="10"/>
  <c r="X35" i="10" s="1"/>
  <c r="W19" i="10"/>
  <c r="X19" i="10" s="1"/>
  <c r="W42" i="10"/>
  <c r="X42" i="10" s="1"/>
  <c r="W47" i="10"/>
  <c r="X47" i="10" s="1"/>
  <c r="AE28" i="10"/>
  <c r="J60" i="16"/>
  <c r="K60" i="16" s="1"/>
  <c r="J50" i="16"/>
  <c r="K50" i="16" s="1"/>
  <c r="J6" i="16"/>
  <c r="K6" i="16" s="1"/>
  <c r="Q12" i="16"/>
  <c r="AC68" i="16" s="1"/>
  <c r="Q22" i="16"/>
  <c r="AC78" i="16" s="1"/>
  <c r="Q24" i="16"/>
  <c r="AC80" i="16" s="1"/>
  <c r="AE80" i="16" s="1"/>
  <c r="AI25" i="16"/>
  <c r="AI9" i="16"/>
  <c r="AI10" i="16"/>
  <c r="J81" i="16"/>
  <c r="K81" i="16" s="1"/>
  <c r="J41" i="16"/>
  <c r="K41" i="16" s="1"/>
  <c r="J11" i="16"/>
  <c r="K11" i="16" s="1"/>
  <c r="J21" i="16"/>
  <c r="K21" i="16" s="1"/>
  <c r="AJ6" i="16"/>
  <c r="AH9" i="16"/>
  <c r="J12" i="16"/>
  <c r="K12" i="16" s="1"/>
  <c r="AH19" i="16"/>
  <c r="AJ11" i="16"/>
  <c r="J22" i="16"/>
  <c r="K22" i="16" s="1"/>
  <c r="J25" i="16"/>
  <c r="K25" i="16" s="1"/>
  <c r="J43" i="16"/>
  <c r="K43" i="16" s="1"/>
  <c r="AS8" i="16"/>
  <c r="AH27" i="16"/>
  <c r="AJ26" i="16"/>
  <c r="AV8" i="16" s="1"/>
  <c r="AI11" i="16"/>
  <c r="AH7" i="16"/>
  <c r="AI19" i="16"/>
  <c r="AI21" i="16"/>
  <c r="J48" i="16"/>
  <c r="K48" i="16" s="1"/>
  <c r="AH10" i="16"/>
  <c r="J72" i="16"/>
  <c r="K72" i="16" s="1"/>
  <c r="J10" i="16"/>
  <c r="K10" i="16" s="1"/>
  <c r="J20" i="16"/>
  <c r="K20" i="16" s="1"/>
  <c r="AI27" i="16"/>
  <c r="M15" i="16"/>
  <c r="N15" i="16"/>
  <c r="S15" i="16" s="1"/>
  <c r="AD71" i="16" s="1"/>
  <c r="J16" i="16"/>
  <c r="K16" i="16" s="1"/>
  <c r="J26" i="16"/>
  <c r="K26" i="16" s="1"/>
  <c r="AJ22" i="16"/>
  <c r="J61" i="16"/>
  <c r="K61" i="16" s="1"/>
  <c r="AI7" i="16"/>
  <c r="AI22" i="16"/>
  <c r="AJ24" i="16"/>
  <c r="J15" i="16"/>
  <c r="K15" i="16" s="1"/>
  <c r="L25" i="16"/>
  <c r="AJ14" i="16"/>
  <c r="AH12" i="16"/>
  <c r="AI12" i="16"/>
  <c r="J14" i="16"/>
  <c r="K14" i="16" s="1"/>
  <c r="AH21" i="16"/>
  <c r="AJ16" i="16"/>
  <c r="AI15" i="16"/>
  <c r="AS7" i="16"/>
  <c r="AH20" i="16"/>
  <c r="AI17" i="16"/>
  <c r="J45" i="16"/>
  <c r="K45" i="16" s="1"/>
  <c r="J40" i="16"/>
  <c r="K40" i="16" s="1"/>
  <c r="J55" i="16"/>
  <c r="K55" i="16" s="1"/>
  <c r="J24" i="16"/>
  <c r="K24" i="16" s="1"/>
  <c r="J59" i="16"/>
  <c r="K59" i="16" s="1"/>
  <c r="J82" i="16"/>
  <c r="K82" i="16" s="1"/>
  <c r="N43" i="16"/>
  <c r="AI20" i="16"/>
  <c r="AC50" i="17"/>
  <c r="AC24" i="17"/>
  <c r="AC14" i="17"/>
  <c r="AC13" i="17"/>
  <c r="AE50" i="17"/>
  <c r="AE12" i="17"/>
  <c r="AC12" i="17"/>
  <c r="AE49" i="17"/>
  <c r="AE48" i="17"/>
  <c r="AE38" i="17"/>
  <c r="AC49" i="17"/>
  <c r="AE37" i="17"/>
  <c r="AC48" i="17"/>
  <c r="AC38" i="17"/>
  <c r="AE36" i="17"/>
  <c r="AE26" i="17"/>
  <c r="S116" i="17"/>
  <c r="AC37" i="17"/>
  <c r="AE25" i="17"/>
  <c r="AC36" i="17"/>
  <c r="AC26" i="17"/>
  <c r="AE24" i="17"/>
  <c r="AE14" i="17"/>
  <c r="AC25" i="17"/>
  <c r="AE13" i="17"/>
  <c r="S119" i="17"/>
  <c r="W10" i="10"/>
  <c r="X10" i="10" s="1"/>
  <c r="W38" i="10"/>
  <c r="X38" i="10" s="1"/>
  <c r="U38" i="10"/>
  <c r="V38" i="10" s="1"/>
  <c r="W6" i="10"/>
  <c r="X6" i="10" s="1"/>
  <c r="W11" i="10"/>
  <c r="X11" i="10" s="1"/>
  <c r="W34" i="10"/>
  <c r="X34" i="10" s="1"/>
  <c r="W12" i="10"/>
  <c r="X12" i="10" s="1"/>
  <c r="W14" i="10"/>
  <c r="X14" i="10" s="1"/>
  <c r="W18" i="10"/>
  <c r="X18" i="10" s="1"/>
  <c r="W23" i="10"/>
  <c r="X23" i="10" s="1"/>
  <c r="U24" i="10"/>
  <c r="V24" i="10" s="1"/>
  <c r="U35" i="10"/>
  <c r="V35" i="10" s="1"/>
  <c r="U47" i="10"/>
  <c r="V47" i="10" s="1"/>
  <c r="W13" i="10"/>
  <c r="X13" i="10" s="1"/>
  <c r="W31" i="10"/>
  <c r="X31" i="10" s="1"/>
  <c r="W36" i="10"/>
  <c r="X36" i="10" s="1"/>
  <c r="AH7" i="10"/>
  <c r="AI7" i="10"/>
  <c r="Z15" i="10"/>
  <c r="U12" i="10"/>
  <c r="V12" i="10" s="1"/>
  <c r="Z39" i="10"/>
  <c r="P52" i="9"/>
  <c r="P23" i="9"/>
  <c r="P9" i="9"/>
  <c r="X12" i="9"/>
  <c r="P41" i="9"/>
  <c r="P31" i="9"/>
  <c r="P20" i="9"/>
  <c r="P24" i="9"/>
  <c r="P44" i="9"/>
  <c r="P21" i="9"/>
  <c r="P43" i="9"/>
  <c r="P42" i="9"/>
  <c r="P12" i="9"/>
  <c r="P11" i="9"/>
  <c r="P34" i="9"/>
  <c r="P33" i="9"/>
  <c r="P8" i="9"/>
  <c r="P32" i="9"/>
  <c r="W5" i="9"/>
  <c r="P17" i="9"/>
  <c r="X11" i="9"/>
  <c r="P50" i="9"/>
  <c r="P40" i="9"/>
  <c r="P30" i="9"/>
  <c r="P19" i="9"/>
  <c r="P7" i="9"/>
  <c r="P6" i="9"/>
  <c r="P5" i="9"/>
  <c r="X8" i="9"/>
  <c r="P29" i="9"/>
  <c r="P28" i="9"/>
  <c r="P47" i="9"/>
  <c r="P37" i="9"/>
  <c r="P27" i="9"/>
  <c r="P15" i="9"/>
  <c r="X7" i="9"/>
  <c r="X10" i="9"/>
  <c r="P49" i="9"/>
  <c r="X5" i="9"/>
  <c r="P48" i="9"/>
  <c r="P16" i="9"/>
  <c r="P46" i="9"/>
  <c r="P36" i="9"/>
  <c r="P26" i="9"/>
  <c r="P14" i="9"/>
  <c r="X6" i="9"/>
  <c r="P39" i="9"/>
  <c r="P38" i="9"/>
  <c r="P45" i="9"/>
  <c r="P35" i="9"/>
  <c r="P25" i="9"/>
  <c r="P13" i="9"/>
  <c r="T109" i="17"/>
  <c r="W109" i="17" s="1"/>
  <c r="Y109" i="17" s="1"/>
  <c r="Z109" i="17" s="1"/>
  <c r="M83" i="17"/>
  <c r="M73" i="17"/>
  <c r="M63" i="17"/>
  <c r="M53" i="17"/>
  <c r="S102" i="17"/>
  <c r="S124" i="17"/>
  <c r="T99" i="17"/>
  <c r="W99" i="17" s="1"/>
  <c r="Y99" i="17" s="1"/>
  <c r="Z99" i="17" s="1"/>
  <c r="T94" i="17"/>
  <c r="W94" i="17" s="1"/>
  <c r="S103" i="17"/>
  <c r="S108" i="17"/>
  <c r="S120" i="17"/>
  <c r="S125" i="17"/>
  <c r="T40" i="17"/>
  <c r="T125" i="17"/>
  <c r="W125" i="17" s="1"/>
  <c r="T120" i="17"/>
  <c r="W120" i="17" s="1"/>
  <c r="X120" i="17" s="1"/>
  <c r="T108" i="17"/>
  <c r="W108" i="17" s="1"/>
  <c r="T45" i="17"/>
  <c r="M85" i="17"/>
  <c r="M75" i="17"/>
  <c r="M55" i="17"/>
  <c r="T33" i="17"/>
  <c r="M65" i="17"/>
  <c r="S107" i="17"/>
  <c r="S94" i="17"/>
  <c r="S99" i="17"/>
  <c r="S111" i="17"/>
  <c r="T100" i="17"/>
  <c r="W100" i="17" s="1"/>
  <c r="S97" i="17"/>
  <c r="S114" i="17"/>
  <c r="T128" i="17"/>
  <c r="W128" i="17" s="1"/>
  <c r="S95" i="17"/>
  <c r="S100" i="17"/>
  <c r="S112" i="17"/>
  <c r="S117" i="17"/>
  <c r="T110" i="17"/>
  <c r="W110" i="17" s="1"/>
  <c r="T119" i="17"/>
  <c r="W119" i="17" s="1"/>
  <c r="T103" i="17"/>
  <c r="W103" i="17" s="1"/>
  <c r="T123" i="17"/>
  <c r="W123" i="17" s="1"/>
  <c r="S93" i="17"/>
  <c r="S98" i="17"/>
  <c r="S115" i="17"/>
  <c r="M35" i="17"/>
  <c r="M5" i="17"/>
  <c r="M45" i="17"/>
  <c r="M43" i="17"/>
  <c r="M33" i="17"/>
  <c r="M23" i="17"/>
  <c r="M13" i="17"/>
  <c r="M3" i="17"/>
  <c r="M25" i="17"/>
  <c r="S106" i="17"/>
  <c r="S123" i="17"/>
  <c r="S128" i="17"/>
  <c r="U128" i="17" s="1"/>
  <c r="V128" i="17" s="1"/>
  <c r="T117" i="17"/>
  <c r="W117" i="17" s="1"/>
  <c r="T112" i="17"/>
  <c r="W112" i="17" s="1"/>
  <c r="Y112" i="17" s="1"/>
  <c r="Z112" i="17" s="1"/>
  <c r="T95" i="17"/>
  <c r="W95" i="17" s="1"/>
  <c r="O179" i="17"/>
  <c r="M79" i="17"/>
  <c r="M69" i="17"/>
  <c r="M59" i="17"/>
  <c r="T115" i="17"/>
  <c r="W115" i="17" s="1"/>
  <c r="T98" i="17"/>
  <c r="W98" i="17" s="1"/>
  <c r="Y98" i="17" s="1"/>
  <c r="Z98" i="17" s="1"/>
  <c r="T30" i="17"/>
  <c r="S110" i="17"/>
  <c r="S122" i="17"/>
  <c r="S127" i="17"/>
  <c r="M77" i="17"/>
  <c r="M67" i="17"/>
  <c r="M57" i="17"/>
  <c r="T114" i="17"/>
  <c r="W114" i="17" s="1"/>
  <c r="T97" i="17"/>
  <c r="W97" i="17" s="1"/>
  <c r="M20" i="17"/>
  <c r="M49" i="17"/>
  <c r="M39" i="17"/>
  <c r="M29" i="17"/>
  <c r="M19" i="17"/>
  <c r="M9" i="17"/>
  <c r="T28" i="17"/>
  <c r="T22" i="17"/>
  <c r="M28" i="17"/>
  <c r="M18" i="17"/>
  <c r="M8" i="17"/>
  <c r="M10" i="17"/>
  <c r="M47" i="17"/>
  <c r="M37" i="17"/>
  <c r="M27" i="17"/>
  <c r="T10" i="17"/>
  <c r="T5" i="17"/>
  <c r="T32" i="17"/>
  <c r="T9" i="17"/>
  <c r="T43" i="17"/>
  <c r="T20" i="17"/>
  <c r="S96" i="17"/>
  <c r="S101" i="17"/>
  <c r="S113" i="17"/>
  <c r="S118" i="17"/>
  <c r="Y49" i="17"/>
  <c r="AF49" i="17" s="1"/>
  <c r="T116" i="17"/>
  <c r="W116" i="17" s="1"/>
  <c r="Y116" i="17" s="1"/>
  <c r="Z116" i="17" s="1"/>
  <c r="T111" i="17"/>
  <c r="W111" i="17" s="1"/>
  <c r="T124" i="17"/>
  <c r="W124" i="17" s="1"/>
  <c r="T107" i="17"/>
  <c r="W107" i="17" s="1"/>
  <c r="T102" i="17"/>
  <c r="W102" i="17" s="1"/>
  <c r="T93" i="17"/>
  <c r="W93" i="17" s="1"/>
  <c r="M15" i="17"/>
  <c r="T106" i="17"/>
  <c r="W106" i="17" s="1"/>
  <c r="Y106" i="17" s="1"/>
  <c r="Z106" i="17" s="1"/>
  <c r="T17" i="17"/>
  <c r="M7" i="17"/>
  <c r="M17" i="17"/>
  <c r="M68" i="17"/>
  <c r="M78" i="17"/>
  <c r="T15" i="17"/>
  <c r="T8" i="17"/>
  <c r="T35" i="17"/>
  <c r="T19" i="17"/>
  <c r="T7" i="17"/>
  <c r="T127" i="17"/>
  <c r="W127" i="17" s="1"/>
  <c r="T122" i="17"/>
  <c r="W122" i="17" s="1"/>
  <c r="Y122" i="17" s="1"/>
  <c r="Z122" i="17" s="1"/>
  <c r="T105" i="17"/>
  <c r="W105" i="17" s="1"/>
  <c r="M38" i="17"/>
  <c r="M48" i="17"/>
  <c r="M58" i="17"/>
  <c r="T44" i="17"/>
  <c r="T21" i="17"/>
  <c r="T4" i="17"/>
  <c r="T31" i="17"/>
  <c r="T47" i="17"/>
  <c r="T46" i="17"/>
  <c r="T41" i="17"/>
  <c r="T34" i="17"/>
  <c r="T29" i="17"/>
  <c r="T23" i="17"/>
  <c r="T18" i="17"/>
  <c r="T118" i="17"/>
  <c r="W118" i="17" s="1"/>
  <c r="T96" i="17"/>
  <c r="W96" i="17" s="1"/>
  <c r="M70" i="17"/>
  <c r="M80" i="17"/>
  <c r="T27" i="17"/>
  <c r="T16" i="17"/>
  <c r="T3" i="17"/>
  <c r="T42" i="17"/>
  <c r="S104" i="17"/>
  <c r="S109" i="17"/>
  <c r="S121" i="17"/>
  <c r="S126" i="17"/>
  <c r="T11" i="17"/>
  <c r="T6" i="17"/>
  <c r="T126" i="17"/>
  <c r="W126" i="17" s="1"/>
  <c r="Y126" i="17" s="1"/>
  <c r="Z126" i="17" s="1"/>
  <c r="T121" i="17"/>
  <c r="W121" i="17" s="1"/>
  <c r="T104" i="17"/>
  <c r="W104" i="17" s="1"/>
  <c r="M30" i="17"/>
  <c r="M40" i="17"/>
  <c r="M50" i="17"/>
  <c r="M60" i="17"/>
  <c r="T39" i="17"/>
  <c r="X45" i="17"/>
  <c r="Z45" i="17" s="1"/>
  <c r="X10" i="17"/>
  <c r="Z10" i="17" s="1"/>
  <c r="X5" i="17"/>
  <c r="Z5" i="17" s="1"/>
  <c r="X40" i="17"/>
  <c r="Z40" i="17" s="1"/>
  <c r="T113" i="17"/>
  <c r="W113" i="17" s="1"/>
  <c r="T101" i="17"/>
  <c r="W101" i="17" s="1"/>
  <c r="X33" i="17"/>
  <c r="Z33" i="17" s="1"/>
  <c r="X6" i="17"/>
  <c r="Z6" i="17" s="1"/>
  <c r="X28" i="17"/>
  <c r="Z28" i="17" s="1"/>
  <c r="X11" i="17"/>
  <c r="Z11" i="17" s="1"/>
  <c r="X22" i="17"/>
  <c r="Z22" i="17" s="1"/>
  <c r="N84" i="17"/>
  <c r="M84" i="17" s="1"/>
  <c r="N74" i="17"/>
  <c r="X43" i="17" s="1"/>
  <c r="Z43" i="17" s="1"/>
  <c r="N64" i="17"/>
  <c r="M64" i="17" s="1"/>
  <c r="N54" i="17"/>
  <c r="X31" i="17" s="1"/>
  <c r="Z31" i="17" s="1"/>
  <c r="N44" i="17"/>
  <c r="M44" i="17" s="1"/>
  <c r="N34" i="17"/>
  <c r="X20" i="17" s="1"/>
  <c r="Z20" i="17" s="1"/>
  <c r="N24" i="17"/>
  <c r="X15" i="17" s="1"/>
  <c r="Z15" i="17" s="1"/>
  <c r="N14" i="17"/>
  <c r="N4" i="17"/>
  <c r="N82" i="17"/>
  <c r="X47" i="17" s="1"/>
  <c r="Z47" i="17" s="1"/>
  <c r="N72" i="17"/>
  <c r="X42" i="17" s="1"/>
  <c r="Z42" i="17" s="1"/>
  <c r="N62" i="17"/>
  <c r="X35" i="17" s="1"/>
  <c r="Z35" i="17" s="1"/>
  <c r="N52" i="17"/>
  <c r="X30" i="17" s="1"/>
  <c r="Z30" i="17" s="1"/>
  <c r="N42" i="17"/>
  <c r="M42" i="17" s="1"/>
  <c r="N32" i="17"/>
  <c r="X19" i="17" s="1"/>
  <c r="Z19" i="17" s="1"/>
  <c r="N22" i="17"/>
  <c r="M22" i="17" s="1"/>
  <c r="N12" i="17"/>
  <c r="M12" i="17" s="1"/>
  <c r="N81" i="17"/>
  <c r="X46" i="17" s="1"/>
  <c r="Z46" i="17" s="1"/>
  <c r="N71" i="17"/>
  <c r="M71" i="17" s="1"/>
  <c r="N61" i="17"/>
  <c r="M61" i="17" s="1"/>
  <c r="N51" i="17"/>
  <c r="X29" i="17" s="1"/>
  <c r="Z29" i="17" s="1"/>
  <c r="N41" i="17"/>
  <c r="N31" i="17"/>
  <c r="N21" i="17"/>
  <c r="M21" i="17" s="1"/>
  <c r="N11" i="17"/>
  <c r="M11" i="17" s="1"/>
  <c r="N86" i="17"/>
  <c r="M86" i="17" s="1"/>
  <c r="N76" i="17"/>
  <c r="X44" i="17" s="1"/>
  <c r="Z44" i="17" s="1"/>
  <c r="N66" i="17"/>
  <c r="X39" i="17" s="1"/>
  <c r="Z39" i="17" s="1"/>
  <c r="N56" i="17"/>
  <c r="X32" i="17" s="1"/>
  <c r="Z32" i="17" s="1"/>
  <c r="N46" i="17"/>
  <c r="X27" i="17" s="1"/>
  <c r="Z27" i="17" s="1"/>
  <c r="N36" i="17"/>
  <c r="X21" i="17" s="1"/>
  <c r="Z21" i="17" s="1"/>
  <c r="N26" i="17"/>
  <c r="X16" i="17" s="1"/>
  <c r="Z16" i="17" s="1"/>
  <c r="N16" i="17"/>
  <c r="N6" i="17"/>
  <c r="U135" i="17"/>
  <c r="V136" i="17"/>
  <c r="V134" i="17"/>
  <c r="U134" i="17"/>
  <c r="Y50" i="17"/>
  <c r="AF50" i="17" s="1"/>
  <c r="Y48" i="17"/>
  <c r="AF48" i="17" s="1"/>
  <c r="X9" i="9"/>
  <c r="W9" i="9"/>
  <c r="W7" i="9"/>
  <c r="N61" i="16"/>
  <c r="M61" i="16"/>
  <c r="O54" i="16"/>
  <c r="M50" i="16"/>
  <c r="N50" i="16"/>
  <c r="N72" i="16"/>
  <c r="M72" i="16"/>
  <c r="M33" i="16"/>
  <c r="N33" i="16"/>
  <c r="M51" i="16"/>
  <c r="N51" i="16"/>
  <c r="M8" i="16"/>
  <c r="N8" i="16"/>
  <c r="S8" i="16" s="1"/>
  <c r="AD64" i="16" s="1"/>
  <c r="M18" i="16"/>
  <c r="N18" i="16"/>
  <c r="S18" i="16" s="1"/>
  <c r="AD74" i="16" s="1"/>
  <c r="M28" i="16"/>
  <c r="N28" i="16"/>
  <c r="S28" i="16" s="1"/>
  <c r="AD84" i="16" s="1"/>
  <c r="O71" i="16"/>
  <c r="N73" i="16"/>
  <c r="M73" i="16"/>
  <c r="M34" i="16"/>
  <c r="N34" i="16"/>
  <c r="M52" i="16"/>
  <c r="N52" i="16"/>
  <c r="O14" i="16"/>
  <c r="V6" i="16"/>
  <c r="M6" i="16"/>
  <c r="N6" i="16"/>
  <c r="S6" i="16" s="1"/>
  <c r="AD62" i="16" s="1"/>
  <c r="M10" i="16"/>
  <c r="N10" i="16"/>
  <c r="S10" i="16" s="1"/>
  <c r="AD66" i="16" s="1"/>
  <c r="M20" i="16"/>
  <c r="N20" i="16"/>
  <c r="S20" i="16" s="1"/>
  <c r="AD76" i="16" s="1"/>
  <c r="O81" i="16"/>
  <c r="M26" i="16"/>
  <c r="N26" i="16"/>
  <c r="N77" i="16"/>
  <c r="M77" i="16"/>
  <c r="N11" i="16"/>
  <c r="S11" i="16" s="1"/>
  <c r="AD67" i="16" s="1"/>
  <c r="M11" i="16"/>
  <c r="N21" i="16"/>
  <c r="S21" i="16" s="1"/>
  <c r="AD77" i="16" s="1"/>
  <c r="M21" i="16"/>
  <c r="M16" i="16"/>
  <c r="N16" i="16"/>
  <c r="S16" i="16" s="1"/>
  <c r="AD72" i="16" s="1"/>
  <c r="M41" i="16"/>
  <c r="N41" i="16"/>
  <c r="N67" i="16"/>
  <c r="M67" i="16"/>
  <c r="N59" i="16"/>
  <c r="M59" i="16"/>
  <c r="N82" i="16"/>
  <c r="M82" i="16"/>
  <c r="N13" i="16"/>
  <c r="S13" i="16" s="1"/>
  <c r="AD69" i="16" s="1"/>
  <c r="M13" i="16"/>
  <c r="N23" i="16"/>
  <c r="S23" i="16" s="1"/>
  <c r="AD79" i="16" s="1"/>
  <c r="M23" i="16"/>
  <c r="J33" i="16"/>
  <c r="K33" i="16" s="1"/>
  <c r="J51" i="16"/>
  <c r="K51" i="16" s="1"/>
  <c r="M37" i="16"/>
  <c r="M54" i="16"/>
  <c r="J77" i="16"/>
  <c r="K77" i="16" s="1"/>
  <c r="AR5" i="16"/>
  <c r="J13" i="16"/>
  <c r="K13" i="16" s="1"/>
  <c r="J23" i="16"/>
  <c r="K23" i="16" s="1"/>
  <c r="J34" i="16"/>
  <c r="K34" i="16" s="1"/>
  <c r="J52" i="16"/>
  <c r="K52" i="16" s="1"/>
  <c r="L40" i="16"/>
  <c r="L55" i="16"/>
  <c r="M22" i="16"/>
  <c r="AH8" i="16"/>
  <c r="AH18" i="16"/>
  <c r="AH28" i="16"/>
  <c r="AI16" i="16"/>
  <c r="AI26" i="16"/>
  <c r="AR6" i="16"/>
  <c r="M12" i="16"/>
  <c r="M76" i="16"/>
  <c r="N7" i="16"/>
  <c r="S7" i="16" s="1"/>
  <c r="AD63" i="16" s="1"/>
  <c r="N17" i="16"/>
  <c r="N27" i="16"/>
  <c r="S27" i="16" s="1"/>
  <c r="AD83" i="16" s="1"/>
  <c r="AJ13" i="16"/>
  <c r="AJ23" i="16"/>
  <c r="AR7" i="16"/>
  <c r="L42" i="16"/>
  <c r="M14" i="16"/>
  <c r="AI8" i="16"/>
  <c r="AI18" i="16"/>
  <c r="AI28" i="16"/>
  <c r="AR8" i="16"/>
  <c r="M24" i="16"/>
  <c r="M81" i="16"/>
  <c r="N9" i="16"/>
  <c r="S9" i="16" s="1"/>
  <c r="AD65" i="16" s="1"/>
  <c r="N19" i="16"/>
  <c r="S19" i="16" s="1"/>
  <c r="AD75" i="16" s="1"/>
  <c r="N45" i="16"/>
  <c r="AJ5" i="16"/>
  <c r="AJ15" i="16"/>
  <c r="AJ25" i="16"/>
  <c r="L48" i="16"/>
  <c r="M60" i="16"/>
  <c r="AH13" i="16"/>
  <c r="AH23" i="16"/>
  <c r="AJ17" i="16"/>
  <c r="AS5" i="16"/>
  <c r="J67" i="16"/>
  <c r="K67" i="16" s="1"/>
  <c r="AI6" i="16"/>
  <c r="AH14" i="16"/>
  <c r="AT6" i="16" s="1"/>
  <c r="AH24" i="16"/>
  <c r="AS6" i="16"/>
  <c r="M71" i="16"/>
  <c r="AH26" i="16"/>
  <c r="Y137" i="17"/>
  <c r="Z137" i="17" s="1"/>
  <c r="Y138" i="17"/>
  <c r="Y139" i="17"/>
  <c r="Z139" i="17" s="1"/>
  <c r="Y140" i="17"/>
  <c r="Z140" i="17" s="1"/>
  <c r="Y141" i="17"/>
  <c r="Y142" i="17"/>
  <c r="Z142" i="17" s="1"/>
  <c r="Y133" i="17"/>
  <c r="Z133" i="17" s="1"/>
  <c r="Y143" i="17"/>
  <c r="Z143" i="17" s="1"/>
  <c r="Y12" i="17"/>
  <c r="AF12" i="17" s="1"/>
  <c r="Y132" i="17"/>
  <c r="Y134" i="17"/>
  <c r="Z134" i="17" s="1"/>
  <c r="Y36" i="17"/>
  <c r="AF36" i="17" s="1"/>
  <c r="Y24" i="17"/>
  <c r="AF24" i="17" s="1"/>
  <c r="Y135" i="17"/>
  <c r="Y14" i="17"/>
  <c r="AF14" i="17" s="1"/>
  <c r="Y136" i="17"/>
  <c r="Z136" i="17" s="1"/>
  <c r="W8" i="9"/>
  <c r="W12" i="9"/>
  <c r="W6" i="9"/>
  <c r="W10" i="9"/>
  <c r="W11" i="9"/>
  <c r="D36" i="7"/>
  <c r="D37" i="7"/>
  <c r="D38" i="7"/>
  <c r="D39" i="7"/>
  <c r="D40" i="7"/>
  <c r="D41" i="7"/>
  <c r="M91" i="17"/>
  <c r="L6" i="8"/>
  <c r="L7" i="8"/>
  <c r="L8" i="8"/>
  <c r="L9" i="8"/>
  <c r="L10" i="8"/>
  <c r="L11" i="8"/>
  <c r="L12" i="8"/>
  <c r="L13" i="8"/>
  <c r="L14" i="8"/>
  <c r="K7" i="8"/>
  <c r="K8" i="8"/>
  <c r="K9" i="8"/>
  <c r="K10" i="8"/>
  <c r="K11" i="8"/>
  <c r="K12" i="8"/>
  <c r="K13" i="8"/>
  <c r="K14" i="8"/>
  <c r="J6" i="8"/>
  <c r="J7" i="8"/>
  <c r="J8" i="8"/>
  <c r="J9" i="8"/>
  <c r="J10" i="8"/>
  <c r="J11" i="8"/>
  <c r="J12" i="8"/>
  <c r="J13" i="8"/>
  <c r="J14" i="8"/>
  <c r="H6" i="8"/>
  <c r="H7" i="8"/>
  <c r="H8" i="8"/>
  <c r="H9" i="8"/>
  <c r="H10" i="8"/>
  <c r="H11" i="8"/>
  <c r="H12" i="8"/>
  <c r="H13" i="8"/>
  <c r="H14" i="8"/>
  <c r="AE78" i="16" l="1"/>
  <c r="AE68" i="16"/>
  <c r="AE100" i="16"/>
  <c r="AE97" i="16"/>
  <c r="AE106" i="16"/>
  <c r="AK156" i="17"/>
  <c r="AK144" i="17"/>
  <c r="AM50" i="17"/>
  <c r="AM49" i="17"/>
  <c r="AM38" i="17"/>
  <c r="AM26" i="17"/>
  <c r="AK168" i="17"/>
  <c r="AK37" i="17"/>
  <c r="O34" i="16"/>
  <c r="S34" i="16"/>
  <c r="AD86" i="16" s="1"/>
  <c r="AE86" i="16" s="1"/>
  <c r="Q34" i="16"/>
  <c r="O82" i="16"/>
  <c r="S82" i="16"/>
  <c r="Q82" i="16"/>
  <c r="AC109" i="16" s="1"/>
  <c r="O51" i="16"/>
  <c r="Q51" i="16"/>
  <c r="AC95" i="16" s="1"/>
  <c r="S51" i="16"/>
  <c r="AD95" i="16" s="1"/>
  <c r="O61" i="16"/>
  <c r="Q61" i="16"/>
  <c r="AC101" i="16" s="1"/>
  <c r="S61" i="16"/>
  <c r="AD101" i="16" s="1"/>
  <c r="AE55" i="16"/>
  <c r="Q17" i="16"/>
  <c r="AC73" i="16" s="1"/>
  <c r="S17" i="16"/>
  <c r="AD73" i="16" s="1"/>
  <c r="Q59" i="16"/>
  <c r="AC99" i="16" s="1"/>
  <c r="S59" i="16"/>
  <c r="AD99" i="16" s="1"/>
  <c r="O73" i="16"/>
  <c r="S73" i="16"/>
  <c r="AD105" i="16" s="1"/>
  <c r="Q73" i="16"/>
  <c r="AC105" i="16" s="1"/>
  <c r="Q33" i="16"/>
  <c r="AC85" i="16" s="1"/>
  <c r="S33" i="16"/>
  <c r="AD85" i="16" s="1"/>
  <c r="O43" i="16"/>
  <c r="S43" i="16"/>
  <c r="AD91" i="16" s="1"/>
  <c r="Q43" i="16"/>
  <c r="AC91" i="16" s="1"/>
  <c r="W13" i="16"/>
  <c r="X13" i="16"/>
  <c r="O77" i="16"/>
  <c r="S77" i="16"/>
  <c r="AD107" i="16" s="1"/>
  <c r="Q77" i="16"/>
  <c r="AC107" i="16" s="1"/>
  <c r="AE107" i="16" s="1"/>
  <c r="O67" i="16"/>
  <c r="S67" i="16"/>
  <c r="AD102" i="16" s="1"/>
  <c r="Q67" i="16"/>
  <c r="AC102" i="16" s="1"/>
  <c r="AE102" i="16" s="1"/>
  <c r="Q26" i="16"/>
  <c r="AC82" i="16" s="1"/>
  <c r="AE82" i="16" s="1"/>
  <c r="S26" i="16"/>
  <c r="AD82" i="16" s="1"/>
  <c r="O72" i="16"/>
  <c r="X61" i="16" s="1"/>
  <c r="Q72" i="16"/>
  <c r="AC104" i="16" s="1"/>
  <c r="AE104" i="16" s="1"/>
  <c r="S72" i="16"/>
  <c r="AD104" i="16" s="1"/>
  <c r="O50" i="16"/>
  <c r="Q50" i="16"/>
  <c r="AC94" i="16" s="1"/>
  <c r="S50" i="16"/>
  <c r="AD94" i="16" s="1"/>
  <c r="S41" i="16"/>
  <c r="AD89" i="16" s="1"/>
  <c r="Q41" i="16"/>
  <c r="AC89" i="16" s="1"/>
  <c r="Q45" i="16"/>
  <c r="AC92" i="16" s="1"/>
  <c r="S45" i="16"/>
  <c r="AD92" i="16" s="1"/>
  <c r="O52" i="16"/>
  <c r="S52" i="16"/>
  <c r="AD96" i="16" s="1"/>
  <c r="Q52" i="16"/>
  <c r="AC96" i="16" s="1"/>
  <c r="AE96" i="16" s="1"/>
  <c r="AU6" i="16"/>
  <c r="V62" i="16"/>
  <c r="AM25" i="17"/>
  <c r="AK180" i="17"/>
  <c r="AB29" i="10"/>
  <c r="AE17" i="10"/>
  <c r="AH9" i="10"/>
  <c r="W33" i="10"/>
  <c r="X33" i="10" s="1"/>
  <c r="Y25" i="10"/>
  <c r="AD25" i="10"/>
  <c r="Y37" i="10"/>
  <c r="Z37" i="10" s="1"/>
  <c r="AD37" i="10"/>
  <c r="Y32" i="10"/>
  <c r="AB32" i="10" s="1"/>
  <c r="AD32" i="10"/>
  <c r="Y33" i="10"/>
  <c r="Z33" i="10" s="1"/>
  <c r="AD33" i="10"/>
  <c r="Y8" i="10"/>
  <c r="AD8" i="10"/>
  <c r="Y20" i="10"/>
  <c r="AD20" i="10"/>
  <c r="Y14" i="10"/>
  <c r="Z14" i="10" s="1"/>
  <c r="AD14" i="10"/>
  <c r="Y10" i="10"/>
  <c r="Z10" i="10" s="1"/>
  <c r="AD10" i="10"/>
  <c r="Y45" i="10"/>
  <c r="Z45" i="10" s="1"/>
  <c r="AD45" i="10"/>
  <c r="Y26" i="10"/>
  <c r="Z26" i="10" s="1"/>
  <c r="AD26" i="10"/>
  <c r="Y12" i="10"/>
  <c r="AD12" i="10"/>
  <c r="Y42" i="10"/>
  <c r="Z42" i="10" s="1"/>
  <c r="AD42" i="10"/>
  <c r="AI13" i="10"/>
  <c r="AJ25" i="10"/>
  <c r="Y48" i="10"/>
  <c r="Z48" i="10" s="1"/>
  <c r="AD48" i="10"/>
  <c r="AE40" i="10"/>
  <c r="Y34" i="10"/>
  <c r="AD34" i="10"/>
  <c r="Y24" i="10"/>
  <c r="Z24" i="10" s="1"/>
  <c r="AD24" i="10"/>
  <c r="AE52" i="10"/>
  <c r="AH38" i="10"/>
  <c r="AH11" i="10"/>
  <c r="Y11" i="10"/>
  <c r="Z11" i="10" s="1"/>
  <c r="AD11" i="10"/>
  <c r="Y19" i="10"/>
  <c r="AE19" i="10" s="1"/>
  <c r="AD19" i="10"/>
  <c r="AB40" i="10"/>
  <c r="AE39" i="10"/>
  <c r="Y23" i="10"/>
  <c r="Z23" i="10" s="1"/>
  <c r="AD23" i="10"/>
  <c r="Y6" i="10"/>
  <c r="Z6" i="10" s="1"/>
  <c r="AD6" i="10"/>
  <c r="AB52" i="10"/>
  <c r="AJ21" i="10" s="1"/>
  <c r="AE51" i="10"/>
  <c r="AE27" i="10"/>
  <c r="AJ26" i="10" s="1"/>
  <c r="Y43" i="10"/>
  <c r="AE43" i="10" s="1"/>
  <c r="AD43" i="10"/>
  <c r="Y47" i="10"/>
  <c r="Z47" i="10" s="1"/>
  <c r="AD47" i="10"/>
  <c r="AI11" i="10"/>
  <c r="Y9" i="10"/>
  <c r="Z9" i="10" s="1"/>
  <c r="AD9" i="10"/>
  <c r="Y22" i="10"/>
  <c r="Z22" i="10" s="1"/>
  <c r="AD22" i="10"/>
  <c r="Y13" i="10"/>
  <c r="Z13" i="10" s="1"/>
  <c r="AD13" i="10"/>
  <c r="Y21" i="10"/>
  <c r="AD21" i="10"/>
  <c r="AH13" i="10"/>
  <c r="Y46" i="10"/>
  <c r="Z46" i="10" s="1"/>
  <c r="AD46" i="10"/>
  <c r="Y36" i="10"/>
  <c r="AE36" i="10" s="1"/>
  <c r="AD36" i="10"/>
  <c r="Y18" i="10"/>
  <c r="AE18" i="10" s="1"/>
  <c r="AD18" i="10"/>
  <c r="Y35" i="10"/>
  <c r="AD35" i="10"/>
  <c r="Z27" i="10"/>
  <c r="AI34" i="10" s="1"/>
  <c r="Y31" i="10"/>
  <c r="Z31" i="10" s="1"/>
  <c r="AD31" i="10"/>
  <c r="Y30" i="10"/>
  <c r="Z30" i="10" s="1"/>
  <c r="AD30" i="10"/>
  <c r="Y49" i="10"/>
  <c r="AB49" i="10" s="1"/>
  <c r="AD49" i="10"/>
  <c r="AI9" i="10"/>
  <c r="Y38" i="10"/>
  <c r="AD38" i="10"/>
  <c r="Y7" i="10"/>
  <c r="AD7" i="10"/>
  <c r="Y50" i="10"/>
  <c r="Z50" i="10" s="1"/>
  <c r="AD50" i="10"/>
  <c r="Y44" i="10"/>
  <c r="AB44" i="10" s="1"/>
  <c r="AD44" i="10"/>
  <c r="Z141" i="17"/>
  <c r="AO133" i="17"/>
  <c r="AN133" i="17"/>
  <c r="Z135" i="17"/>
  <c r="AN129" i="17"/>
  <c r="AO129" i="17"/>
  <c r="Z138" i="17"/>
  <c r="AO131" i="17"/>
  <c r="AN131" i="17"/>
  <c r="AN127" i="17"/>
  <c r="AO127" i="17"/>
  <c r="AH36" i="10"/>
  <c r="AI36" i="10"/>
  <c r="AH32" i="10"/>
  <c r="AI32" i="10"/>
  <c r="AI19" i="10"/>
  <c r="AI25" i="10"/>
  <c r="AH34" i="10"/>
  <c r="R14" i="9"/>
  <c r="T14" i="9"/>
  <c r="W39" i="9"/>
  <c r="X39" i="9"/>
  <c r="R15" i="9"/>
  <c r="T15" i="9"/>
  <c r="R19" i="9"/>
  <c r="T19" i="9"/>
  <c r="R34" i="9"/>
  <c r="T34" i="9"/>
  <c r="W44" i="9"/>
  <c r="T41" i="9"/>
  <c r="X44" i="9"/>
  <c r="R41" i="9"/>
  <c r="R27" i="9"/>
  <c r="T27" i="9"/>
  <c r="R13" i="9"/>
  <c r="T13" i="9"/>
  <c r="R46" i="9"/>
  <c r="T46" i="9"/>
  <c r="R47" i="9"/>
  <c r="T47" i="9"/>
  <c r="R50" i="9"/>
  <c r="W45" i="9"/>
  <c r="T50" i="9"/>
  <c r="X45" i="9"/>
  <c r="T42" i="9"/>
  <c r="R42" i="9"/>
  <c r="T9" i="9"/>
  <c r="R9" i="9"/>
  <c r="R51" i="9"/>
  <c r="T51" i="9"/>
  <c r="R36" i="9"/>
  <c r="T36" i="9"/>
  <c r="R25" i="9"/>
  <c r="T25" i="9"/>
  <c r="R16" i="9"/>
  <c r="T16" i="9"/>
  <c r="T28" i="9"/>
  <c r="R28" i="9"/>
  <c r="R43" i="9"/>
  <c r="T43" i="9"/>
  <c r="R23" i="9"/>
  <c r="T23" i="9"/>
  <c r="W41" i="9"/>
  <c r="R26" i="9"/>
  <c r="X41" i="9"/>
  <c r="T26" i="9"/>
  <c r="R40" i="9"/>
  <c r="T40" i="9"/>
  <c r="R35" i="9"/>
  <c r="T35" i="9"/>
  <c r="T48" i="9"/>
  <c r="R48" i="9"/>
  <c r="W42" i="9"/>
  <c r="X42" i="9"/>
  <c r="R29" i="9"/>
  <c r="T29" i="9"/>
  <c r="W40" i="9"/>
  <c r="R17" i="9"/>
  <c r="X40" i="9"/>
  <c r="T17" i="9"/>
  <c r="T21" i="9"/>
  <c r="R21" i="9"/>
  <c r="R52" i="9"/>
  <c r="T52" i="9"/>
  <c r="R11" i="9"/>
  <c r="T11" i="9"/>
  <c r="R37" i="9"/>
  <c r="T37" i="9"/>
  <c r="R12" i="9"/>
  <c r="T12" i="9"/>
  <c r="R45" i="9"/>
  <c r="T45" i="9"/>
  <c r="R44" i="9"/>
  <c r="T44" i="9"/>
  <c r="T38" i="9"/>
  <c r="W43" i="9"/>
  <c r="X43" i="9"/>
  <c r="R38" i="9"/>
  <c r="R49" i="9"/>
  <c r="T49" i="9"/>
  <c r="X38" i="9"/>
  <c r="R5" i="9"/>
  <c r="T5" i="9"/>
  <c r="W38" i="9"/>
  <c r="R32" i="9"/>
  <c r="T32" i="9"/>
  <c r="R24" i="9"/>
  <c r="T24" i="9"/>
  <c r="T39" i="9"/>
  <c r="R39" i="9"/>
  <c r="R6" i="9"/>
  <c r="T6" i="9"/>
  <c r="T8" i="9"/>
  <c r="R8" i="9"/>
  <c r="R20" i="9"/>
  <c r="T20" i="9"/>
  <c r="R30" i="9"/>
  <c r="T30" i="9"/>
  <c r="R7" i="9"/>
  <c r="T7" i="9"/>
  <c r="R33" i="9"/>
  <c r="T33" i="9"/>
  <c r="R31" i="9"/>
  <c r="T31" i="9"/>
  <c r="U14" i="10"/>
  <c r="V14" i="10" s="1"/>
  <c r="U19" i="10"/>
  <c r="V19" i="10" s="1"/>
  <c r="AI12" i="10"/>
  <c r="U7" i="10"/>
  <c r="V7" i="10" s="1"/>
  <c r="U50" i="10"/>
  <c r="V50" i="10" s="1"/>
  <c r="U20" i="10"/>
  <c r="V20" i="10" s="1"/>
  <c r="AI20" i="10"/>
  <c r="AI18" i="10"/>
  <c r="Z12" i="10"/>
  <c r="AB12" i="10"/>
  <c r="AE12" i="10"/>
  <c r="AI21" i="10"/>
  <c r="Z34" i="10"/>
  <c r="AE34" i="10"/>
  <c r="AB34" i="10"/>
  <c r="AJ20" i="10"/>
  <c r="U11" i="10"/>
  <c r="V11" i="10" s="1"/>
  <c r="Z35" i="10"/>
  <c r="AE35" i="10"/>
  <c r="AB35" i="10"/>
  <c r="AI26" i="10"/>
  <c r="U34" i="10"/>
  <c r="V34" i="10" s="1"/>
  <c r="Z44" i="10"/>
  <c r="AE46" i="10"/>
  <c r="U6" i="10"/>
  <c r="V6" i="10" s="1"/>
  <c r="Z43" i="10"/>
  <c r="AB43" i="10"/>
  <c r="AB14" i="10"/>
  <c r="Z7" i="10"/>
  <c r="AE7" i="10"/>
  <c r="AB7" i="10"/>
  <c r="AJ19" i="10"/>
  <c r="AE48" i="10"/>
  <c r="AB48" i="10"/>
  <c r="Z36" i="10"/>
  <c r="AB36" i="10"/>
  <c r="AB42" i="10"/>
  <c r="AE42" i="10"/>
  <c r="AJ28" i="10"/>
  <c r="Z21" i="10"/>
  <c r="AB21" i="10"/>
  <c r="AE21" i="10"/>
  <c r="U31" i="10"/>
  <c r="V31" i="10" s="1"/>
  <c r="Z38" i="10"/>
  <c r="AE38" i="10"/>
  <c r="AB38" i="10"/>
  <c r="AE24" i="10"/>
  <c r="AB24" i="10"/>
  <c r="U48" i="10"/>
  <c r="V48" i="10" s="1"/>
  <c r="AB11" i="10"/>
  <c r="AE11" i="10"/>
  <c r="U45" i="10"/>
  <c r="V45" i="10" s="1"/>
  <c r="Z25" i="10"/>
  <c r="AE25" i="10"/>
  <c r="AB25" i="10"/>
  <c r="U22" i="10"/>
  <c r="V22" i="10" s="1"/>
  <c r="U30" i="10"/>
  <c r="V30" i="10" s="1"/>
  <c r="Z20" i="10"/>
  <c r="AB20" i="10"/>
  <c r="AE20" i="10"/>
  <c r="AB50" i="10"/>
  <c r="AJ18" i="10"/>
  <c r="O10" i="16"/>
  <c r="Q10" i="16"/>
  <c r="AC66" i="16" s="1"/>
  <c r="AE66" i="16" s="1"/>
  <c r="AV6" i="16"/>
  <c r="O15" i="16"/>
  <c r="W6" i="16" s="1"/>
  <c r="Q15" i="16"/>
  <c r="AC71" i="16" s="1"/>
  <c r="AE71" i="16" s="1"/>
  <c r="O28" i="16"/>
  <c r="Q28" i="16"/>
  <c r="AC84" i="16" s="1"/>
  <c r="AE84" i="16" s="1"/>
  <c r="O23" i="16"/>
  <c r="Q23" i="16"/>
  <c r="AC79" i="16" s="1"/>
  <c r="AE79" i="16" s="1"/>
  <c r="O19" i="16"/>
  <c r="Q19" i="16"/>
  <c r="AC75" i="16" s="1"/>
  <c r="AE75" i="16" s="1"/>
  <c r="O13" i="16"/>
  <c r="Q13" i="16"/>
  <c r="AC69" i="16" s="1"/>
  <c r="AE69" i="16" s="1"/>
  <c r="O6" i="16"/>
  <c r="Q6" i="16"/>
  <c r="AC62" i="16" s="1"/>
  <c r="AE62" i="16" s="1"/>
  <c r="O9" i="16"/>
  <c r="Q9" i="16"/>
  <c r="AC65" i="16" s="1"/>
  <c r="AE65" i="16" s="1"/>
  <c r="O20" i="16"/>
  <c r="Q20" i="16"/>
  <c r="AC76" i="16" s="1"/>
  <c r="AE76" i="16" s="1"/>
  <c r="O7" i="16"/>
  <c r="Q7" i="16"/>
  <c r="AC63" i="16" s="1"/>
  <c r="AE63" i="16" s="1"/>
  <c r="O11" i="16"/>
  <c r="Q11" i="16"/>
  <c r="AC67" i="16" s="1"/>
  <c r="AE67" i="16" s="1"/>
  <c r="O16" i="16"/>
  <c r="Q16" i="16"/>
  <c r="AC72" i="16" s="1"/>
  <c r="AE72" i="16" s="1"/>
  <c r="O18" i="16"/>
  <c r="Q18" i="16"/>
  <c r="AC74" i="16" s="1"/>
  <c r="AE74" i="16" s="1"/>
  <c r="O8" i="16"/>
  <c r="Q8" i="16"/>
  <c r="AC64" i="16" s="1"/>
  <c r="AE64" i="16" s="1"/>
  <c r="O27" i="16"/>
  <c r="Q27" i="16"/>
  <c r="AC83" i="16" s="1"/>
  <c r="AE83" i="16" s="1"/>
  <c r="O21" i="16"/>
  <c r="Q21" i="16"/>
  <c r="AC77" i="16" s="1"/>
  <c r="AE77" i="16" s="1"/>
  <c r="AU7" i="16"/>
  <c r="AT5" i="16"/>
  <c r="AT7" i="16"/>
  <c r="AU5" i="16"/>
  <c r="M25" i="16"/>
  <c r="N25" i="16"/>
  <c r="U116" i="17"/>
  <c r="V116" i="17" s="1"/>
  <c r="AA21" i="17"/>
  <c r="AI21" i="17" s="1"/>
  <c r="AC21" i="17"/>
  <c r="AE21" i="17"/>
  <c r="AA16" i="17"/>
  <c r="AI16" i="17" s="1"/>
  <c r="AC16" i="17"/>
  <c r="AE16" i="17"/>
  <c r="AA35" i="17"/>
  <c r="AI35" i="17" s="1"/>
  <c r="AC35" i="17"/>
  <c r="AE35" i="17"/>
  <c r="AA43" i="17"/>
  <c r="AI43" i="17" s="1"/>
  <c r="AE43" i="17"/>
  <c r="AC43" i="17"/>
  <c r="AA29" i="17"/>
  <c r="AI29" i="17" s="1"/>
  <c r="AC29" i="17"/>
  <c r="AE29" i="17"/>
  <c r="AA27" i="17"/>
  <c r="AI27" i="17" s="1"/>
  <c r="AC27" i="17"/>
  <c r="AE27" i="17"/>
  <c r="AA32" i="17"/>
  <c r="AI32" i="17" s="1"/>
  <c r="AC32" i="17"/>
  <c r="AE32" i="17"/>
  <c r="AA40" i="17"/>
  <c r="AI40" i="17" s="1"/>
  <c r="AC40" i="17"/>
  <c r="AE40" i="17"/>
  <c r="AA46" i="17"/>
  <c r="AI46" i="17" s="1"/>
  <c r="AC46" i="17"/>
  <c r="AE46" i="17"/>
  <c r="AA28" i="17"/>
  <c r="AI28" i="17" s="1"/>
  <c r="AC28" i="17"/>
  <c r="AE28" i="17"/>
  <c r="AA6" i="17"/>
  <c r="AI6" i="17" s="1"/>
  <c r="AC6" i="17"/>
  <c r="AE6" i="17"/>
  <c r="AA11" i="17"/>
  <c r="AI11" i="17" s="1"/>
  <c r="AC11" i="17"/>
  <c r="AE11" i="17"/>
  <c r="AA39" i="17"/>
  <c r="AI39" i="17" s="1"/>
  <c r="AC39" i="17"/>
  <c r="AE39" i="17"/>
  <c r="AA5" i="17"/>
  <c r="AI5" i="17" s="1"/>
  <c r="AC5" i="17"/>
  <c r="AE5" i="17"/>
  <c r="AA44" i="17"/>
  <c r="AI44" i="17" s="1"/>
  <c r="AC44" i="17"/>
  <c r="AE44" i="17"/>
  <c r="AA15" i="17"/>
  <c r="AI15" i="17" s="1"/>
  <c r="AC15" i="17"/>
  <c r="AE15" i="17"/>
  <c r="AA10" i="17"/>
  <c r="AI10" i="17" s="1"/>
  <c r="AC10" i="17"/>
  <c r="AE10" i="17"/>
  <c r="AA20" i="17"/>
  <c r="AI20" i="17" s="1"/>
  <c r="AC20" i="17"/>
  <c r="AE20" i="17"/>
  <c r="AA45" i="17"/>
  <c r="AI45" i="17" s="1"/>
  <c r="AC45" i="17"/>
  <c r="AE45" i="17"/>
  <c r="AA42" i="17"/>
  <c r="AI42" i="17" s="1"/>
  <c r="AC42" i="17"/>
  <c r="AE42" i="17"/>
  <c r="AA47" i="17"/>
  <c r="AI47" i="17" s="1"/>
  <c r="AC47" i="17"/>
  <c r="AE47" i="17"/>
  <c r="AA33" i="17"/>
  <c r="AI33" i="17" s="1"/>
  <c r="AE33" i="17"/>
  <c r="AC33" i="17"/>
  <c r="AA22" i="17"/>
  <c r="AI22" i="17" s="1"/>
  <c r="AC22" i="17"/>
  <c r="AE22" i="17"/>
  <c r="AA19" i="17"/>
  <c r="AI19" i="17" s="1"/>
  <c r="AC19" i="17"/>
  <c r="AE19" i="17"/>
  <c r="AA31" i="17"/>
  <c r="AI31" i="17" s="1"/>
  <c r="AE31" i="17"/>
  <c r="AC31" i="17"/>
  <c r="AA30" i="17"/>
  <c r="AI30" i="17" s="1"/>
  <c r="AC30" i="17"/>
  <c r="AE30" i="17"/>
  <c r="U23" i="10"/>
  <c r="V23" i="10" s="1"/>
  <c r="U36" i="10"/>
  <c r="V36" i="10" s="1"/>
  <c r="U9" i="10"/>
  <c r="V9" i="10" s="1"/>
  <c r="U25" i="10"/>
  <c r="V25" i="10" s="1"/>
  <c r="U18" i="10"/>
  <c r="V18" i="10" s="1"/>
  <c r="U37" i="10"/>
  <c r="V37" i="10" s="1"/>
  <c r="Z18" i="10"/>
  <c r="U13" i="10"/>
  <c r="V13" i="10" s="1"/>
  <c r="U32" i="10"/>
  <c r="V32" i="10" s="1"/>
  <c r="O14" i="8"/>
  <c r="M14" i="8"/>
  <c r="O12" i="8"/>
  <c r="M12" i="8"/>
  <c r="O11" i="8"/>
  <c r="M11" i="8"/>
  <c r="O13" i="8"/>
  <c r="M13" i="8"/>
  <c r="O10" i="8"/>
  <c r="M10" i="8"/>
  <c r="O8" i="8"/>
  <c r="M8" i="8"/>
  <c r="O9" i="8"/>
  <c r="M9" i="8"/>
  <c r="O7" i="8"/>
  <c r="M7" i="8"/>
  <c r="N10" i="8"/>
  <c r="O6" i="8"/>
  <c r="M6" i="8"/>
  <c r="U110" i="17"/>
  <c r="V110" i="17" s="1"/>
  <c r="U124" i="17"/>
  <c r="V124" i="17" s="1"/>
  <c r="U118" i="17"/>
  <c r="V118" i="17" s="1"/>
  <c r="U95" i="17"/>
  <c r="V95" i="17" s="1"/>
  <c r="U119" i="17"/>
  <c r="V119" i="17" s="1"/>
  <c r="U105" i="17"/>
  <c r="V105" i="17" s="1"/>
  <c r="U101" i="17"/>
  <c r="V101" i="17" s="1"/>
  <c r="X34" i="17"/>
  <c r="Z34" i="17" s="1"/>
  <c r="V43" i="17"/>
  <c r="W43" i="17" s="1"/>
  <c r="V42" i="17"/>
  <c r="W42" i="17" s="1"/>
  <c r="U123" i="17"/>
  <c r="V123" i="17" s="1"/>
  <c r="M81" i="17"/>
  <c r="V39" i="17"/>
  <c r="W39" i="17" s="1"/>
  <c r="V44" i="17"/>
  <c r="W44" i="17" s="1"/>
  <c r="U114" i="17"/>
  <c r="V114" i="17" s="1"/>
  <c r="U96" i="17"/>
  <c r="V96" i="17" s="1"/>
  <c r="V40" i="17"/>
  <c r="W40" i="17" s="1"/>
  <c r="V30" i="17"/>
  <c r="W30" i="17" s="1"/>
  <c r="U127" i="17"/>
  <c r="V127" i="17" s="1"/>
  <c r="X41" i="17"/>
  <c r="Z41" i="17" s="1"/>
  <c r="M76" i="17"/>
  <c r="M24" i="17"/>
  <c r="M52" i="17"/>
  <c r="M51" i="17"/>
  <c r="M41" i="17"/>
  <c r="M72" i="17"/>
  <c r="M34" i="17"/>
  <c r="M6" i="17"/>
  <c r="M4" i="17"/>
  <c r="V6" i="17"/>
  <c r="W6" i="17" s="1"/>
  <c r="M16" i="17"/>
  <c r="M82" i="17"/>
  <c r="M14" i="17"/>
  <c r="V20" i="17"/>
  <c r="W20" i="17" s="1"/>
  <c r="M26" i="17"/>
  <c r="M32" i="17"/>
  <c r="V27" i="17"/>
  <c r="W27" i="17" s="1"/>
  <c r="V47" i="17"/>
  <c r="W47" i="17" s="1"/>
  <c r="M36" i="17"/>
  <c r="M62" i="17"/>
  <c r="V32" i="17"/>
  <c r="W32" i="17" s="1"/>
  <c r="M74" i="17"/>
  <c r="M46" i="17"/>
  <c r="M54" i="17"/>
  <c r="M66" i="17"/>
  <c r="V22" i="17"/>
  <c r="W22" i="17" s="1"/>
  <c r="M56" i="17"/>
  <c r="M31" i="17"/>
  <c r="X18" i="17"/>
  <c r="Z18" i="17" s="1"/>
  <c r="V18" i="17"/>
  <c r="W18" i="17" s="1"/>
  <c r="X4" i="17"/>
  <c r="Z4" i="17" s="1"/>
  <c r="V4" i="17"/>
  <c r="W4" i="17" s="1"/>
  <c r="X23" i="17"/>
  <c r="Z23" i="17" s="1"/>
  <c r="V23" i="17"/>
  <c r="W23" i="17" s="1"/>
  <c r="X3" i="17"/>
  <c r="Z3" i="17" s="1"/>
  <c r="V3" i="17"/>
  <c r="W3" i="17" s="1"/>
  <c r="X9" i="17"/>
  <c r="Z9" i="17" s="1"/>
  <c r="V9" i="17"/>
  <c r="W9" i="17" s="1"/>
  <c r="X8" i="17"/>
  <c r="Z8" i="17" s="1"/>
  <c r="V8" i="17"/>
  <c r="W8" i="17" s="1"/>
  <c r="V45" i="17"/>
  <c r="W45" i="17" s="1"/>
  <c r="V31" i="17"/>
  <c r="W31" i="17" s="1"/>
  <c r="V35" i="17"/>
  <c r="W35" i="17" s="1"/>
  <c r="V17" i="17"/>
  <c r="W17" i="17" s="1"/>
  <c r="X17" i="17"/>
  <c r="Z17" i="17" s="1"/>
  <c r="V15" i="17"/>
  <c r="W15" i="17" s="1"/>
  <c r="V11" i="17"/>
  <c r="W11" i="17" s="1"/>
  <c r="V5" i="17"/>
  <c r="W5" i="17" s="1"/>
  <c r="V28" i="17"/>
  <c r="W28" i="17" s="1"/>
  <c r="V29" i="17"/>
  <c r="W29" i="17" s="1"/>
  <c r="V16" i="17"/>
  <c r="W16" i="17" s="1"/>
  <c r="V10" i="17"/>
  <c r="W10" i="17" s="1"/>
  <c r="V33" i="17"/>
  <c r="W33" i="17" s="1"/>
  <c r="V21" i="17"/>
  <c r="W21" i="17" s="1"/>
  <c r="V46" i="17"/>
  <c r="W46" i="17" s="1"/>
  <c r="V19" i="17"/>
  <c r="W19" i="17" s="1"/>
  <c r="U122" i="17"/>
  <c r="V122" i="17" s="1"/>
  <c r="Y97" i="17"/>
  <c r="Z97" i="17" s="1"/>
  <c r="U97" i="17"/>
  <c r="V97" i="17" s="1"/>
  <c r="U93" i="17"/>
  <c r="V93" i="17" s="1"/>
  <c r="Y103" i="17"/>
  <c r="Z103" i="17" s="1"/>
  <c r="U103" i="17"/>
  <c r="V103" i="17" s="1"/>
  <c r="Y94" i="17"/>
  <c r="Z94" i="17" s="1"/>
  <c r="U94" i="17"/>
  <c r="V94" i="17" s="1"/>
  <c r="U120" i="17"/>
  <c r="V120" i="17" s="1"/>
  <c r="U108" i="17"/>
  <c r="V108" i="17" s="1"/>
  <c r="U98" i="17"/>
  <c r="V98" i="17" s="1"/>
  <c r="Y117" i="17"/>
  <c r="Z117" i="17" s="1"/>
  <c r="U117" i="17"/>
  <c r="V117" i="17" s="1"/>
  <c r="Y115" i="17"/>
  <c r="Z115" i="17" s="1"/>
  <c r="U115" i="17"/>
  <c r="V115" i="17" s="1"/>
  <c r="Y121" i="17"/>
  <c r="Z121" i="17" s="1"/>
  <c r="U121" i="17"/>
  <c r="V121" i="17" s="1"/>
  <c r="U100" i="17"/>
  <c r="V100" i="17" s="1"/>
  <c r="U106" i="17"/>
  <c r="V106" i="17" s="1"/>
  <c r="U126" i="17"/>
  <c r="V126" i="17" s="1"/>
  <c r="Y125" i="17"/>
  <c r="Z125" i="17" s="1"/>
  <c r="U125" i="17"/>
  <c r="V125" i="17" s="1"/>
  <c r="Y104" i="17"/>
  <c r="Z104" i="17" s="1"/>
  <c r="U104" i="17"/>
  <c r="V104" i="17" s="1"/>
  <c r="Y111" i="17"/>
  <c r="U111" i="17"/>
  <c r="V111" i="17" s="1"/>
  <c r="Y113" i="17"/>
  <c r="Z113" i="17" s="1"/>
  <c r="U113" i="17"/>
  <c r="V113" i="17" s="1"/>
  <c r="X122" i="17"/>
  <c r="U109" i="17"/>
  <c r="V109" i="17" s="1"/>
  <c r="U112" i="17"/>
  <c r="V112" i="17" s="1"/>
  <c r="Y107" i="17"/>
  <c r="Z107" i="17" s="1"/>
  <c r="U107" i="17"/>
  <c r="V107" i="17" s="1"/>
  <c r="X116" i="17"/>
  <c r="U99" i="17"/>
  <c r="V99" i="17" s="1"/>
  <c r="U102" i="17"/>
  <c r="V102" i="17" s="1"/>
  <c r="Y31" i="17"/>
  <c r="AF31" i="17" s="1"/>
  <c r="Y30" i="17"/>
  <c r="AF30" i="17" s="1"/>
  <c r="Y45" i="17"/>
  <c r="AF45" i="17" s="1"/>
  <c r="Y21" i="17"/>
  <c r="AF21" i="17" s="1"/>
  <c r="Y44" i="17"/>
  <c r="AF44" i="17" s="1"/>
  <c r="Y19" i="17"/>
  <c r="AF19" i="17" s="1"/>
  <c r="Y27" i="17"/>
  <c r="AF27" i="17" s="1"/>
  <c r="Y11" i="17"/>
  <c r="AF11" i="17" s="1"/>
  <c r="Y28" i="17"/>
  <c r="AF28" i="17" s="1"/>
  <c r="X121" i="17"/>
  <c r="X62" i="16"/>
  <c r="W62" i="16"/>
  <c r="AT8" i="16"/>
  <c r="O17" i="16"/>
  <c r="M48" i="16"/>
  <c r="N48" i="16"/>
  <c r="M55" i="16"/>
  <c r="N55" i="16"/>
  <c r="V59" i="16"/>
  <c r="O59" i="16"/>
  <c r="M40" i="16"/>
  <c r="N40" i="16"/>
  <c r="AV5" i="16"/>
  <c r="O41" i="16"/>
  <c r="W61" i="16"/>
  <c r="O33" i="16"/>
  <c r="AV7" i="16"/>
  <c r="AU8" i="16"/>
  <c r="O45" i="16"/>
  <c r="V34" i="16"/>
  <c r="M42" i="16"/>
  <c r="N42" i="16"/>
  <c r="O26" i="16"/>
  <c r="V8" i="16"/>
  <c r="V61" i="16"/>
  <c r="X6" i="16"/>
  <c r="X126" i="17"/>
  <c r="X125" i="17"/>
  <c r="Y22" i="17"/>
  <c r="AF22" i="17" s="1"/>
  <c r="Y38" i="17"/>
  <c r="AF38" i="17" s="1"/>
  <c r="Y26" i="17"/>
  <c r="AF26" i="17" s="1"/>
  <c r="Y15" i="17"/>
  <c r="AF15" i="17" s="1"/>
  <c r="Y39" i="17"/>
  <c r="AF39" i="17" s="1"/>
  <c r="Y13" i="17"/>
  <c r="AF13" i="17" s="1"/>
  <c r="Y25" i="17"/>
  <c r="AF25" i="17" s="1"/>
  <c r="Y37" i="17"/>
  <c r="AF37" i="17" s="1"/>
  <c r="Y123" i="17"/>
  <c r="Z123" i="17" s="1"/>
  <c r="Y119" i="17"/>
  <c r="Z119" i="17" s="1"/>
  <c r="Y124" i="17"/>
  <c r="Z124" i="17" s="1"/>
  <c r="Y114" i="17"/>
  <c r="Z114" i="17" s="1"/>
  <c r="Y127" i="17"/>
  <c r="Z127" i="17" s="1"/>
  <c r="Y120" i="17"/>
  <c r="Y118" i="17"/>
  <c r="Z118" i="17" s="1"/>
  <c r="Y128" i="17"/>
  <c r="Z128" i="17" s="1"/>
  <c r="Y93" i="17"/>
  <c r="X100" i="17"/>
  <c r="Y100" i="17"/>
  <c r="Z100" i="17" s="1"/>
  <c r="X108" i="17"/>
  <c r="Y108" i="17"/>
  <c r="Z108" i="17" s="1"/>
  <c r="Y102" i="17"/>
  <c r="Y95" i="17"/>
  <c r="Z95" i="17" s="1"/>
  <c r="N14" i="8"/>
  <c r="N11" i="8"/>
  <c r="N7" i="8"/>
  <c r="N6" i="8"/>
  <c r="N13" i="8"/>
  <c r="N12" i="8"/>
  <c r="N9" i="8"/>
  <c r="N8" i="8"/>
  <c r="X98" i="17"/>
  <c r="Y43" i="17"/>
  <c r="AF43" i="17" s="1"/>
  <c r="Q58" i="7"/>
  <c r="O58" i="7"/>
  <c r="R58" i="7" s="1"/>
  <c r="F58" i="7"/>
  <c r="H58" i="7" s="1"/>
  <c r="D58" i="7"/>
  <c r="I58" i="7" s="1"/>
  <c r="Q57" i="7"/>
  <c r="S57" i="7" s="1"/>
  <c r="O57" i="7"/>
  <c r="R57" i="7" s="1"/>
  <c r="F57" i="7"/>
  <c r="H57" i="7" s="1"/>
  <c r="D57" i="7"/>
  <c r="G57" i="7" s="1"/>
  <c r="Q56" i="7"/>
  <c r="S56" i="7" s="1"/>
  <c r="O56" i="7"/>
  <c r="R56" i="7" s="1"/>
  <c r="F56" i="7"/>
  <c r="H56" i="7" s="1"/>
  <c r="D56" i="7"/>
  <c r="I56" i="7" s="1"/>
  <c r="Q55" i="7"/>
  <c r="S55" i="7" s="1"/>
  <c r="O55" i="7"/>
  <c r="T55" i="7" s="1"/>
  <c r="F55" i="7"/>
  <c r="H55" i="7" s="1"/>
  <c r="D55" i="7"/>
  <c r="I55" i="7" s="1"/>
  <c r="Q54" i="7"/>
  <c r="S54" i="7" s="1"/>
  <c r="O54" i="7"/>
  <c r="F54" i="7"/>
  <c r="H54" i="7" s="1"/>
  <c r="D54" i="7"/>
  <c r="Q53" i="7"/>
  <c r="S53" i="7" s="1"/>
  <c r="O53" i="7"/>
  <c r="F53" i="7"/>
  <c r="H53" i="7" s="1"/>
  <c r="D53" i="7"/>
  <c r="Q52" i="7"/>
  <c r="O52" i="7"/>
  <c r="R52" i="7" s="1"/>
  <c r="F52" i="7"/>
  <c r="H52" i="7" s="1"/>
  <c r="D52" i="7"/>
  <c r="I52" i="7" s="1"/>
  <c r="Q51" i="7"/>
  <c r="S51" i="7" s="1"/>
  <c r="O51" i="7"/>
  <c r="R51" i="7" s="1"/>
  <c r="F51" i="7"/>
  <c r="H51" i="7" s="1"/>
  <c r="D51" i="7"/>
  <c r="G51" i="7" s="1"/>
  <c r="Q50" i="7"/>
  <c r="O50" i="7"/>
  <c r="F50" i="7"/>
  <c r="H50" i="7" s="1"/>
  <c r="D50" i="7"/>
  <c r="I50" i="7" s="1"/>
  <c r="Q44" i="7"/>
  <c r="S44" i="7" s="1"/>
  <c r="O44" i="7"/>
  <c r="T44" i="7" s="1"/>
  <c r="F44" i="7"/>
  <c r="H44" i="7" s="1"/>
  <c r="D44" i="7"/>
  <c r="Q43" i="7"/>
  <c r="S43" i="7" s="1"/>
  <c r="O43" i="7"/>
  <c r="R43" i="7" s="1"/>
  <c r="F43" i="7"/>
  <c r="H43" i="7" s="1"/>
  <c r="D43" i="7"/>
  <c r="Q42" i="7"/>
  <c r="O42" i="7"/>
  <c r="R42" i="7" s="1"/>
  <c r="F42" i="7"/>
  <c r="H42" i="7" s="1"/>
  <c r="D42" i="7"/>
  <c r="Q41" i="7"/>
  <c r="S41" i="7" s="1"/>
  <c r="O41" i="7"/>
  <c r="F41" i="7"/>
  <c r="H41" i="7" s="1"/>
  <c r="Q40" i="7"/>
  <c r="S40" i="7" s="1"/>
  <c r="O40" i="7"/>
  <c r="R40" i="7" s="1"/>
  <c r="I40" i="7"/>
  <c r="F40" i="7"/>
  <c r="H40" i="7" s="1"/>
  <c r="G40" i="7"/>
  <c r="Q39" i="7"/>
  <c r="S39" i="7" s="1"/>
  <c r="O39" i="7"/>
  <c r="T39" i="7" s="1"/>
  <c r="G39" i="7"/>
  <c r="F39" i="7"/>
  <c r="I39" i="7" s="1"/>
  <c r="Q38" i="7"/>
  <c r="S38" i="7" s="1"/>
  <c r="O38" i="7"/>
  <c r="F38" i="7"/>
  <c r="H38" i="7" s="1"/>
  <c r="Q37" i="7"/>
  <c r="S37" i="7" s="1"/>
  <c r="O37" i="7"/>
  <c r="F37" i="7"/>
  <c r="H37" i="7" s="1"/>
  <c r="R36" i="7"/>
  <c r="Q36" i="7"/>
  <c r="S36" i="7" s="1"/>
  <c r="O36" i="7"/>
  <c r="T36" i="7" s="1"/>
  <c r="F36" i="7"/>
  <c r="H36" i="7" s="1"/>
  <c r="Y35" i="7"/>
  <c r="AA33" i="7"/>
  <c r="Y33" i="7"/>
  <c r="AB33" i="7" s="1"/>
  <c r="AA32" i="7"/>
  <c r="Y32" i="7"/>
  <c r="AA31" i="7"/>
  <c r="Y31" i="7"/>
  <c r="AA30" i="7"/>
  <c r="Y30" i="7"/>
  <c r="AB30" i="7" s="1"/>
  <c r="Q30" i="7"/>
  <c r="AA29" i="7"/>
  <c r="Y29" i="7"/>
  <c r="Q29" i="7"/>
  <c r="AA28" i="7"/>
  <c r="Y28" i="7"/>
  <c r="T28" i="7"/>
  <c r="S28" i="7"/>
  <c r="R28" i="7"/>
  <c r="P28" i="7"/>
  <c r="I28" i="7"/>
  <c r="K28" i="7" s="1"/>
  <c r="G28" i="7"/>
  <c r="D28" i="7"/>
  <c r="E28" i="7" s="1"/>
  <c r="AA27" i="7"/>
  <c r="Y27" i="7"/>
  <c r="J27" i="7"/>
  <c r="I27" i="7"/>
  <c r="K27" i="7" s="1"/>
  <c r="E27" i="7"/>
  <c r="AA26" i="7"/>
  <c r="Y26" i="7"/>
  <c r="T26" i="7"/>
  <c r="S26" i="7"/>
  <c r="R26" i="7"/>
  <c r="P26" i="7"/>
  <c r="I26" i="7"/>
  <c r="K26" i="7" s="1"/>
  <c r="G26" i="7"/>
  <c r="D26" i="7"/>
  <c r="J26" i="7" s="1"/>
  <c r="AA25" i="7"/>
  <c r="Y25" i="7"/>
  <c r="J25" i="7"/>
  <c r="I25" i="7"/>
  <c r="K25" i="7" s="1"/>
  <c r="E25" i="7"/>
  <c r="AA24" i="7"/>
  <c r="Y24" i="7"/>
  <c r="J24" i="7"/>
  <c r="I24" i="7"/>
  <c r="K24" i="7" s="1"/>
  <c r="E24" i="7"/>
  <c r="AA23" i="7"/>
  <c r="Y23" i="7"/>
  <c r="J23" i="7"/>
  <c r="I23" i="7"/>
  <c r="K23" i="7" s="1"/>
  <c r="E23" i="7"/>
  <c r="AA22" i="7"/>
  <c r="Y22" i="7"/>
  <c r="J22" i="7"/>
  <c r="I22" i="7"/>
  <c r="K22" i="7" s="1"/>
  <c r="E22" i="7"/>
  <c r="J21" i="7"/>
  <c r="I21" i="7"/>
  <c r="K21" i="7" s="1"/>
  <c r="E21" i="7"/>
  <c r="J20" i="7"/>
  <c r="I20" i="7"/>
  <c r="K20" i="7" s="1"/>
  <c r="E20" i="7"/>
  <c r="AB19" i="7"/>
  <c r="Y19" i="7"/>
  <c r="AB18" i="7"/>
  <c r="AA17" i="7"/>
  <c r="Y17" i="7"/>
  <c r="AA16" i="7"/>
  <c r="Y16" i="7"/>
  <c r="AA15" i="7"/>
  <c r="Y15" i="7"/>
  <c r="Q15" i="7"/>
  <c r="O15" i="7"/>
  <c r="AA14" i="7"/>
  <c r="Y14" i="7"/>
  <c r="Q14" i="7"/>
  <c r="O14" i="7"/>
  <c r="AA13" i="7"/>
  <c r="Y13" i="7"/>
  <c r="J13" i="7"/>
  <c r="I13" i="7"/>
  <c r="K13" i="7" s="1"/>
  <c r="E13" i="7"/>
  <c r="AA12" i="7"/>
  <c r="Y12" i="7"/>
  <c r="AB12" i="7" s="1"/>
  <c r="J12" i="7"/>
  <c r="I12" i="7"/>
  <c r="K12" i="7" s="1"/>
  <c r="E12" i="7"/>
  <c r="AA11" i="7"/>
  <c r="Y11" i="7"/>
  <c r="J11" i="7"/>
  <c r="I11" i="7"/>
  <c r="K11" i="7" s="1"/>
  <c r="E11" i="7"/>
  <c r="AA10" i="7"/>
  <c r="Y10" i="7"/>
  <c r="AB10" i="7" s="1"/>
  <c r="T10" i="7"/>
  <c r="S10" i="7"/>
  <c r="R10" i="7"/>
  <c r="R14" i="7" s="1"/>
  <c r="P10" i="7"/>
  <c r="I10" i="7"/>
  <c r="K10" i="7" s="1"/>
  <c r="G10" i="7"/>
  <c r="D10" i="7"/>
  <c r="J10" i="7" s="1"/>
  <c r="AA9" i="7"/>
  <c r="Y9" i="7"/>
  <c r="AB9" i="7" s="1"/>
  <c r="J9" i="7"/>
  <c r="I9" i="7"/>
  <c r="K9" i="7" s="1"/>
  <c r="E9" i="7"/>
  <c r="AA8" i="7"/>
  <c r="Y8" i="7"/>
  <c r="T8" i="7"/>
  <c r="S8" i="7"/>
  <c r="R8" i="7"/>
  <c r="P8" i="7"/>
  <c r="U8" i="7" s="1"/>
  <c r="I8" i="7"/>
  <c r="K8" i="7" s="1"/>
  <c r="G8" i="7"/>
  <c r="D8" i="7"/>
  <c r="J8" i="7" s="1"/>
  <c r="AA7" i="7"/>
  <c r="Y7" i="7"/>
  <c r="J7" i="7"/>
  <c r="I7" i="7"/>
  <c r="K7" i="7" s="1"/>
  <c r="E7" i="7"/>
  <c r="AA6" i="7"/>
  <c r="Y6" i="7"/>
  <c r="AB6" i="7" s="1"/>
  <c r="J6" i="7"/>
  <c r="I6" i="7"/>
  <c r="K6" i="7" s="1"/>
  <c r="E6" i="7"/>
  <c r="J5" i="7"/>
  <c r="I5" i="7"/>
  <c r="K5" i="7" s="1"/>
  <c r="E5" i="7"/>
  <c r="AE73" i="16" l="1"/>
  <c r="AE91" i="16"/>
  <c r="AE101" i="16"/>
  <c r="AE85" i="16"/>
  <c r="AE92" i="16"/>
  <c r="AE105" i="16"/>
  <c r="AE95" i="16"/>
  <c r="AE89" i="16"/>
  <c r="X70" i="16"/>
  <c r="AD109" i="16"/>
  <c r="AE109" i="16" s="1"/>
  <c r="AE94" i="16"/>
  <c r="AE99" i="16"/>
  <c r="V15" i="16"/>
  <c r="U15" i="16"/>
  <c r="V67" i="16"/>
  <c r="W67" i="16"/>
  <c r="Y67" i="16"/>
  <c r="X67" i="16"/>
  <c r="V70" i="16"/>
  <c r="W70" i="16"/>
  <c r="O42" i="16"/>
  <c r="X33" i="16" s="1"/>
  <c r="S42" i="16"/>
  <c r="Q42" i="16"/>
  <c r="Y70" i="16"/>
  <c r="O40" i="16"/>
  <c r="X32" i="16" s="1"/>
  <c r="Q40" i="16"/>
  <c r="S40" i="16"/>
  <c r="V7" i="16"/>
  <c r="S25" i="16"/>
  <c r="W15" i="16"/>
  <c r="X15" i="16"/>
  <c r="S55" i="16"/>
  <c r="AD98" i="16" s="1"/>
  <c r="Q55" i="16"/>
  <c r="AC98" i="16" s="1"/>
  <c r="Y69" i="16"/>
  <c r="X69" i="16"/>
  <c r="O48" i="16"/>
  <c r="W34" i="16" s="1"/>
  <c r="Q48" i="16"/>
  <c r="S48" i="16"/>
  <c r="V13" i="16"/>
  <c r="U13" i="16"/>
  <c r="W69" i="16"/>
  <c r="V69" i="16"/>
  <c r="I37" i="7"/>
  <c r="T37" i="7"/>
  <c r="AB29" i="7"/>
  <c r="AB14" i="7"/>
  <c r="U14" i="7"/>
  <c r="I44" i="7"/>
  <c r="U10" i="7"/>
  <c r="AB23" i="7"/>
  <c r="AB25" i="7"/>
  <c r="AB17" i="7"/>
  <c r="AB34" i="7"/>
  <c r="I43" i="7"/>
  <c r="T53" i="7"/>
  <c r="T57" i="7"/>
  <c r="I41" i="7"/>
  <c r="R53" i="7"/>
  <c r="G50" i="7"/>
  <c r="T51" i="7"/>
  <c r="I54" i="7"/>
  <c r="R30" i="7"/>
  <c r="S29" i="7"/>
  <c r="T43" i="7"/>
  <c r="O60" i="7"/>
  <c r="P29" i="7"/>
  <c r="L27" i="7" s="1"/>
  <c r="S14" i="7"/>
  <c r="T14" i="7"/>
  <c r="T29" i="7"/>
  <c r="AB7" i="7"/>
  <c r="AB8" i="7"/>
  <c r="AB11" i="7"/>
  <c r="AB13" i="7"/>
  <c r="AB26" i="7"/>
  <c r="I36" i="7"/>
  <c r="I53" i="7"/>
  <c r="L5" i="7"/>
  <c r="AB27" i="7"/>
  <c r="AB32" i="7"/>
  <c r="T38" i="7"/>
  <c r="I42" i="7"/>
  <c r="T56" i="7"/>
  <c r="T42" i="7"/>
  <c r="Q60" i="7"/>
  <c r="H39" i="7"/>
  <c r="H45" i="7" s="1"/>
  <c r="R50" i="7"/>
  <c r="T58" i="7"/>
  <c r="AB16" i="7"/>
  <c r="T40" i="7"/>
  <c r="R15" i="7"/>
  <c r="U28" i="7"/>
  <c r="T52" i="7"/>
  <c r="I57" i="7"/>
  <c r="G54" i="7"/>
  <c r="G56" i="7"/>
  <c r="AA18" i="7"/>
  <c r="S15" i="7"/>
  <c r="T15" i="7"/>
  <c r="Y34" i="7"/>
  <c r="AB31" i="7"/>
  <c r="D45" i="7"/>
  <c r="R39" i="7"/>
  <c r="T41" i="7"/>
  <c r="I51" i="7"/>
  <c r="P15" i="7"/>
  <c r="P14" i="7"/>
  <c r="L6" i="7" s="1"/>
  <c r="L7" i="7"/>
  <c r="AB15" i="7"/>
  <c r="AA34" i="7"/>
  <c r="AB24" i="7"/>
  <c r="AB28" i="7"/>
  <c r="Q46" i="7"/>
  <c r="T54" i="7"/>
  <c r="AK43" i="17"/>
  <c r="AK46" i="17"/>
  <c r="AM33" i="17"/>
  <c r="AM11" i="17"/>
  <c r="AK16" i="17"/>
  <c r="AM31" i="17"/>
  <c r="AM29" i="17"/>
  <c r="AK20" i="17"/>
  <c r="AK40" i="17"/>
  <c r="AM47" i="17"/>
  <c r="AK6" i="17"/>
  <c r="AK21" i="17"/>
  <c r="AE50" i="10"/>
  <c r="AI6" i="10"/>
  <c r="AE10" i="10"/>
  <c r="AE9" i="10"/>
  <c r="AB46" i="10"/>
  <c r="AG21" i="10" s="1"/>
  <c r="AB10" i="10"/>
  <c r="AB19" i="10"/>
  <c r="AE23" i="10"/>
  <c r="AB47" i="10"/>
  <c r="AB37" i="10"/>
  <c r="AB6" i="10"/>
  <c r="AB9" i="10"/>
  <c r="Z19" i="10"/>
  <c r="AH33" i="10" s="1"/>
  <c r="AE31" i="10"/>
  <c r="AE47" i="10"/>
  <c r="AE44" i="10"/>
  <c r="Z32" i="10"/>
  <c r="AI35" i="10" s="1"/>
  <c r="AJ27" i="10"/>
  <c r="AE30" i="10"/>
  <c r="AG27" i="10" s="1"/>
  <c r="AI28" i="10"/>
  <c r="AB30" i="10"/>
  <c r="AI8" i="10"/>
  <c r="Z49" i="10"/>
  <c r="AI37" i="10" s="1"/>
  <c r="Z8" i="10"/>
  <c r="AH31" i="10" s="1"/>
  <c r="AE8" i="10"/>
  <c r="AB8" i="10"/>
  <c r="AB31" i="10"/>
  <c r="AH20" i="10" s="1"/>
  <c r="AE22" i="10"/>
  <c r="AH26" i="10" s="1"/>
  <c r="AI27" i="10"/>
  <c r="AE13" i="10"/>
  <c r="AH10" i="10"/>
  <c r="AH8" i="10"/>
  <c r="AB18" i="10"/>
  <c r="AE14" i="10"/>
  <c r="AE37" i="10"/>
  <c r="AB22" i="10"/>
  <c r="AE6" i="10"/>
  <c r="AB13" i="10"/>
  <c r="AG18" i="10" s="1"/>
  <c r="AH37" i="10"/>
  <c r="AI10" i="10"/>
  <c r="AH12" i="10"/>
  <c r="AB33" i="10"/>
  <c r="AB23" i="10"/>
  <c r="AB26" i="10"/>
  <c r="AE49" i="10"/>
  <c r="AE32" i="10"/>
  <c r="AE45" i="10"/>
  <c r="AG28" i="10" s="1"/>
  <c r="AE33" i="10"/>
  <c r="AE26" i="10"/>
  <c r="AB45" i="10"/>
  <c r="AH21" i="10" s="1"/>
  <c r="AH6" i="10"/>
  <c r="AK45" i="17"/>
  <c r="AM45" i="17"/>
  <c r="Z111" i="17"/>
  <c r="AO130" i="17"/>
  <c r="AN130" i="17"/>
  <c r="AK11" i="17"/>
  <c r="AM16" i="17"/>
  <c r="AK30" i="17"/>
  <c r="AM30" i="17"/>
  <c r="AK31" i="17"/>
  <c r="AM44" i="17"/>
  <c r="AK44" i="17"/>
  <c r="AK29" i="17"/>
  <c r="AM20" i="17"/>
  <c r="Z120" i="17"/>
  <c r="AO132" i="17"/>
  <c r="AN132" i="17"/>
  <c r="AK47" i="17"/>
  <c r="AM43" i="17"/>
  <c r="Z102" i="17"/>
  <c r="AK32" i="17"/>
  <c r="AM32" i="17"/>
  <c r="AM42" i="17"/>
  <c r="AK42" i="17"/>
  <c r="AK28" i="17"/>
  <c r="AM28" i="17"/>
  <c r="AM22" i="17"/>
  <c r="AK22" i="17"/>
  <c r="AM35" i="17"/>
  <c r="AK35" i="17"/>
  <c r="AI33" i="10"/>
  <c r="AI31" i="10"/>
  <c r="W31" i="9"/>
  <c r="X31" i="9"/>
  <c r="W30" i="9"/>
  <c r="X30" i="9"/>
  <c r="W32" i="9"/>
  <c r="X32" i="9"/>
  <c r="X20" i="9"/>
  <c r="W20" i="9"/>
  <c r="X21" i="9"/>
  <c r="W21" i="9"/>
  <c r="W19" i="9"/>
  <c r="X19" i="9"/>
  <c r="W18" i="9"/>
  <c r="X18" i="9"/>
  <c r="W27" i="9"/>
  <c r="X27" i="9"/>
  <c r="W34" i="9"/>
  <c r="X34" i="9"/>
  <c r="W16" i="9"/>
  <c r="X16" i="9"/>
  <c r="W22" i="9"/>
  <c r="X22" i="9"/>
  <c r="W23" i="9"/>
  <c r="X23" i="9"/>
  <c r="W29" i="9"/>
  <c r="X29" i="9"/>
  <c r="W33" i="9"/>
  <c r="X33" i="9"/>
  <c r="W28" i="9"/>
  <c r="X28" i="9"/>
  <c r="W17" i="9"/>
  <c r="X17" i="9"/>
  <c r="AH28" i="10"/>
  <c r="Q7" i="8"/>
  <c r="S7" i="8"/>
  <c r="S11" i="8"/>
  <c r="Q11" i="8"/>
  <c r="Q9" i="8"/>
  <c r="S9" i="8"/>
  <c r="Q14" i="8"/>
  <c r="S14" i="8"/>
  <c r="Q8" i="8"/>
  <c r="S8" i="8"/>
  <c r="Q10" i="8"/>
  <c r="S10" i="8"/>
  <c r="Q12" i="8"/>
  <c r="S12" i="8"/>
  <c r="S6" i="8"/>
  <c r="Q6" i="8"/>
  <c r="O15" i="8"/>
  <c r="Q13" i="8"/>
  <c r="S13" i="8"/>
  <c r="O25" i="16"/>
  <c r="Q25" i="16"/>
  <c r="AA3" i="17"/>
  <c r="AI3" i="17" s="1"/>
  <c r="AE3" i="17"/>
  <c r="AC3" i="17"/>
  <c r="AA4" i="17"/>
  <c r="AI4" i="17" s="1"/>
  <c r="AE4" i="17"/>
  <c r="AC4" i="17"/>
  <c r="AA41" i="17"/>
  <c r="AI41" i="17" s="1"/>
  <c r="AE41" i="17"/>
  <c r="AC41" i="17"/>
  <c r="AA8" i="17"/>
  <c r="AI8" i="17" s="1"/>
  <c r="AC8" i="17"/>
  <c r="AE8" i="17"/>
  <c r="AA18" i="17"/>
  <c r="AI18" i="17" s="1"/>
  <c r="AC18" i="17"/>
  <c r="AE18" i="17"/>
  <c r="AA34" i="17"/>
  <c r="AI34" i="17" s="1"/>
  <c r="AE34" i="17"/>
  <c r="AC34" i="17"/>
  <c r="AA23" i="17"/>
  <c r="AI23" i="17" s="1"/>
  <c r="AE23" i="17"/>
  <c r="AC23" i="17"/>
  <c r="AA9" i="17"/>
  <c r="AI9" i="17" s="1"/>
  <c r="AC9" i="17"/>
  <c r="AE9" i="17"/>
  <c r="AA17" i="17"/>
  <c r="AI17" i="17" s="1"/>
  <c r="AC17" i="17"/>
  <c r="AE17" i="17"/>
  <c r="U6" i="8"/>
  <c r="V34" i="17"/>
  <c r="W34" i="17" s="1"/>
  <c r="V41" i="17"/>
  <c r="W41" i="17" s="1"/>
  <c r="Y4" i="17"/>
  <c r="AF4" i="17" s="1"/>
  <c r="Y34" i="17"/>
  <c r="AF34" i="17" s="1"/>
  <c r="Y8" i="17"/>
  <c r="AF8" i="17" s="1"/>
  <c r="Y3" i="17"/>
  <c r="AF3" i="17" s="1"/>
  <c r="X7" i="17"/>
  <c r="V7" i="17"/>
  <c r="W7" i="17" s="1"/>
  <c r="X107" i="17"/>
  <c r="X104" i="17"/>
  <c r="X113" i="17"/>
  <c r="X94" i="17"/>
  <c r="X115" i="17"/>
  <c r="X117" i="17"/>
  <c r="X103" i="17"/>
  <c r="Y46" i="17"/>
  <c r="AF46" i="17" s="1"/>
  <c r="Y17" i="17"/>
  <c r="AF17" i="17" s="1"/>
  <c r="Y18" i="17"/>
  <c r="AF18" i="17" s="1"/>
  <c r="Y47" i="17"/>
  <c r="AF47" i="17" s="1"/>
  <c r="Y29" i="17"/>
  <c r="AF29" i="17" s="1"/>
  <c r="Y20" i="17"/>
  <c r="AF20" i="17" s="1"/>
  <c r="Y6" i="17"/>
  <c r="AF6" i="17" s="1"/>
  <c r="Y9" i="17"/>
  <c r="AF9" i="17" s="1"/>
  <c r="Y41" i="17"/>
  <c r="AF41" i="17" s="1"/>
  <c r="Y23" i="17"/>
  <c r="AF23" i="17" s="1"/>
  <c r="Y42" i="17"/>
  <c r="AF42" i="17" s="1"/>
  <c r="Y5" i="17"/>
  <c r="AF5" i="17" s="1"/>
  <c r="Y40" i="17"/>
  <c r="AF40" i="17" s="1"/>
  <c r="Y10" i="17"/>
  <c r="AF10" i="17" s="1"/>
  <c r="Y32" i="17"/>
  <c r="AF32" i="17" s="1"/>
  <c r="Y16" i="17"/>
  <c r="AF16" i="17" s="1"/>
  <c r="Y33" i="17"/>
  <c r="AF33" i="17" s="1"/>
  <c r="W33" i="16"/>
  <c r="O55" i="16"/>
  <c r="V35" i="16"/>
  <c r="V33" i="16"/>
  <c r="X8" i="16"/>
  <c r="W8" i="16"/>
  <c r="X7" i="16"/>
  <c r="W7" i="16"/>
  <c r="W32" i="16"/>
  <c r="X59" i="16"/>
  <c r="W59" i="16"/>
  <c r="X124" i="17"/>
  <c r="X119" i="17"/>
  <c r="X127" i="17"/>
  <c r="Y35" i="17"/>
  <c r="AF35" i="17" s="1"/>
  <c r="X128" i="17"/>
  <c r="X118" i="17"/>
  <c r="X114" i="17"/>
  <c r="X123" i="17"/>
  <c r="X101" i="17"/>
  <c r="Y101" i="17"/>
  <c r="Z101" i="17" s="1"/>
  <c r="X96" i="17"/>
  <c r="Y96" i="17"/>
  <c r="Z96" i="17" s="1"/>
  <c r="X110" i="17"/>
  <c r="Y110" i="17"/>
  <c r="Z110" i="17" s="1"/>
  <c r="X105" i="17"/>
  <c r="Y105" i="17"/>
  <c r="Z105" i="17" s="1"/>
  <c r="X99" i="17"/>
  <c r="X112" i="17"/>
  <c r="X109" i="17"/>
  <c r="X97" i="17"/>
  <c r="X93" i="17"/>
  <c r="X111" i="17"/>
  <c r="X95" i="17"/>
  <c r="X106" i="17"/>
  <c r="X102" i="17"/>
  <c r="E10" i="7"/>
  <c r="E8" i="7"/>
  <c r="AA35" i="7"/>
  <c r="G38" i="7"/>
  <c r="R41" i="7"/>
  <c r="S42" i="7"/>
  <c r="S52" i="7"/>
  <c r="G55" i="7"/>
  <c r="S58" i="7"/>
  <c r="AB35" i="7"/>
  <c r="O45" i="7"/>
  <c r="AB22" i="7"/>
  <c r="U26" i="7"/>
  <c r="P30" i="7"/>
  <c r="G37" i="7"/>
  <c r="I38" i="7"/>
  <c r="G44" i="7"/>
  <c r="Q45" i="7"/>
  <c r="D59" i="7"/>
  <c r="Y18" i="7"/>
  <c r="D46" i="7"/>
  <c r="G53" i="7"/>
  <c r="G36" i="7"/>
  <c r="G43" i="7"/>
  <c r="S50" i="7"/>
  <c r="U15" i="7"/>
  <c r="S30" i="7"/>
  <c r="R38" i="7"/>
  <c r="T50" i="7"/>
  <c r="R55" i="7"/>
  <c r="Q59" i="7"/>
  <c r="E26" i="7"/>
  <c r="J28" i="7"/>
  <c r="T30" i="7"/>
  <c r="G42" i="7"/>
  <c r="O46" i="7"/>
  <c r="G52" i="7"/>
  <c r="G58" i="7"/>
  <c r="D60" i="7"/>
  <c r="AA19" i="7"/>
  <c r="R29" i="7"/>
  <c r="R37" i="7"/>
  <c r="G41" i="7"/>
  <c r="R44" i="7"/>
  <c r="R54" i="7"/>
  <c r="O59" i="7"/>
  <c r="Y41" i="7" s="1"/>
  <c r="AC23" i="7" s="1"/>
  <c r="V14" i="16" l="1"/>
  <c r="AC81" i="16"/>
  <c r="W14" i="16"/>
  <c r="AD81" i="16"/>
  <c r="AE98" i="16"/>
  <c r="X40" i="16"/>
  <c r="AD90" i="16"/>
  <c r="X41" i="16"/>
  <c r="AD93" i="16"/>
  <c r="X39" i="16"/>
  <c r="AD88" i="16"/>
  <c r="Y40" i="16"/>
  <c r="V39" i="16"/>
  <c r="AC88" i="16"/>
  <c r="AE88" i="16" s="1"/>
  <c r="W41" i="16"/>
  <c r="AC93" i="16"/>
  <c r="V40" i="16"/>
  <c r="AC90" i="16"/>
  <c r="W40" i="16"/>
  <c r="AG39" i="17"/>
  <c r="AG15" i="17"/>
  <c r="AG27" i="17"/>
  <c r="W39" i="16"/>
  <c r="V42" i="16"/>
  <c r="W42" i="16"/>
  <c r="U14" i="16"/>
  <c r="V41" i="16"/>
  <c r="X34" i="16"/>
  <c r="Y41" i="16"/>
  <c r="X42" i="16"/>
  <c r="Y42" i="16"/>
  <c r="Y39" i="16"/>
  <c r="X14" i="16"/>
  <c r="AE23" i="7"/>
  <c r="AG23" i="7"/>
  <c r="AC32" i="7"/>
  <c r="Y40" i="7"/>
  <c r="AC27" i="7"/>
  <c r="AC31" i="7"/>
  <c r="AC28" i="7"/>
  <c r="AC29" i="7"/>
  <c r="AC30" i="7"/>
  <c r="AC22" i="7"/>
  <c r="AC33" i="7"/>
  <c r="AC25" i="7"/>
  <c r="AC26" i="7"/>
  <c r="AC24" i="7"/>
  <c r="L26" i="7"/>
  <c r="L21" i="7"/>
  <c r="H46" i="7"/>
  <c r="L10" i="7"/>
  <c r="L28" i="7"/>
  <c r="L24" i="7"/>
  <c r="L20" i="7"/>
  <c r="L12" i="7"/>
  <c r="L25" i="7"/>
  <c r="L8" i="7"/>
  <c r="L13" i="7"/>
  <c r="L23" i="7"/>
  <c r="L22" i="7"/>
  <c r="L11" i="7"/>
  <c r="L9" i="7"/>
  <c r="G60" i="7"/>
  <c r="AK33" i="17"/>
  <c r="AM21" i="17"/>
  <c r="AR5" i="17"/>
  <c r="AS5" i="17"/>
  <c r="AM36" i="17"/>
  <c r="AK36" i="17"/>
  <c r="AK48" i="17"/>
  <c r="AM48" i="17"/>
  <c r="AR6" i="17"/>
  <c r="AS6" i="17"/>
  <c r="AM40" i="17"/>
  <c r="AQ4" i="17"/>
  <c r="AM46" i="17"/>
  <c r="AM6" i="17"/>
  <c r="AM12" i="17"/>
  <c r="AS3" i="17"/>
  <c r="AK12" i="17"/>
  <c r="AR3" i="17"/>
  <c r="AH35" i="10"/>
  <c r="AH19" i="10"/>
  <c r="AH27" i="10"/>
  <c r="AG19" i="10"/>
  <c r="AG26" i="10"/>
  <c r="AG25" i="10"/>
  <c r="AH25" i="10"/>
  <c r="AH18" i="10"/>
  <c r="AG20" i="10"/>
  <c r="AQ37" i="17"/>
  <c r="AP35" i="17"/>
  <c r="AK17" i="17"/>
  <c r="AM17" i="17"/>
  <c r="AP37" i="17"/>
  <c r="AO128" i="17"/>
  <c r="AQ35" i="17"/>
  <c r="AK4" i="17"/>
  <c r="AM4" i="17"/>
  <c r="AK27" i="17"/>
  <c r="AM27" i="17"/>
  <c r="AN128" i="17"/>
  <c r="AM15" i="17"/>
  <c r="AK15" i="17"/>
  <c r="AK18" i="17"/>
  <c r="AM18" i="17"/>
  <c r="AQ39" i="17"/>
  <c r="AO126" i="17"/>
  <c r="AP39" i="17"/>
  <c r="AN126" i="17"/>
  <c r="AQ6" i="17"/>
  <c r="AM41" i="17"/>
  <c r="AK41" i="17"/>
  <c r="AP5" i="17"/>
  <c r="AP46" i="17" s="1"/>
  <c r="AM34" i="17"/>
  <c r="AK34" i="17"/>
  <c r="AK9" i="17"/>
  <c r="AM9" i="17"/>
  <c r="AK39" i="17"/>
  <c r="AM39" i="17"/>
  <c r="AP6" i="17"/>
  <c r="AP47" i="17" s="1"/>
  <c r="U8" i="8"/>
  <c r="V8" i="8"/>
  <c r="U10" i="8"/>
  <c r="AQ5" i="17"/>
  <c r="Z7" i="17"/>
  <c r="Y7" i="17"/>
  <c r="AF7" i="17" s="1"/>
  <c r="AG3" i="17" s="1"/>
  <c r="W35" i="16"/>
  <c r="X35" i="16"/>
  <c r="U30" i="7"/>
  <c r="U29" i="7"/>
  <c r="G46" i="7"/>
  <c r="G45" i="7"/>
  <c r="G59" i="7"/>
  <c r="AE81" i="16" l="1"/>
  <c r="AE93" i="16"/>
  <c r="AE90" i="16"/>
  <c r="AC35" i="7"/>
  <c r="AE22" i="7"/>
  <c r="AC34" i="7"/>
  <c r="AG22" i="7"/>
  <c r="AG30" i="7"/>
  <c r="AE30" i="7"/>
  <c r="AE28" i="7"/>
  <c r="AG28" i="7"/>
  <c r="AG31" i="7"/>
  <c r="AE31" i="7"/>
  <c r="AE27" i="7"/>
  <c r="AG27" i="7"/>
  <c r="AC8" i="7"/>
  <c r="AC9" i="7"/>
  <c r="AC7" i="7"/>
  <c r="AC17" i="7"/>
  <c r="AC14" i="7"/>
  <c r="AC15" i="7"/>
  <c r="AC13" i="7"/>
  <c r="AC10" i="7"/>
  <c r="AC16" i="7"/>
  <c r="AC12" i="7"/>
  <c r="AC11" i="7"/>
  <c r="AC6" i="7"/>
  <c r="AG26" i="7"/>
  <c r="AE26" i="7"/>
  <c r="AE32" i="7"/>
  <c r="AG32" i="7"/>
  <c r="AG29" i="7"/>
  <c r="AE29" i="7"/>
  <c r="AG24" i="7"/>
  <c r="AE24" i="7"/>
  <c r="AG25" i="7"/>
  <c r="AE25" i="7"/>
  <c r="AG33" i="7"/>
  <c r="AE33" i="7"/>
  <c r="AP4" i="17"/>
  <c r="AP45" i="17" s="1"/>
  <c r="AQ12" i="17"/>
  <c r="AP12" i="17"/>
  <c r="AK23" i="17"/>
  <c r="AR12" i="17"/>
  <c r="AS12" i="17"/>
  <c r="AK5" i="17"/>
  <c r="AM5" i="17"/>
  <c r="AS16" i="17"/>
  <c r="AR16" i="17"/>
  <c r="AS18" i="17"/>
  <c r="AR18" i="17"/>
  <c r="AM23" i="17"/>
  <c r="AP18" i="17"/>
  <c r="AQ18" i="17"/>
  <c r="AP16" i="17"/>
  <c r="AQ16" i="17"/>
  <c r="AK24" i="17"/>
  <c r="AS4" i="17"/>
  <c r="AR4" i="17"/>
  <c r="AM24" i="17"/>
  <c r="AK19" i="17"/>
  <c r="AM19" i="17"/>
  <c r="AK10" i="17"/>
  <c r="AM10" i="17"/>
  <c r="AM3" i="17"/>
  <c r="AK3" i="17"/>
  <c r="AQ15" i="17"/>
  <c r="AP15" i="17"/>
  <c r="AR17" i="17"/>
  <c r="AS17" i="17"/>
  <c r="AP17" i="17"/>
  <c r="AQ17" i="17"/>
  <c r="AS15" i="17"/>
  <c r="AR15" i="17"/>
  <c r="AA7" i="17"/>
  <c r="AI7" i="17" s="1"/>
  <c r="AC7" i="17"/>
  <c r="AE7" i="17"/>
  <c r="J5" i="16"/>
  <c r="K5" i="16" s="1"/>
  <c r="L5" i="16"/>
  <c r="N5" i="16" s="1"/>
  <c r="AR13" i="17" l="1"/>
  <c r="AP13" i="17"/>
  <c r="AQ13" i="17"/>
  <c r="AE13" i="7"/>
  <c r="AG13" i="7"/>
  <c r="AE15" i="7"/>
  <c r="AG15" i="7"/>
  <c r="AG14" i="7"/>
  <c r="AE14" i="7"/>
  <c r="AG17" i="7"/>
  <c r="AE17" i="7"/>
  <c r="AG7" i="7"/>
  <c r="AE7" i="7"/>
  <c r="AC18" i="7"/>
  <c r="AC19" i="7"/>
  <c r="AG6" i="7"/>
  <c r="AE6" i="7"/>
  <c r="AG9" i="7"/>
  <c r="AE9" i="7"/>
  <c r="AG35" i="7"/>
  <c r="AG34" i="7"/>
  <c r="AE8" i="7"/>
  <c r="AG8" i="7"/>
  <c r="AE35" i="7"/>
  <c r="AE34" i="7"/>
  <c r="AG10" i="7"/>
  <c r="AE10" i="7"/>
  <c r="AG11" i="7"/>
  <c r="AE11" i="7"/>
  <c r="AG12" i="7"/>
  <c r="AE12" i="7"/>
  <c r="AE16" i="7"/>
  <c r="AG16" i="7"/>
  <c r="AS13" i="17"/>
  <c r="AR14" i="17"/>
  <c r="AS14" i="17"/>
  <c r="AP14" i="17"/>
  <c r="AQ14" i="17"/>
  <c r="AK8" i="17"/>
  <c r="AM8" i="17"/>
  <c r="AP33" i="17"/>
  <c r="AQ33" i="17"/>
  <c r="S5" i="16"/>
  <c r="AD61" i="16" s="1"/>
  <c r="Q5" i="16"/>
  <c r="AC61" i="16" s="1"/>
  <c r="AE61" i="16" s="1"/>
  <c r="O5" i="16"/>
  <c r="M5" i="16"/>
  <c r="AE111" i="16" l="1"/>
  <c r="AE110" i="16"/>
  <c r="X12" i="16"/>
  <c r="X17" i="16" s="1"/>
  <c r="W12" i="16"/>
  <c r="W17" i="16" s="1"/>
  <c r="U12" i="16"/>
  <c r="U17" i="16" s="1"/>
  <c r="W19" i="16" s="1"/>
  <c r="V12" i="16"/>
  <c r="AG19" i="7"/>
  <c r="AG18" i="7"/>
  <c r="AE19" i="7"/>
  <c r="AE18" i="7"/>
  <c r="AQ3" i="17"/>
  <c r="AK7" i="17"/>
  <c r="AM7" i="17"/>
  <c r="AP3" i="17"/>
  <c r="AP44" i="17" s="1"/>
  <c r="W5" i="16"/>
  <c r="X5" i="16"/>
  <c r="AS11" i="17" l="1"/>
  <c r="AR11" i="17"/>
  <c r="AP11" i="17"/>
  <c r="AQ11"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<sst xmlns="http://schemas.openxmlformats.org/spreadsheetml/2006/main" count="4014" uniqueCount="1161">
  <si>
    <t xml:space="preserve">May 2020- Aug 2022 Plant Samples from E26 </t>
  </si>
  <si>
    <t xml:space="preserve">Nicole's Master's Period </t>
  </si>
  <si>
    <t>Plant Procedure:</t>
  </si>
  <si>
    <t xml:space="preserve">QUESTIONS: </t>
  </si>
  <si>
    <t>1. Collect Samples</t>
  </si>
  <si>
    <t xml:space="preserve">2. Weight samples before oven drying them. </t>
  </si>
  <si>
    <t xml:space="preserve">3. Weigh samples after oven drying and record in a shared excel file. </t>
  </si>
  <si>
    <t xml:space="preserve">4. Collect a sub sample. </t>
  </si>
  <si>
    <t xml:space="preserve">5. Grind sub-samples, label and prepare to send. </t>
  </si>
  <si>
    <t>6. Send samples to commercial lab for C &amp; N analysis.</t>
  </si>
  <si>
    <t xml:space="preserve">7. Recieve data back! Nicole is interested in N data and Jacob is interested in C data. </t>
  </si>
  <si>
    <t xml:space="preserve">TBC = To be collected </t>
  </si>
  <si>
    <t>ND = No data (YET!)</t>
  </si>
  <si>
    <t>Plant Samples</t>
  </si>
  <si>
    <t>Next Steps:</t>
  </si>
  <si>
    <t>Sampling Date:</t>
  </si>
  <si>
    <t>DOY:</t>
  </si>
  <si>
    <t xml:space="preserve">Status: </t>
  </si>
  <si>
    <t>Current Location:</t>
  </si>
  <si>
    <t>Weigh Wet</t>
  </si>
  <si>
    <t>Weigh Dry</t>
  </si>
  <si>
    <t>Collect Sub-Sample</t>
  </si>
  <si>
    <t>Grind Sub-sample</t>
  </si>
  <si>
    <t xml:space="preserve">Send for C/N Analysis </t>
  </si>
  <si>
    <t>Data Recorded/Stored:</t>
  </si>
  <si>
    <t>Notes:</t>
  </si>
  <si>
    <t>Collected, dried, threshed, and weighed (wet &amp; dry).</t>
  </si>
  <si>
    <t>ALEX Room 113</t>
  </si>
  <si>
    <t>✓</t>
  </si>
  <si>
    <t xml:space="preserve">Weights recorded on shared excel file. </t>
  </si>
  <si>
    <t xml:space="preserve">Wheat harvestest. </t>
  </si>
  <si>
    <t xml:space="preserve">Soybean collected at the end of season. </t>
  </si>
  <si>
    <t xml:space="preserve">Collected, dried, weighed (wet &amp; dry), and stored. </t>
  </si>
  <si>
    <t xml:space="preserve">Shared Excel File </t>
  </si>
  <si>
    <t xml:space="preserve">Cover crop stover collected weighed and dried, pre-winter. </t>
  </si>
  <si>
    <t xml:space="preserve">Raddish root bodies collected, weighed and dried. </t>
  </si>
  <si>
    <t xml:space="preserve">Sampled cover crops the spring before they're terminated to plant corn. The cover crops where about 35Cm tall when terminated and not given much time to metabolize the herbicide before they were cultivated  into the soil. We'll see how this goes. </t>
  </si>
  <si>
    <t>23-Jun-21 *</t>
  </si>
  <si>
    <t>Corn was sampled about 1 week post fertilization while CC were being interseeded into P3&amp;P4.*</t>
  </si>
  <si>
    <t>July 20 &amp; 21 *</t>
  </si>
  <si>
    <t>201-202</t>
  </si>
  <si>
    <t xml:space="preserve">Collected, dried, weighed (wet &amp; dry),sub-sampled  and stored. </t>
  </si>
  <si>
    <t>Corn was sampled just prior to pollen drop.*</t>
  </si>
  <si>
    <t>October 19 &amp; 20</t>
  </si>
  <si>
    <t>292-293</t>
  </si>
  <si>
    <t>Collected, dried, de-kernelled, and weighed (wet &amp; dry).</t>
  </si>
  <si>
    <t>Harvest Sample, also sampled CC. DID NOT sample cc again before winter due to lack of growth.</t>
  </si>
  <si>
    <t>*MOLDY</t>
  </si>
  <si>
    <t xml:space="preserve">Samples leaked on in lab leak, so they were moved to a humid shed. The samples ended up moldy and some were destroyed. </t>
  </si>
  <si>
    <t>Sample ID</t>
  </si>
  <si>
    <t>Year</t>
  </si>
  <si>
    <t xml:space="preserve">Crop </t>
  </si>
  <si>
    <t>Plot</t>
  </si>
  <si>
    <t>&lt;- GRAIN</t>
  </si>
  <si>
    <t>CC &amp; RESIDUE -&gt;</t>
  </si>
  <si>
    <t>20-1</t>
  </si>
  <si>
    <t>Soy</t>
  </si>
  <si>
    <t>P1-1</t>
  </si>
  <si>
    <t>20-85</t>
  </si>
  <si>
    <t>20-2</t>
  </si>
  <si>
    <t>P1-2</t>
  </si>
  <si>
    <t>20-86</t>
  </si>
  <si>
    <t>20-3</t>
  </si>
  <si>
    <t>P1-3</t>
  </si>
  <si>
    <t>20-87</t>
  </si>
  <si>
    <t>20-4</t>
  </si>
  <si>
    <t>P1-4</t>
  </si>
  <si>
    <t>20-88</t>
  </si>
  <si>
    <t>20-5</t>
  </si>
  <si>
    <t>P1-5</t>
  </si>
  <si>
    <t>20-89</t>
  </si>
  <si>
    <t>20-6</t>
  </si>
  <si>
    <t>P1-6</t>
  </si>
  <si>
    <t>20-90</t>
  </si>
  <si>
    <t>20-7</t>
  </si>
  <si>
    <t>P1-7</t>
  </si>
  <si>
    <t>20-91</t>
  </si>
  <si>
    <t>20-8</t>
  </si>
  <si>
    <t>P1-8</t>
  </si>
  <si>
    <t>20-92</t>
  </si>
  <si>
    <t>20-9</t>
  </si>
  <si>
    <t>P1-9</t>
  </si>
  <si>
    <t>20-93</t>
  </si>
  <si>
    <t>20-10</t>
  </si>
  <si>
    <t>P2-1</t>
  </si>
  <si>
    <t>20-94</t>
  </si>
  <si>
    <t>20-11</t>
  </si>
  <si>
    <t>P2-2</t>
  </si>
  <si>
    <t>20-95</t>
  </si>
  <si>
    <t>20-12</t>
  </si>
  <si>
    <t>P2-3</t>
  </si>
  <si>
    <t>20-96</t>
  </si>
  <si>
    <t>20-13</t>
  </si>
  <si>
    <t>P2-4</t>
  </si>
  <si>
    <t>20-97</t>
  </si>
  <si>
    <t>20-14</t>
  </si>
  <si>
    <t>P2-5</t>
  </si>
  <si>
    <t>20-98</t>
  </si>
  <si>
    <t>20-15</t>
  </si>
  <si>
    <t>P2-6</t>
  </si>
  <si>
    <t>20-99</t>
  </si>
  <si>
    <t>20-16</t>
  </si>
  <si>
    <t>P2-7</t>
  </si>
  <si>
    <t>20-100</t>
  </si>
  <si>
    <t>20-17</t>
  </si>
  <si>
    <t>P2-8</t>
  </si>
  <si>
    <t>20-101</t>
  </si>
  <si>
    <t>20-18</t>
  </si>
  <si>
    <t>P2-9</t>
  </si>
  <si>
    <t>20-102</t>
  </si>
  <si>
    <t>20-19</t>
  </si>
  <si>
    <t>W. Wheat</t>
  </si>
  <si>
    <t>P3-1</t>
  </si>
  <si>
    <t>20-103</t>
  </si>
  <si>
    <t>20-20</t>
  </si>
  <si>
    <t>P3-2</t>
  </si>
  <si>
    <t>20-104</t>
  </si>
  <si>
    <t>20-21</t>
  </si>
  <si>
    <t>P3-3</t>
  </si>
  <si>
    <t>20-105</t>
  </si>
  <si>
    <t>20-22</t>
  </si>
  <si>
    <t>P3-4</t>
  </si>
  <si>
    <t>20-106</t>
  </si>
  <si>
    <t>20-23</t>
  </si>
  <si>
    <t>P3-5</t>
  </si>
  <si>
    <t>20-107</t>
  </si>
  <si>
    <t>20-24</t>
  </si>
  <si>
    <t>P3-6</t>
  </si>
  <si>
    <t>20-108</t>
  </si>
  <si>
    <t>20-25</t>
  </si>
  <si>
    <t>P3-7</t>
  </si>
  <si>
    <t>20-109</t>
  </si>
  <si>
    <t>20-26</t>
  </si>
  <si>
    <t>P3-8</t>
  </si>
  <si>
    <t>20-110</t>
  </si>
  <si>
    <t>20-27</t>
  </si>
  <si>
    <t>P3-9</t>
  </si>
  <si>
    <t>20-111</t>
  </si>
  <si>
    <t>20-28</t>
  </si>
  <si>
    <t>P4-1</t>
  </si>
  <si>
    <t>20-112</t>
  </si>
  <si>
    <t>20-29</t>
  </si>
  <si>
    <t>P4-2</t>
  </si>
  <si>
    <t>20-113</t>
  </si>
  <si>
    <t>20-30</t>
  </si>
  <si>
    <t>P4-3</t>
  </si>
  <si>
    <t>20-114</t>
  </si>
  <si>
    <t>20-31</t>
  </si>
  <si>
    <t>P4-4</t>
  </si>
  <si>
    <t>20-115</t>
  </si>
  <si>
    <t>20-32</t>
  </si>
  <si>
    <t>P4-5</t>
  </si>
  <si>
    <t>20-116</t>
  </si>
  <si>
    <t>20-33</t>
  </si>
  <si>
    <t>P4-6</t>
  </si>
  <si>
    <t>20-117</t>
  </si>
  <si>
    <t>20-34</t>
  </si>
  <si>
    <t>P4-7</t>
  </si>
  <si>
    <t>20-118</t>
  </si>
  <si>
    <t>20-35</t>
  </si>
  <si>
    <t>P4-8</t>
  </si>
  <si>
    <t>20-119</t>
  </si>
  <si>
    <t>20-36</t>
  </si>
  <si>
    <t>P4-9</t>
  </si>
  <si>
    <t>20-120</t>
  </si>
  <si>
    <t>21-1</t>
  </si>
  <si>
    <t>Corn</t>
  </si>
  <si>
    <t>20-121</t>
  </si>
  <si>
    <t>Cover Crops</t>
  </si>
  <si>
    <t>21-2</t>
  </si>
  <si>
    <t>20-122</t>
  </si>
  <si>
    <t>21-3</t>
  </si>
  <si>
    <t>20-123</t>
  </si>
  <si>
    <t>21-4</t>
  </si>
  <si>
    <t>20-124</t>
  </si>
  <si>
    <t>21-5</t>
  </si>
  <si>
    <t>20-125</t>
  </si>
  <si>
    <t>21-6</t>
  </si>
  <si>
    <t>20-126</t>
  </si>
  <si>
    <t>21-7</t>
  </si>
  <si>
    <t>20-127</t>
  </si>
  <si>
    <t>21-8</t>
  </si>
  <si>
    <t>20-128</t>
  </si>
  <si>
    <t>21-9</t>
  </si>
  <si>
    <t>20-129</t>
  </si>
  <si>
    <t>21-10</t>
  </si>
  <si>
    <t>P1-11</t>
  </si>
  <si>
    <t>20-130</t>
  </si>
  <si>
    <t>21-11</t>
  </si>
  <si>
    <t>P1-12</t>
  </si>
  <si>
    <t>20-131</t>
  </si>
  <si>
    <t>21-12</t>
  </si>
  <si>
    <t>P1-13</t>
  </si>
  <si>
    <t>20-132</t>
  </si>
  <si>
    <t>21-13</t>
  </si>
  <si>
    <t>20-133</t>
  </si>
  <si>
    <t>21-14</t>
  </si>
  <si>
    <t>20-134</t>
  </si>
  <si>
    <t>21-15</t>
  </si>
  <si>
    <t>20-135</t>
  </si>
  <si>
    <t>21-16</t>
  </si>
  <si>
    <t>20-136</t>
  </si>
  <si>
    <t>21-17</t>
  </si>
  <si>
    <t>20-137</t>
  </si>
  <si>
    <t>21-18</t>
  </si>
  <si>
    <t>20-138</t>
  </si>
  <si>
    <t>21-19</t>
  </si>
  <si>
    <t>20-139</t>
  </si>
  <si>
    <t>D. Raddish</t>
  </si>
  <si>
    <t>21-20</t>
  </si>
  <si>
    <t>20-140</t>
  </si>
  <si>
    <t>21-21</t>
  </si>
  <si>
    <t>20-141</t>
  </si>
  <si>
    <t>21-22</t>
  </si>
  <si>
    <t>P2-11</t>
  </si>
  <si>
    <t>20-142</t>
  </si>
  <si>
    <t>21-23</t>
  </si>
  <si>
    <t>P2-12</t>
  </si>
  <si>
    <t>20-143</t>
  </si>
  <si>
    <t>21-24</t>
  </si>
  <si>
    <t>P2-13</t>
  </si>
  <si>
    <t>20-144</t>
  </si>
  <si>
    <t>21-25</t>
  </si>
  <si>
    <t>20-145</t>
  </si>
  <si>
    <t>21-26</t>
  </si>
  <si>
    <t>20-146</t>
  </si>
  <si>
    <t>21-27</t>
  </si>
  <si>
    <t>20-147</t>
  </si>
  <si>
    <t>21-28</t>
  </si>
  <si>
    <t>20-148</t>
  </si>
  <si>
    <t>21-29</t>
  </si>
  <si>
    <t>20-149</t>
  </si>
  <si>
    <t>21-30</t>
  </si>
  <si>
    <t>20-150</t>
  </si>
  <si>
    <t>21-31</t>
  </si>
  <si>
    <t>20-151</t>
  </si>
  <si>
    <t>21-32</t>
  </si>
  <si>
    <t>20-152</t>
  </si>
  <si>
    <t>21-33</t>
  </si>
  <si>
    <t>20-153</t>
  </si>
  <si>
    <t>21-34</t>
  </si>
  <si>
    <t>P3-11</t>
  </si>
  <si>
    <t>20-154</t>
  </si>
  <si>
    <t>21-35</t>
  </si>
  <si>
    <t>P3-12</t>
  </si>
  <si>
    <t>20-155</t>
  </si>
  <si>
    <t>21-36</t>
  </si>
  <si>
    <t>P3-13</t>
  </si>
  <si>
    <t>20-156</t>
  </si>
  <si>
    <t>21-37</t>
  </si>
  <si>
    <t>20-157</t>
  </si>
  <si>
    <t>21-38</t>
  </si>
  <si>
    <t>20-158</t>
  </si>
  <si>
    <t>21-39</t>
  </si>
  <si>
    <t>20-159</t>
  </si>
  <si>
    <t>21-40</t>
  </si>
  <si>
    <t>20-160</t>
  </si>
  <si>
    <t>21-41</t>
  </si>
  <si>
    <t>20-161</t>
  </si>
  <si>
    <t>21-42</t>
  </si>
  <si>
    <t>20-162</t>
  </si>
  <si>
    <t>21-43</t>
  </si>
  <si>
    <t>21-49</t>
  </si>
  <si>
    <t>P3/4-1</t>
  </si>
  <si>
    <t>21-44</t>
  </si>
  <si>
    <t>21-50</t>
  </si>
  <si>
    <t>P3/4-2</t>
  </si>
  <si>
    <t>21-45</t>
  </si>
  <si>
    <t>21-51</t>
  </si>
  <si>
    <t>P3/4-3</t>
  </si>
  <si>
    <t>21-46</t>
  </si>
  <si>
    <t>P4-11</t>
  </si>
  <si>
    <t>21-52</t>
  </si>
  <si>
    <t>P3/4-4</t>
  </si>
  <si>
    <t>21-47</t>
  </si>
  <si>
    <t>P4-12</t>
  </si>
  <si>
    <t>21-53</t>
  </si>
  <si>
    <t>P3/4-5</t>
  </si>
  <si>
    <t>21-48</t>
  </si>
  <si>
    <t>P4-13</t>
  </si>
  <si>
    <t>21-54</t>
  </si>
  <si>
    <t>P3/4-6</t>
  </si>
  <si>
    <t>21-55</t>
  </si>
  <si>
    <t>P3/4-7</t>
  </si>
  <si>
    <t>21-56</t>
  </si>
  <si>
    <t>P3/4-8</t>
  </si>
  <si>
    <t>21-57</t>
  </si>
  <si>
    <t>P3/4-9</t>
  </si>
  <si>
    <t>21-58</t>
  </si>
  <si>
    <t xml:space="preserve">Corn </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</si>
  <si>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</si>
  <si>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</si>
  <si>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</si>
  <si>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</si>
  <si>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</si>
  <si>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</si>
  <si>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</si>
  <si>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</si>
  <si>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</si>
  <si>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</si>
  <si>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</si>
  <si>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</si>
  <si>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</si>
  <si>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</si>
  <si>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</si>
  <si>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</si>
  <si>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</si>
  <si>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</si>
  <si>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</si>
  <si>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</si>
  <si>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</si>
  <si>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</si>
  <si>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</si>
  <si>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</si>
  <si>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</si>
  <si>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</si>
  <si>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</si>
  <si>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</si>
  <si>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</si>
  <si>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</si>
  <si>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</si>
  <si>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</si>
  <si>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</si>
  <si>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</si>
  <si>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</si>
  <si>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</si>
  <si>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</si>
  <si>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</si>
  <si>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</si>
  <si>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</si>
  <si>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</si>
  <si>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</si>
  <si>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</si>
  <si>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</si>
  <si>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</si>
  <si>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</si>
  <si>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</si>
  <si>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</si>
  <si>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</si>
  <si>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</si>
  <si>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</si>
  <si>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</si>
  <si>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</si>
  <si>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</si>
  <si>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</si>
  <si>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</si>
  <si>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</si>
  <si>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</si>
  <si>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</si>
  <si>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</si>
  <si>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</si>
  <si>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</si>
  <si>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</si>
  <si>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</si>
  <si>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</si>
  <si>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</si>
  <si>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</si>
  <si>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</si>
  <si>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</si>
  <si>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</si>
  <si>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</si>
  <si>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</si>
  <si>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</si>
  <si>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</si>
  <si>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</si>
  <si>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</si>
  <si>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</si>
  <si>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</si>
  <si>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</si>
  <si>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</si>
  <si>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</si>
  <si>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</si>
  <si>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</si>
  <si>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</si>
  <si>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</si>
  <si>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</si>
  <si>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</si>
  <si>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</si>
  <si>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</si>
  <si>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</si>
  <si>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</si>
  <si>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</si>
  <si>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</si>
  <si>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</si>
  <si>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</si>
  <si>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</si>
  <si>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</si>
  <si>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</si>
  <si>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</si>
  <si>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</si>
  <si>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</si>
  <si>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</si>
  <si>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</si>
  <si>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</si>
  <si>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</si>
  <si>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</si>
  <si>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</si>
  <si>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</si>
  <si>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</si>
  <si>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</si>
  <si>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</si>
  <si>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</si>
  <si>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</si>
  <si>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</si>
  <si>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</si>
  <si>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</si>
  <si>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</si>
  <si>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</si>
  <si>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</si>
  <si>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</si>
  <si>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</si>
  <si>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</si>
  <si>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</si>
  <si>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</si>
  <si>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</si>
  <si>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</si>
  <si>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</si>
  <si>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</si>
  <si>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</si>
  <si>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</si>
  <si>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</si>
  <si>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</si>
  <si>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</si>
  <si>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</si>
  <si>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</si>
  <si>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</si>
  <si>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</si>
  <si>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</si>
  <si>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</si>
  <si>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</si>
  <si>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</si>
  <si>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</si>
  <si>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</si>
  <si>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</si>
  <si>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Cover Crops - Rye</t>
  </si>
  <si>
    <t>21-203</t>
  </si>
  <si>
    <t>21-204</t>
  </si>
  <si>
    <t>21-205</t>
  </si>
  <si>
    <t>21-206</t>
  </si>
  <si>
    <t>21-207</t>
  </si>
  <si>
    <t>21-208</t>
  </si>
  <si>
    <t>21-209</t>
  </si>
  <si>
    <t>21-210</t>
  </si>
  <si>
    <t>21-211</t>
  </si>
  <si>
    <t>21-212</t>
  </si>
  <si>
    <t>21-213</t>
  </si>
  <si>
    <t>21-214</t>
  </si>
  <si>
    <t>Cover Crops - Weeds</t>
  </si>
  <si>
    <t>21-215</t>
  </si>
  <si>
    <t>Cover Crops - Clover</t>
  </si>
  <si>
    <t>21-216</t>
  </si>
  <si>
    <t>21-217</t>
  </si>
  <si>
    <t>21-218</t>
  </si>
  <si>
    <t>21-219</t>
  </si>
  <si>
    <t>21-220</t>
  </si>
  <si>
    <t>21-221</t>
  </si>
  <si>
    <t>21-222</t>
  </si>
  <si>
    <t>21-223</t>
  </si>
  <si>
    <t>21-224</t>
  </si>
  <si>
    <t>21-225</t>
  </si>
  <si>
    <t>21-226</t>
  </si>
  <si>
    <t>21-227</t>
  </si>
  <si>
    <t>21-228</t>
  </si>
  <si>
    <t>21-229</t>
  </si>
  <si>
    <t>21-230</t>
  </si>
  <si>
    <t>21-231</t>
  </si>
  <si>
    <t>21-232</t>
  </si>
  <si>
    <t>21-233</t>
  </si>
  <si>
    <t>21-234</t>
  </si>
  <si>
    <t>21-235</t>
  </si>
  <si>
    <t>21-236</t>
  </si>
  <si>
    <t>21-237</t>
  </si>
  <si>
    <t>21-238</t>
  </si>
  <si>
    <t>21-239</t>
  </si>
  <si>
    <t>21-240</t>
  </si>
  <si>
    <t>21-241</t>
  </si>
  <si>
    <t>21-242</t>
  </si>
  <si>
    <t>21-243</t>
  </si>
  <si>
    <t>21-244</t>
  </si>
  <si>
    <t>21-245</t>
  </si>
  <si>
    <t>21-246</t>
  </si>
  <si>
    <t>21-247</t>
  </si>
  <si>
    <t>21-248</t>
  </si>
  <si>
    <t>21-249</t>
  </si>
  <si>
    <t>21-250</t>
  </si>
  <si>
    <t>Sampled:29/07/2020</t>
  </si>
  <si>
    <t>Crop: Winterwheat</t>
  </si>
  <si>
    <t>Average Bag wt I</t>
  </si>
  <si>
    <t>wheat stubble (bailed) were sampled and added to the wheat residues numbers</t>
  </si>
  <si>
    <r>
      <t>0.5m</t>
    </r>
    <r>
      <rPr>
        <b/>
        <vertAlign val="superscript"/>
        <sz val="16"/>
        <color theme="1"/>
        <rFont val="Calibri"/>
        <family val="2"/>
        <scheme val="minor"/>
      </rPr>
      <t>2</t>
    </r>
  </si>
  <si>
    <t>Total</t>
  </si>
  <si>
    <t>g/m2</t>
  </si>
  <si>
    <t>kg/ha</t>
  </si>
  <si>
    <t>Average Bag wt II</t>
  </si>
  <si>
    <t>Sample</t>
  </si>
  <si>
    <t>Fresh Wt (g)</t>
  </si>
  <si>
    <t>Dry Wt (g)</t>
  </si>
  <si>
    <t>Fresh wt(g)-Bag</t>
  </si>
  <si>
    <t>net Dry Wt (g)</t>
  </si>
  <si>
    <t>dry grain</t>
  </si>
  <si>
    <t>net dry grain</t>
  </si>
  <si>
    <t>13.5% moisture grain yield (g/m2)</t>
  </si>
  <si>
    <t>13.5% moisture grain yield (kg/ha)</t>
  </si>
  <si>
    <t>dry residue</t>
  </si>
  <si>
    <t xml:space="preserve">Moisture (%) </t>
  </si>
  <si>
    <t>Wheat Stubble</t>
  </si>
  <si>
    <t>Fresh wt(g)</t>
  </si>
  <si>
    <t xml:space="preserve"> Dry wt(g)</t>
  </si>
  <si>
    <t>net Dry wt(g)</t>
  </si>
  <si>
    <t>residue</t>
  </si>
  <si>
    <t>net fresh wt</t>
  </si>
  <si>
    <t>ignore cell</t>
  </si>
  <si>
    <t>Average (g/m2)</t>
  </si>
  <si>
    <t>Stderror</t>
  </si>
  <si>
    <t>Dry Wt (g)-Bag</t>
  </si>
  <si>
    <t>13.5% moisture grain yield</t>
  </si>
  <si>
    <t>Avg</t>
  </si>
  <si>
    <t>Ster</t>
  </si>
  <si>
    <t>stdev</t>
  </si>
  <si>
    <t xml:space="preserve">C &amp; N Analysis </t>
  </si>
  <si>
    <t xml:space="preserve">Moisture Correction </t>
  </si>
  <si>
    <t xml:space="preserve">Dry Grain </t>
  </si>
  <si>
    <t>% C</t>
  </si>
  <si>
    <t>kg-C/ha</t>
  </si>
  <si>
    <t>%N</t>
  </si>
  <si>
    <t>kg-N/ha</t>
  </si>
  <si>
    <t>C/N</t>
  </si>
  <si>
    <t>Std. Dev.</t>
  </si>
  <si>
    <t>Sampled:17/09/2020</t>
  </si>
  <si>
    <t>Crop: Soybean</t>
  </si>
  <si>
    <t>Average Bag wt</t>
  </si>
  <si>
    <t>GRAIN (g/m2)</t>
  </si>
  <si>
    <t>RESIDUE</t>
  </si>
  <si>
    <t>Dry Wt (g/m2)</t>
  </si>
  <si>
    <t>Moist Yield</t>
  </si>
  <si>
    <t>dry residue  (g/m2)</t>
  </si>
  <si>
    <t>dry residue  (kg/ha)</t>
  </si>
  <si>
    <t>grain at 13% M</t>
  </si>
  <si>
    <t>GRAIN (kg/ha)</t>
  </si>
  <si>
    <t>sample</t>
  </si>
  <si>
    <t>13%M</t>
  </si>
  <si>
    <t>0%M</t>
  </si>
  <si>
    <t>at 13% M</t>
  </si>
  <si>
    <t>stderr</t>
  </si>
  <si>
    <t>Crop:  Covercrops</t>
  </si>
  <si>
    <t>Sampled: 09 &amp; 11/11/2020</t>
  </si>
  <si>
    <t xml:space="preserve">Analysis completed by Jacob Evans. </t>
  </si>
  <si>
    <t>Three different bagging</t>
  </si>
  <si>
    <t>Bag1</t>
  </si>
  <si>
    <t>Bag weight2</t>
  </si>
  <si>
    <t>Covercrops (CC) include Raddish(R), Rye grass (G), Oats (O), Clover (C). WS stands for wheat stubble; Only CC+WS-R and CC-WS-R was oven dried</t>
  </si>
  <si>
    <t>per 1m2</t>
  </si>
  <si>
    <t>Bag weight3</t>
  </si>
  <si>
    <t>Fresh Wt(g)</t>
  </si>
  <si>
    <t>Dry Wt(g)</t>
  </si>
  <si>
    <t>CC Yield</t>
  </si>
  <si>
    <t>Wheat Stubble (WS)</t>
  </si>
  <si>
    <t>12 random raddish plant across study site (P3 and P4) below</t>
  </si>
  <si>
    <t>C/N Analysis</t>
  </si>
  <si>
    <t>SAMPLE ID</t>
  </si>
  <si>
    <t>Sample per 1m2</t>
  </si>
  <si>
    <t>CC+WS</t>
  </si>
  <si>
    <t>CC+WS-R</t>
  </si>
  <si>
    <t>net CC+WS-R</t>
  </si>
  <si>
    <t>CC-WS-R</t>
  </si>
  <si>
    <t>net CC-WS-R</t>
  </si>
  <si>
    <t>net dry wt (g)</t>
  </si>
  <si>
    <t>Fresh yield (kg/ha)</t>
  </si>
  <si>
    <t>Dry yield (kg/ha)</t>
  </si>
  <si>
    <t>subtract wheat stubble</t>
  </si>
  <si>
    <t>Sample per m2</t>
  </si>
  <si>
    <t>Net fresh wt(g)</t>
  </si>
  <si>
    <t>net dry wt(g)</t>
  </si>
  <si>
    <t>Taproot</t>
  </si>
  <si>
    <t>Raddish C/N Content Analysis</t>
  </si>
  <si>
    <t>CC Tissue C/N Content</t>
  </si>
  <si>
    <t>net Fresh wt(g)</t>
  </si>
  <si>
    <t>Dry Yield (kg/ha)</t>
  </si>
  <si>
    <t>%C</t>
  </si>
  <si>
    <t>plot</t>
  </si>
  <si>
    <t>C:N Ratio</t>
  </si>
  <si>
    <t>AVG</t>
  </si>
  <si>
    <t xml:space="preserve">St. Dev. </t>
  </si>
  <si>
    <t>Average (g/plant)</t>
  </si>
  <si>
    <t>Shoot</t>
  </si>
  <si>
    <t>Dry Yield (kg)</t>
  </si>
  <si>
    <t>SD</t>
  </si>
  <si>
    <t xml:space="preserve">AVG kg-C/ha </t>
  </si>
  <si>
    <t xml:space="preserve">AVG kg-N/ha </t>
  </si>
  <si>
    <t>P3</t>
  </si>
  <si>
    <t>P4</t>
  </si>
  <si>
    <t>Raddish samples below include all raddish above ground. i.e. shoot + part of taproot above the soil</t>
  </si>
  <si>
    <t>CC MIX</t>
  </si>
  <si>
    <t>RADDISH</t>
  </si>
  <si>
    <t>TOTAL</t>
  </si>
  <si>
    <t>Raddish Root</t>
  </si>
  <si>
    <t>Raddish Shoot</t>
  </si>
  <si>
    <t>net Fresh wt (g)</t>
  </si>
  <si>
    <t>net dry weight (g)</t>
  </si>
  <si>
    <t>net fresh wt(g)</t>
  </si>
  <si>
    <t>net Dry wt (g)</t>
  </si>
  <si>
    <t xml:space="preserve">P3/4 CC AVG </t>
  </si>
  <si>
    <t>St. deviation</t>
  </si>
  <si>
    <t>Estimation of plant shoot per m2 of quadrant</t>
  </si>
  <si>
    <t>s</t>
  </si>
  <si>
    <t xml:space="preserve">Bag Weight(g): </t>
  </si>
  <si>
    <t>g</t>
  </si>
  <si>
    <t>Yield Calculation for (kg/ha)</t>
  </si>
  <si>
    <t>(X/1000)/(1/10000)</t>
  </si>
  <si>
    <t xml:space="preserve">Cover crops were sampled before their termination in Spring 2021. </t>
  </si>
  <si>
    <t>(X/1000)/0.0001</t>
  </si>
  <si>
    <t>Averages:</t>
  </si>
  <si>
    <t xml:space="preserve">Year  </t>
  </si>
  <si>
    <t>Collection date</t>
  </si>
  <si>
    <t>DOY</t>
  </si>
  <si>
    <t xml:space="preserve">Sample ID # </t>
  </si>
  <si>
    <t>Plot #</t>
  </si>
  <si>
    <t>Subplot #</t>
  </si>
  <si>
    <t>Wet Weight (g)</t>
  </si>
  <si>
    <t xml:space="preserve">Wet -Bag Weight (g) </t>
  </si>
  <si>
    <t xml:space="preserve">Dry Weight (g) </t>
  </si>
  <si>
    <t>Dry - Bag (g)</t>
  </si>
  <si>
    <t>Fresh Yield (kg/ha)</t>
  </si>
  <si>
    <t>Dry Yield (tones/ha)</t>
  </si>
  <si>
    <t>% Moisture</t>
  </si>
  <si>
    <t>Yield @ 15% Moisture</t>
  </si>
  <si>
    <t>tons C/ha of CC</t>
  </si>
  <si>
    <t>tons N/ha of CC</t>
  </si>
  <si>
    <t>Dry Yield  (tones/ha)</t>
  </si>
  <si>
    <t xml:space="preserve">Moist Yield </t>
  </si>
  <si>
    <t>3 &amp; 4</t>
  </si>
  <si>
    <t>40.90</t>
  </si>
  <si>
    <t>2.21</t>
  </si>
  <si>
    <t>40.83</t>
  </si>
  <si>
    <t>2.13</t>
  </si>
  <si>
    <t>Tons C/ha of CC</t>
  </si>
  <si>
    <t>40.67</t>
  </si>
  <si>
    <t>2.15</t>
  </si>
  <si>
    <t>40.51</t>
  </si>
  <si>
    <t>1.98</t>
  </si>
  <si>
    <t>Tons N/ha of CC</t>
  </si>
  <si>
    <t>2.17</t>
  </si>
  <si>
    <t>40.79</t>
  </si>
  <si>
    <t>2.04</t>
  </si>
  <si>
    <t>40.84</t>
  </si>
  <si>
    <t>2.09</t>
  </si>
  <si>
    <t>39.91</t>
  </si>
  <si>
    <t>2.10</t>
  </si>
  <si>
    <t>40.44</t>
  </si>
  <si>
    <t>1.72</t>
  </si>
  <si>
    <t>kg N/ha of CC</t>
  </si>
  <si>
    <t xml:space="preserve">C:N ratio of CC mixture </t>
  </si>
  <si>
    <t xml:space="preserve">Avg </t>
  </si>
  <si>
    <t xml:space="preserve">May 2020- Aug 2022 Crop Samples from E26 </t>
  </si>
  <si>
    <t xml:space="preserve">Bag Weight </t>
  </si>
  <si>
    <t>"DES" = Destroyed by Mold</t>
  </si>
  <si>
    <t>MOIST</t>
  </si>
  <si>
    <t>Sample Wet Weight (g)</t>
  </si>
  <si>
    <t xml:space="preserve">Wet - Bag Weight (g) </t>
  </si>
  <si>
    <t xml:space="preserve">Sample Dry Weight (g) </t>
  </si>
  <si>
    <t xml:space="preserve">Dry - Bag Weight (g) </t>
  </si>
  <si>
    <t xml:space="preserve">Redry (post Mold Weight) (g) </t>
  </si>
  <si>
    <t xml:space="preserve">Moisture Content (%) </t>
  </si>
  <si>
    <t>Yield (kg/ha)</t>
  </si>
  <si>
    <t>Yield @ 15% Moisture (kg/ha)</t>
  </si>
  <si>
    <t>Yield @ 15% Moisture (tons/ha)2</t>
  </si>
  <si>
    <t>Dry Yield (tons/ha)</t>
  </si>
  <si>
    <t>tons C/ha in V6 Corn</t>
  </si>
  <si>
    <t>tons N/ha in V6 Corn</t>
  </si>
  <si>
    <t xml:space="preserve">kg N /ha </t>
  </si>
  <si>
    <t>Plot Yield Avg (tons/ha)</t>
  </si>
  <si>
    <t>Standard Deviation</t>
  </si>
  <si>
    <t>Field</t>
  </si>
  <si>
    <t>41.75</t>
  </si>
  <si>
    <t>5.07</t>
  </si>
  <si>
    <t>Conventional</t>
  </si>
  <si>
    <t>Conventnional+NUI</t>
  </si>
  <si>
    <t>Diverse</t>
  </si>
  <si>
    <t>Diverse+NUI</t>
  </si>
  <si>
    <t>CARBON</t>
  </si>
  <si>
    <t>41.95</t>
  </si>
  <si>
    <t>4.59</t>
  </si>
  <si>
    <t>Conventional-0N</t>
  </si>
  <si>
    <t>Fertilized</t>
  </si>
  <si>
    <t>Fert - tons C/ha of V6 Corn</t>
  </si>
  <si>
    <t>0N - tons C/ha of V6 Corn</t>
  </si>
  <si>
    <t>40.08</t>
  </si>
  <si>
    <t>4.32</t>
  </si>
  <si>
    <t>0N</t>
  </si>
  <si>
    <t>4.57</t>
  </si>
  <si>
    <t>Conventnional-0N-NUI</t>
  </si>
  <si>
    <t>38.45</t>
  </si>
  <si>
    <t>4.18</t>
  </si>
  <si>
    <t>DES</t>
  </si>
  <si>
    <t>NA</t>
  </si>
  <si>
    <t>Diverse-0N</t>
  </si>
  <si>
    <t>41.19</t>
  </si>
  <si>
    <t>4.20</t>
  </si>
  <si>
    <t>39.71</t>
  </si>
  <si>
    <t>4.01</t>
  </si>
  <si>
    <t xml:space="preserve">Diverse-0N-NUI </t>
  </si>
  <si>
    <t>NITROGEN</t>
  </si>
  <si>
    <t>3.98</t>
  </si>
  <si>
    <t>Fert - tons N/ha of V6 Corn</t>
  </si>
  <si>
    <t>0N - tons N/ha of V6 Corn</t>
  </si>
  <si>
    <t>40.31</t>
  </si>
  <si>
    <t>3.94</t>
  </si>
  <si>
    <t>42.51</t>
  </si>
  <si>
    <t>4.56</t>
  </si>
  <si>
    <t>tons C/ha of V6 Corn</t>
  </si>
  <si>
    <t>39.29</t>
  </si>
  <si>
    <t>3.84</t>
  </si>
  <si>
    <t>41.10</t>
  </si>
  <si>
    <t>4.27</t>
  </si>
  <si>
    <t>40.92</t>
  </si>
  <si>
    <t>4.75</t>
  </si>
  <si>
    <t>39.32</t>
  </si>
  <si>
    <t>3.76</t>
  </si>
  <si>
    <t>42.59</t>
  </si>
  <si>
    <t>4.19</t>
  </si>
  <si>
    <t>41.61</t>
  </si>
  <si>
    <t>4.55</t>
  </si>
  <si>
    <t>41.51</t>
  </si>
  <si>
    <t>40.77</t>
  </si>
  <si>
    <t>4.61</t>
  </si>
  <si>
    <t>4.53</t>
  </si>
  <si>
    <t>tons N/ha of V6 Corn</t>
  </si>
  <si>
    <t>40.60</t>
  </si>
  <si>
    <t>4.07</t>
  </si>
  <si>
    <t>41.82</t>
  </si>
  <si>
    <t>4.25</t>
  </si>
  <si>
    <t>37.65</t>
  </si>
  <si>
    <t>4.02</t>
  </si>
  <si>
    <t>40.85</t>
  </si>
  <si>
    <t>3.49</t>
  </si>
  <si>
    <t>42.18</t>
  </si>
  <si>
    <t>41.11</t>
  </si>
  <si>
    <t>4.23</t>
  </si>
  <si>
    <t>42.07</t>
  </si>
  <si>
    <t>42.12</t>
  </si>
  <si>
    <t>4.21</t>
  </si>
  <si>
    <t>42.03</t>
  </si>
  <si>
    <t>4.52</t>
  </si>
  <si>
    <t>40.81</t>
  </si>
  <si>
    <t>4.04</t>
  </si>
  <si>
    <t>DRY YIELD</t>
  </si>
  <si>
    <t>42.06</t>
  </si>
  <si>
    <t>4.48</t>
  </si>
  <si>
    <t>40.34</t>
  </si>
  <si>
    <t>3.20</t>
  </si>
  <si>
    <t>41.04</t>
  </si>
  <si>
    <t>3.65</t>
  </si>
  <si>
    <t>41.16</t>
  </si>
  <si>
    <t>3.21</t>
  </si>
  <si>
    <t>41.22</t>
  </si>
  <si>
    <t>3.70</t>
  </si>
  <si>
    <t>39.80</t>
  </si>
  <si>
    <t>3.66</t>
  </si>
  <si>
    <t>42.67</t>
  </si>
  <si>
    <t>4.16</t>
  </si>
  <si>
    <t>42.08</t>
  </si>
  <si>
    <t>41.35</t>
  </si>
  <si>
    <t>3.93</t>
  </si>
  <si>
    <t>38.57</t>
  </si>
  <si>
    <t>3.96</t>
  </si>
  <si>
    <t>3.59</t>
  </si>
  <si>
    <t>40.74</t>
  </si>
  <si>
    <t>3.88</t>
  </si>
  <si>
    <t>41.36</t>
  </si>
  <si>
    <t>3.95</t>
  </si>
  <si>
    <t>41.69</t>
  </si>
  <si>
    <t>3.89</t>
  </si>
  <si>
    <t>39.82</t>
  </si>
  <si>
    <t>3.11</t>
  </si>
  <si>
    <t>AVG Yield (kg/ha)</t>
  </si>
  <si>
    <t>kg N/ha</t>
  </si>
  <si>
    <t>AVG kg N/ha</t>
  </si>
  <si>
    <t xml:space="preserve">Corn was sampled just before pollen drop with the same procedure as harvest without a shredder. </t>
  </si>
  <si>
    <t>[X(g/m^2)/1000()]/[1()/10000()]</t>
  </si>
  <si>
    <t xml:space="preserve">Bag Weight (g): </t>
  </si>
  <si>
    <t>3 plants</t>
  </si>
  <si>
    <t xml:space="preserve">Post Mold </t>
  </si>
  <si>
    <t>BAG WEIGHTS ALREADY SUBTRACTED</t>
  </si>
  <si>
    <t>DRY YIELD AVERAGE</t>
  </si>
  <si>
    <t xml:space="preserve">Plot </t>
  </si>
  <si>
    <t>Subplot</t>
  </si>
  <si>
    <t>Part</t>
  </si>
  <si>
    <t>Whole Wet Weight (g)</t>
  </si>
  <si>
    <t xml:space="preserve">Sample Weight (g) </t>
  </si>
  <si>
    <t xml:space="preserve">Wet Weight: 1 Linear m </t>
  </si>
  <si>
    <t>Sub-Sample Dry Weight (g)</t>
  </si>
  <si>
    <t>Sub-Sample RE-DRIED Weight (g)</t>
  </si>
  <si>
    <t xml:space="preserve">REDRIED - Bag  Weight (g) </t>
  </si>
  <si>
    <t>Linear m of Dry Corn</t>
  </si>
  <si>
    <t>Avg Wet Weight (g/m)</t>
  </si>
  <si>
    <t>AVG Dry Wieght (g/m)</t>
  </si>
  <si>
    <t xml:space="preserve">Moisture loss (g) </t>
  </si>
  <si>
    <t xml:space="preserve">% Moisture </t>
  </si>
  <si>
    <t>Moist Yield (kg/ha)</t>
  </si>
  <si>
    <t>Yield (tons/ha)</t>
  </si>
  <si>
    <t>Corected to 15% Moisture</t>
  </si>
  <si>
    <t>tons C/ha in VT Corn</t>
  </si>
  <si>
    <t xml:space="preserve">kg N /ha of Corn </t>
  </si>
  <si>
    <t>tons N/ha in VT Corn</t>
  </si>
  <si>
    <t>A</t>
  </si>
  <si>
    <t>43.21</t>
  </si>
  <si>
    <t>2.82</t>
  </si>
  <si>
    <t>B</t>
  </si>
  <si>
    <t>42.64</t>
  </si>
  <si>
    <t>2.73</t>
  </si>
  <si>
    <t>1-0N</t>
  </si>
  <si>
    <t>44.15</t>
  </si>
  <si>
    <t>2.53</t>
  </si>
  <si>
    <t>42.54</t>
  </si>
  <si>
    <t>2.68</t>
  </si>
  <si>
    <t>2-0N</t>
  </si>
  <si>
    <t>42.83</t>
  </si>
  <si>
    <t>2.84</t>
  </si>
  <si>
    <t>42.78</t>
  </si>
  <si>
    <t>3-0N</t>
  </si>
  <si>
    <t>43.23</t>
  </si>
  <si>
    <t>2.92</t>
  </si>
  <si>
    <t>3.26</t>
  </si>
  <si>
    <t>4-0N</t>
  </si>
  <si>
    <t>42.94</t>
  </si>
  <si>
    <t>2.76</t>
  </si>
  <si>
    <t>42.92</t>
  </si>
  <si>
    <t>2.19</t>
  </si>
  <si>
    <t>42.29</t>
  </si>
  <si>
    <t>2.02</t>
  </si>
  <si>
    <t>1.49</t>
  </si>
  <si>
    <t>43.43</t>
  </si>
  <si>
    <t>2.62</t>
  </si>
  <si>
    <t>43.42</t>
  </si>
  <si>
    <t>43.67</t>
  </si>
  <si>
    <t>3.33</t>
  </si>
  <si>
    <t>43.06</t>
  </si>
  <si>
    <t>2.87</t>
  </si>
  <si>
    <t>44.16</t>
  </si>
  <si>
    <t>3.19</t>
  </si>
  <si>
    <t>43.50</t>
  </si>
  <si>
    <t>2.14</t>
  </si>
  <si>
    <t>44.76</t>
  </si>
  <si>
    <t>2.93</t>
  </si>
  <si>
    <t>42.13</t>
  </si>
  <si>
    <t>2.33</t>
  </si>
  <si>
    <t>43.03</t>
  </si>
  <si>
    <t>41.84</t>
  </si>
  <si>
    <t>41.94</t>
  </si>
  <si>
    <t>2.36</t>
  </si>
  <si>
    <t>43.59</t>
  </si>
  <si>
    <t>3.64</t>
  </si>
  <si>
    <t>42.69</t>
  </si>
  <si>
    <t>2.90</t>
  </si>
  <si>
    <t>2.22</t>
  </si>
  <si>
    <t>43.63</t>
  </si>
  <si>
    <t>43.78</t>
  </si>
  <si>
    <t>3.57</t>
  </si>
  <si>
    <t>43.00</t>
  </si>
  <si>
    <t>44.06</t>
  </si>
  <si>
    <t>2.77</t>
  </si>
  <si>
    <t>41.48</t>
  </si>
  <si>
    <t>43.98</t>
  </si>
  <si>
    <t>2.81</t>
  </si>
  <si>
    <t>42.10</t>
  </si>
  <si>
    <t>1.81</t>
  </si>
  <si>
    <t>42.82</t>
  </si>
  <si>
    <t>1.90</t>
  </si>
  <si>
    <t>tons C/ha of Corn</t>
  </si>
  <si>
    <t>tons N/ha of Corn</t>
  </si>
  <si>
    <t>41.90</t>
  </si>
  <si>
    <t>1.92</t>
  </si>
  <si>
    <t>43.64</t>
  </si>
  <si>
    <t>3.45</t>
  </si>
  <si>
    <t>43.56</t>
  </si>
  <si>
    <t>3.04</t>
  </si>
  <si>
    <t>42.26</t>
  </si>
  <si>
    <t>2.97</t>
  </si>
  <si>
    <t>43.01</t>
  </si>
  <si>
    <t>3.14</t>
  </si>
  <si>
    <t>42.55</t>
  </si>
  <si>
    <t>43.54</t>
  </si>
  <si>
    <t>3.02</t>
  </si>
  <si>
    <t>42.79</t>
  </si>
  <si>
    <t>41.83</t>
  </si>
  <si>
    <t>2.51</t>
  </si>
  <si>
    <t>41.52</t>
  </si>
  <si>
    <t>1.77</t>
  </si>
  <si>
    <t>42.43</t>
  </si>
  <si>
    <t>1.83</t>
  </si>
  <si>
    <t>40.91</t>
  </si>
  <si>
    <t>1.48</t>
  </si>
  <si>
    <t>AVG # of plants per plot</t>
  </si>
  <si>
    <t>P1</t>
  </si>
  <si>
    <t>P2</t>
  </si>
  <si>
    <t>BIOMASS</t>
  </si>
  <si>
    <t xml:space="preserve">Bag Weight (g) = </t>
  </si>
  <si>
    <t>Collection DOY</t>
  </si>
  <si>
    <t># of Plants</t>
  </si>
  <si>
    <t>Whole Sample Wet Weight (g)</t>
  </si>
  <si>
    <t xml:space="preserve">Wet Weight of 3 plants (g) </t>
  </si>
  <si>
    <t>Wet weight of 1m2 of corn</t>
  </si>
  <si>
    <t xml:space="preserve">DRY Sample Weight (g) (3 Plants) </t>
  </si>
  <si>
    <t xml:space="preserve">DRY Sample - Bag Weight (g) </t>
  </si>
  <si>
    <t xml:space="preserve">Moisture Loss (g) </t>
  </si>
  <si>
    <t>Dry Weight of 1m2 of Corn</t>
  </si>
  <si>
    <t>Dry Stover Weight + COB</t>
  </si>
  <si>
    <t>Biomass Wet Weight (g/m2)</t>
  </si>
  <si>
    <t xml:space="preserve">Dry Sample Weight (g/m2) </t>
  </si>
  <si>
    <t>Moisture loss (g)</t>
  </si>
  <si>
    <t>Yield (kg/ha) Corrected to 15% M</t>
  </si>
  <si>
    <t>Yield (tons/ha) Corrected to 15% Moisture</t>
  </si>
  <si>
    <t>%C  (Dry)</t>
  </si>
  <si>
    <t>tons C/ha in Corn</t>
  </si>
  <si>
    <t>%N (Dry)</t>
  </si>
  <si>
    <t>tons N/ha in Corn</t>
  </si>
  <si>
    <t>Kg N /ha of Corn</t>
  </si>
  <si>
    <t>Column1</t>
  </si>
  <si>
    <t>Treatment</t>
  </si>
  <si>
    <t>kg C/ha in Corn</t>
  </si>
  <si>
    <t xml:space="preserve">kg N /ha in Corn </t>
  </si>
  <si>
    <t>Rotation</t>
  </si>
  <si>
    <t>Fertilized Yield (tons/ha)</t>
  </si>
  <si>
    <t>0N yield (tons/ha)</t>
  </si>
  <si>
    <t>43.62</t>
  </si>
  <si>
    <t>0.67</t>
  </si>
  <si>
    <t>42.98</t>
  </si>
  <si>
    <t>1.00</t>
  </si>
  <si>
    <t>43.08</t>
  </si>
  <si>
    <t>0.80</t>
  </si>
  <si>
    <t>42.46</t>
  </si>
  <si>
    <t>0.90</t>
  </si>
  <si>
    <t>43.30</t>
  </si>
  <si>
    <t>0.76</t>
  </si>
  <si>
    <t>0.69</t>
  </si>
  <si>
    <t>42.41</t>
  </si>
  <si>
    <t>0.83</t>
  </si>
  <si>
    <t xml:space="preserve">tons C/ha if corn </t>
  </si>
  <si>
    <t xml:space="preserve">tons N/ha pf corn </t>
  </si>
  <si>
    <t>44.14</t>
  </si>
  <si>
    <t>0.81</t>
  </si>
  <si>
    <t>43.80</t>
  </si>
  <si>
    <t>0.63</t>
  </si>
  <si>
    <t>Conventional (0N)</t>
  </si>
  <si>
    <t>43.31</t>
  </si>
  <si>
    <t>0.65</t>
  </si>
  <si>
    <t>43.74</t>
  </si>
  <si>
    <t>0.45</t>
  </si>
  <si>
    <t>Conventnional+NUI (0N)</t>
  </si>
  <si>
    <t>43.10</t>
  </si>
  <si>
    <t>0.78</t>
  </si>
  <si>
    <t>0.74</t>
  </si>
  <si>
    <t>Diverse (0N)</t>
  </si>
  <si>
    <t>43.52</t>
  </si>
  <si>
    <t>0.57</t>
  </si>
  <si>
    <t>43.55</t>
  </si>
  <si>
    <t>0.59</t>
  </si>
  <si>
    <t>Diverse+NUI (0N)</t>
  </si>
  <si>
    <t>43.99</t>
  </si>
  <si>
    <t>0.64</t>
  </si>
  <si>
    <t>43.33</t>
  </si>
  <si>
    <t>AVG. CARBON -&gt;</t>
  </si>
  <si>
    <t>Fert. tons C/ha of corn</t>
  </si>
  <si>
    <t>0N tons C/ha of corn</t>
  </si>
  <si>
    <t>43.88</t>
  </si>
  <si>
    <t>0.62</t>
  </si>
  <si>
    <t>0.66</t>
  </si>
  <si>
    <t>43.70</t>
  </si>
  <si>
    <t>43.57</t>
  </si>
  <si>
    <t>43.05</t>
  </si>
  <si>
    <t xml:space="preserve">AVG. NITROGEN -&gt; </t>
  </si>
  <si>
    <t>Fert. tons N/ha of corn</t>
  </si>
  <si>
    <t>0N tons N/ha of corn</t>
  </si>
  <si>
    <t>0.79</t>
  </si>
  <si>
    <t>43.37</t>
  </si>
  <si>
    <t>0.82</t>
  </si>
  <si>
    <t>0.52</t>
  </si>
  <si>
    <t>43.66</t>
  </si>
  <si>
    <t>0.53</t>
  </si>
  <si>
    <t>42.99</t>
  </si>
  <si>
    <t>1.11</t>
  </si>
  <si>
    <t>Moist Yield (tons/ha)</t>
  </si>
  <si>
    <t>42.62</t>
  </si>
  <si>
    <t>0.88</t>
  </si>
  <si>
    <t>43.91</t>
  </si>
  <si>
    <t>42.39</t>
  </si>
  <si>
    <t>0.56</t>
  </si>
  <si>
    <t>43.75</t>
  </si>
  <si>
    <t>0.50</t>
  </si>
  <si>
    <t>0.68</t>
  </si>
  <si>
    <t>43.46</t>
  </si>
  <si>
    <t>0.60</t>
  </si>
  <si>
    <t>43.19</t>
  </si>
  <si>
    <t>Fertilized Yield (Kg/ha)</t>
  </si>
  <si>
    <t>0N Kg-N/ha of corn</t>
  </si>
  <si>
    <t>0.61</t>
  </si>
  <si>
    <t>0.58</t>
  </si>
  <si>
    <t>0.95</t>
  </si>
  <si>
    <t>0.71</t>
  </si>
  <si>
    <t>44.03</t>
  </si>
  <si>
    <t>0.46</t>
  </si>
  <si>
    <t>42.45</t>
  </si>
  <si>
    <t xml:space="preserve">Kg corn / bushel = </t>
  </si>
  <si>
    <t>AVG Dry Yield in ONT =</t>
  </si>
  <si>
    <t xml:space="preserve">AVG Dry Yield for whole plot = </t>
  </si>
  <si>
    <t>GRAIN</t>
  </si>
  <si>
    <t xml:space="preserve">Cob Bag &amp; Zip Weight (g) </t>
  </si>
  <si>
    <t xml:space="preserve">Grain Bag Weight (g) </t>
  </si>
  <si>
    <t>Grain Bag + Cob Bag + Zip Tie Weight (g)</t>
  </si>
  <si>
    <t>(X*0.36744)/2</t>
  </si>
  <si>
    <t>175.2 bu/acre</t>
  </si>
  <si>
    <t>215.18bu/ac</t>
  </si>
  <si>
    <t>Moist Yiueld</t>
  </si>
  <si>
    <t>Moist</t>
  </si>
  <si>
    <t># of Cobs</t>
  </si>
  <si>
    <t xml:space="preserve">Wet Cob Weight (g) </t>
  </si>
  <si>
    <t xml:space="preserve">Wet Cob - Bag Weight (g) </t>
  </si>
  <si>
    <t>Dried Cob Weight (g) [NO GRAIN]</t>
  </si>
  <si>
    <t>Dried Cob -  (bag + zip tye) weight (g)</t>
  </si>
  <si>
    <t xml:space="preserve">Dried Grain Weight (g) </t>
  </si>
  <si>
    <t xml:space="preserve">Dried Grain - Bag Weight - Corn Cob  (g) </t>
  </si>
  <si>
    <t>Yield (KG/HA) Corrected to 15.5% Moisture</t>
  </si>
  <si>
    <t>Yield (tons/ha) Corrected to 15.5% Moisture</t>
  </si>
  <si>
    <t xml:space="preserve">% C </t>
  </si>
  <si>
    <t>% N</t>
  </si>
  <si>
    <t>tons C/ha in Grain</t>
  </si>
  <si>
    <t>tons N/ha in Grain</t>
  </si>
  <si>
    <t>Yield Average (tons/ha)</t>
  </si>
  <si>
    <t>40.42</t>
  </si>
  <si>
    <t>1.14</t>
  </si>
  <si>
    <t>1.36</t>
  </si>
  <si>
    <t>41.25</t>
  </si>
  <si>
    <t>1.21</t>
  </si>
  <si>
    <t xml:space="preserve">Grain bag broke in Ovens. </t>
  </si>
  <si>
    <t>40.39</t>
  </si>
  <si>
    <t>1.15</t>
  </si>
  <si>
    <t>1.23</t>
  </si>
  <si>
    <t>40.72</t>
  </si>
  <si>
    <t>1.16</t>
  </si>
  <si>
    <t>1.19</t>
  </si>
  <si>
    <t>1.42</t>
  </si>
  <si>
    <t>40.98</t>
  </si>
  <si>
    <t>39.88</t>
  </si>
  <si>
    <t>1.10</t>
  </si>
  <si>
    <t>41.23</t>
  </si>
  <si>
    <t>1.03</t>
  </si>
  <si>
    <t>1.45</t>
  </si>
  <si>
    <t>40.25</t>
  </si>
  <si>
    <t>41.37</t>
  </si>
  <si>
    <t>1.43</t>
  </si>
  <si>
    <t>41.67</t>
  </si>
  <si>
    <t>Fertilized Yield</t>
  </si>
  <si>
    <t xml:space="preserve">0N yield </t>
  </si>
  <si>
    <t>40.02</t>
  </si>
  <si>
    <t>40.66</t>
  </si>
  <si>
    <t>1.37</t>
  </si>
  <si>
    <t>40.54</t>
  </si>
  <si>
    <t>1.20</t>
  </si>
  <si>
    <t>1.17</t>
  </si>
  <si>
    <t>40.21</t>
  </si>
  <si>
    <t>1.12</t>
  </si>
  <si>
    <t>40.64</t>
  </si>
  <si>
    <t>1.24</t>
  </si>
  <si>
    <t>Fertilized tons C/ha of Grian</t>
  </si>
  <si>
    <t>0N tons C/ha of Grain</t>
  </si>
  <si>
    <t>40.55</t>
  </si>
  <si>
    <t>1.13</t>
  </si>
  <si>
    <t>40.87</t>
  </si>
  <si>
    <t>40.16</t>
  </si>
  <si>
    <t>0.96</t>
  </si>
  <si>
    <t>40.53</t>
  </si>
  <si>
    <t>40.27</t>
  </si>
  <si>
    <t>1.02</t>
  </si>
  <si>
    <t>41.01</t>
  </si>
  <si>
    <t>1.34</t>
  </si>
  <si>
    <t>40.71</t>
  </si>
  <si>
    <t>40.46</t>
  </si>
  <si>
    <t>40.95</t>
  </si>
  <si>
    <t>Fertilized tons N/ha of Grain</t>
  </si>
  <si>
    <t>0N tons N/ha of Grain</t>
  </si>
  <si>
    <t>1.29</t>
  </si>
  <si>
    <t>40.26</t>
  </si>
  <si>
    <t>1.09</t>
  </si>
  <si>
    <t>40.89</t>
  </si>
  <si>
    <t>DRY</t>
  </si>
  <si>
    <t>40.52</t>
  </si>
  <si>
    <t>40.45</t>
  </si>
  <si>
    <t>0.93</t>
  </si>
  <si>
    <t>41.32</t>
  </si>
  <si>
    <t>1.18</t>
  </si>
  <si>
    <t>41.17</t>
  </si>
  <si>
    <t>42.01</t>
  </si>
  <si>
    <t>1.67</t>
  </si>
  <si>
    <t>40.15</t>
  </si>
  <si>
    <t>0.92</t>
  </si>
  <si>
    <t>40.48</t>
  </si>
  <si>
    <t>0.94</t>
  </si>
  <si>
    <t>kg C/ha in Grain</t>
  </si>
  <si>
    <t>kg N/ha in Grain</t>
  </si>
  <si>
    <t>CONV</t>
  </si>
  <si>
    <t>CONV+NUI</t>
  </si>
  <si>
    <t>DIV</t>
  </si>
  <si>
    <t>DIV+NUI</t>
  </si>
  <si>
    <t>Avg % Diff</t>
  </si>
  <si>
    <t>% Diff</t>
  </si>
  <si>
    <t>V6 Biomass</t>
  </si>
  <si>
    <t>VT Biomass</t>
  </si>
  <si>
    <t>R6 Biomass</t>
  </si>
  <si>
    <t>V6 Standard Deviation</t>
  </si>
  <si>
    <t>VT Standard Deviation</t>
  </si>
  <si>
    <t>R6 Standard Deviation</t>
  </si>
  <si>
    <t>Growth Stage</t>
  </si>
  <si>
    <t>CONV (0N)</t>
  </si>
  <si>
    <t>CONV+NUI (0N)</t>
  </si>
  <si>
    <t>DIV (0N)</t>
  </si>
  <si>
    <t>DIV+NUI (0N)</t>
  </si>
  <si>
    <t>1 kg = (1/1000)tons</t>
  </si>
  <si>
    <t>RYE</t>
  </si>
  <si>
    <t xml:space="preserve">Rye Bag Weight (g) = </t>
  </si>
  <si>
    <t xml:space="preserve">Rye Wet Weight (g) </t>
  </si>
  <si>
    <t xml:space="preserve">WET Rye - Bag Weight (g) </t>
  </si>
  <si>
    <t xml:space="preserve">Rye Dry Weight (g) </t>
  </si>
  <si>
    <t xml:space="preserve">DRY Rye - Bag Weight (g) </t>
  </si>
  <si>
    <t>Yield (kg/ha) Corrected to 15% Moisture</t>
  </si>
  <si>
    <t>tons C/ ha in CC</t>
  </si>
  <si>
    <t>tons N /ha in CC</t>
  </si>
  <si>
    <t>Dry Avg (tons/ha)</t>
  </si>
  <si>
    <t>Moist Avg (tons/ha)</t>
  </si>
  <si>
    <t>Rye dry Weight (tons/ha)</t>
  </si>
  <si>
    <t xml:space="preserve">Clover Dry Weight (tons/ha) </t>
  </si>
  <si>
    <t>Weeds Dry Weight (tons/ha)</t>
  </si>
  <si>
    <t>ALL Cover Crop Biomass (tons/ha)</t>
  </si>
  <si>
    <t>% Rye</t>
  </si>
  <si>
    <t xml:space="preserve">% Clover </t>
  </si>
  <si>
    <t>% Weeds</t>
  </si>
  <si>
    <t xml:space="preserve">Rye </t>
  </si>
  <si>
    <t>Clover</t>
  </si>
  <si>
    <t>Weeds</t>
  </si>
  <si>
    <t>Rye Sd</t>
  </si>
  <si>
    <t>Clover SD</t>
  </si>
  <si>
    <t>Weeds SD</t>
  </si>
  <si>
    <t>CC</t>
  </si>
  <si>
    <t>Rye</t>
  </si>
  <si>
    <t xml:space="preserve">Fertilized </t>
  </si>
  <si>
    <t>Diverse + NUI</t>
  </si>
  <si>
    <t>CLOVER</t>
  </si>
  <si>
    <t xml:space="preserve">Clover &amp;Weeds bag Weight (g) = </t>
  </si>
  <si>
    <t>ALL Cover Crop Biomass (kg/ha)</t>
  </si>
  <si>
    <t>Collectiopn DOY</t>
  </si>
  <si>
    <t>Clover Wet Weight (g)</t>
  </si>
  <si>
    <t>WET Clover - bag Weight (g)</t>
  </si>
  <si>
    <t>Clover Dry Weight (g)</t>
  </si>
  <si>
    <t>DRY Clover - Bag Weight (g)</t>
  </si>
  <si>
    <t>35.55</t>
  </si>
  <si>
    <t>WEEDS</t>
  </si>
  <si>
    <t>Weeds Wet Weight (g)</t>
  </si>
  <si>
    <t xml:space="preserve">Weeds Wet -Bag Weight (g) </t>
  </si>
  <si>
    <t xml:space="preserve">Weeds Dry Weight (g) </t>
  </si>
  <si>
    <t xml:space="preserve">Weeds Dry - Bag Weight (g) </t>
  </si>
  <si>
    <t xml:space="preserve">Kg C/ha </t>
  </si>
  <si>
    <t xml:space="preserve">N:N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</si>
</sst>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2"/>
      <color theme="1"/>
      <name val="Calibri"/>
      <family val="2"/>
      <scheme val="minor"/>
    </font>
    <font>
      <sz val="12"/>
      <color theme="1"/>
      <name val="Calibri"/>
      <family val="2"/>
      <scheme val="minor"/>
    </font>
    <font>
      <sz val="12"/>
      <color rgb="FF9C5700"/>
      <name val="Calibri"/>
      <family val="2"/>
      <scheme val="minor"/>
    </font>
    <font>
      <b/>
      <sz val="12"/>
      <color theme="1"/>
      <name val="Calibri"/>
      <family val="2"/>
      <scheme val="minor"/>
    </font>
    <font>
      <sz val="12"/>
      <color theme="0"/>
      <name val="Calibri"/>
      <family val="2"/>
      <scheme val="minor"/>
    </font>
    <font>
      <sz val="12"/>
      <color rgb="FF006100"/>
      <name val="Calibri"/>
      <family val="2"/>
      <scheme val="minor"/>
    </font>
    <font>
      <sz val="12"/>
      <color rgb="FF9C0006"/>
      <name val="Calibri"/>
      <family val="2"/>
      <scheme val="minor"/>
    </font>
    <font>
      <sz val="20"/>
      <color theme="1"/>
      <name val="Calibri"/>
      <family val="2"/>
      <scheme val="minor"/>
    </font>
    <font>
      <b/>
      <sz val="16"/>
      <color theme="1"/>
      <name val="Calibri"/>
      <family val="2"/>
      <scheme val="minor"/>
    </font>
    <font>
      <b/>
      <sz val="11"/>
      <color theme="1"/>
      <name val="Calibri"/>
      <family val="2"/>
      <scheme val="minor"/>
    </font>
    <font>
      <b/>
      <vertAlign val="superscript"/>
      <sz val="16"/>
      <color theme="1"/>
      <name val="Calibri"/>
      <family val="2"/>
      <scheme val="minor"/>
    </font>
    <font>
      <b/>
      <sz val="14"/>
      <color theme="1"/>
      <name val="Calibri"/>
      <family val="2"/>
      <scheme val="minor"/>
    </font>
    <font>
      <b/>
      <sz val="14"/>
      <color rgb="FF006100"/>
      <name val="Calibri"/>
      <family val="2"/>
      <scheme val="minor"/>
    </font>
    <font>
      <b/>
      <sz val="14"/>
      <color rgb="FFFF0000"/>
      <name val="Calibri"/>
      <family val="2"/>
      <scheme val="minor"/>
    </font>
    <font>
      <sz val="11"/>
      <color rgb="FFFF0000"/>
      <name val="Calibri"/>
      <family val="2"/>
      <scheme val="minor"/>
    </font>
    <font>
      <b/>
      <sz val="18"/>
      <color rgb="FF006100"/>
      <name val="Calibri"/>
      <family val="2"/>
      <scheme val="minor"/>
    </font>
    <font>
      <b/>
      <sz val="11"/>
      <color rgb="FF006100"/>
      <name val="Calibri"/>
      <family val="2"/>
      <scheme val="minor"/>
    </font>
    <font>
      <b/>
      <sz val="14"/>
      <color theme="9" tint="-0.499984740745262"/>
      <name val="Calibri"/>
      <family val="2"/>
      <scheme val="minor"/>
    </font>
    <font>
      <sz val="12"/>
      <color rgb="FF000000"/>
      <name val="Calibri"/>
      <family val="2"/>
      <scheme val="minor"/>
    </font>
    <font>
      <sz val="18"/>
      <color theme="1"/>
      <name val="Calibri"/>
      <family val="2"/>
      <scheme val="minor"/>
    </font>
    <font>
      <b/>
      <sz val="12"/>
      <color theme="0"/>
      <name val="Calibri"/>
      <family val="2"/>
      <scheme val="minor"/>
    </font>
    <font>
      <sz val="20"/>
      <color theme="1"/>
      <name val="Calibri (Body)"/>
    </font>
    <font>
      <sz val="36"/>
      <color theme="1"/>
      <name val="Calibri (Body)"/>
    </font>
    <font>
      <sz val="48"/>
      <color theme="1"/>
      <name val="Calibri (Body)"/>
    </font>
    <font>
      <sz val="14"/>
      <color theme="1"/>
      <name val="Calibri"/>
      <family val="2"/>
      <scheme val="minor"/>
    </font>
    <font>
      <b/>
      <sz val="18"/>
      <color theme="1"/>
      <name val="Calibri (Body)"/>
    </font>
    <font>
      <b/>
      <sz val="18"/>
      <color theme="1"/>
      <name val="Calibri"/>
      <family val="2"/>
      <scheme val="minor"/>
    </font>
    <font>
      <sz val="14"/>
      <color theme="0"/>
      <name val="Calibri"/>
      <family val="2"/>
      <scheme val="minor"/>
    </font>
    <font>
      <sz val="22"/>
      <color theme="1"/>
      <name val="Calibri"/>
      <family val="2"/>
      <scheme val="minor"/>
    </font>
    <font>
      <b/>
      <sz val="14"/>
      <color theme="0"/>
      <name val="Calibri"/>
      <family val="2"/>
      <scheme val="minor"/>
    </font>
    <font>
      <sz val="8"/>
      <name val="Calibri"/>
      <family val="2"/>
      <scheme val="minor"/>
    </font>
    <font>
      <sz val="20"/>
      <color theme="0"/>
      <name val="Calibri"/>
      <family val="2"/>
      <scheme val="minor"/>
    </font>
    <font>
      <b/>
      <sz val="20"/>
      <color theme="1"/>
      <name val="Calibri"/>
      <family val="2"/>
      <scheme val="minor"/>
    </font>
    <font>
      <sz val="16"/>
      <color theme="0"/>
      <name val="Calibri"/>
      <family val="2"/>
      <scheme val="minor"/>
    </font>
    <font>
      <b/>
      <sz val="16"/>
      <color theme="0"/>
      <name val="Calibri"/>
      <family val="2"/>
      <scheme val="minor"/>
    </font>
    <font>
      <sz val="20"/>
      <color rgb="FFFFFFFF"/>
      <name val="Calibri"/>
      <family val="2"/>
      <scheme val="minor"/>
    </font>
    <font>
      <sz val="20"/>
      <color rgb="FF000000"/>
      <name val="Calibri"/>
      <family val="2"/>
      <scheme val="minor"/>
    </font>
    <font>
      <b/>
      <sz val="11"/>
      <color rgb="FFFF0000"/>
      <name val="Calibri"/>
      <family val="2"/>
      <scheme val="minor"/>
    </font>
    <font>
      <sz val="16"/>
      <color theme="1"/>
      <name val="Calibri"/>
      <family val="2"/>
      <scheme val="minor"/>
    </font>
    <font>
      <b/>
      <sz val="18"/>
      <color theme="0"/>
      <name val="Calibri"/>
      <family val="2"/>
      <scheme val="minor"/>
    </font>
    <font>
      <b/>
      <sz val="20"/>
      <color theme="0"/>
      <name val="Calibri"/>
      <family val="2"/>
      <scheme val="minor"/>
    </font>
    <font>
      <sz val="12"/>
      <color rgb="FFFF0000"/>
      <name val="Calibri"/>
      <family val="2"/>
      <scheme val="minor"/>
    </font>
  </fonts>
  <fills count="29">
    <fill>
      <patternFill patternType="none"/>
    </fill>
    <fill>
      <patternFill patternType="gray125"/>
    </fill>
    <fill>
      <patternFill patternType="solid">
        <fgColor rgb="FFFFEB9C"/>
      </patternFill>
    </fill>
    <fill>
      <patternFill patternType="solid">
        <fgColor theme="4"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gray125">
        <fgColor theme="9"/>
        <bgColor theme="9" tint="0.79995117038483843"/>
      </patternFill>
    </fill>
    <fill>
      <patternFill patternType="solid">
        <fgColor rgb="FFC6EFCE"/>
      </patternFill>
    </fill>
    <fill>
      <patternFill patternType="solid">
        <fgColor rgb="FFFFC7CE"/>
      </patternFill>
    </fill>
    <fill>
      <patternFill patternType="solid">
        <fgColor theme="5" tint="0.79998168889431442"/>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rgb="FFC6E0B4"/>
        <bgColor rgb="FF000000"/>
      </patternFill>
    </fill>
    <fill>
      <patternFill patternType="solid">
        <fgColor rgb="FF70AD47"/>
        <bgColor rgb="FF000000"/>
      </patternFill>
    </fill>
    <fill>
      <patternFill patternType="solid">
        <fgColor rgb="FFE2EFDA"/>
        <bgColor rgb="FF000000"/>
      </patternFill>
    </fill>
    <fill>
      <patternFill patternType="solid">
        <fgColor rgb="FFFFFFCC"/>
      </patternFill>
    </fill>
    <fill>
      <patternFill patternType="solid">
        <fgColor theme="6" tint="0.59999389629810485"/>
        <bgColor indexed="65"/>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bgColor theme="9"/>
      </patternFill>
    </fill>
    <fill>
      <patternFill patternType="solid">
        <fgColor theme="9" tint="0.79998168889431442"/>
        <bgColor theme="9" tint="0.79998168889431442"/>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1"/>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style="medium">
        <color theme="1"/>
      </top>
      <bottom style="medium">
        <color theme="1"/>
      </bottom>
      <diagonal/>
    </border>
    <border>
      <left style="thin">
        <color rgb="FFB2B2B2"/>
      </left>
      <right style="thin">
        <color rgb="FFB2B2B2"/>
      </right>
      <top style="thin">
        <color rgb="FFB2B2B2"/>
      </top>
      <bottom style="thin">
        <color rgb="FFB2B2B2"/>
      </bottom>
      <diagonal/>
    </border>
    <border>
      <left style="thin">
        <color theme="1"/>
      </left>
      <right/>
      <top style="thin">
        <color theme="1"/>
      </top>
      <bottom style="thin">
        <color theme="1"/>
      </bottom>
      <diagonal/>
    </border>
    <border>
      <left/>
      <right/>
      <top style="thin">
        <color indexed="64"/>
      </top>
      <bottom/>
      <diagonal/>
    </border>
    <border>
      <left/>
      <right style="thin">
        <color theme="1"/>
      </right>
      <top style="thin">
        <color theme="1"/>
      </top>
      <bottom style="thin">
        <color theme="1"/>
      </bottom>
      <diagonal/>
    </border>
    <border>
      <left style="thin">
        <color theme="0"/>
      </left>
      <right/>
      <top style="thick">
        <color theme="0"/>
      </top>
      <bottom/>
      <diagonal/>
    </border>
    <border>
      <left style="thin">
        <color theme="0"/>
      </left>
      <right/>
      <top/>
      <bottom/>
      <diagonal/>
    </border>
    <border>
      <left/>
      <right/>
      <top style="thin">
        <color theme="9" tint="0.3999755851924192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indexed="64"/>
      </left>
      <right style="thin">
        <color indexed="64"/>
      </right>
      <top/>
      <bottom/>
      <diagonal/>
    </border>
  </borders>
  <cellStyleXfs count="16">
    <xf numFmtId="0" fontId="0" fillId="0" borderId="0"/>
    <xf numFmtId="0" fontId="2" fillId="2" borderId="0" applyNumberFormat="0" applyBorder="0" applyAlignment="0" applyProtection="0"/>
    <xf numFmtId="0" fontId="1"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9" borderId="25" applyNumberFormat="0" applyFont="0" applyAlignment="0" applyProtection="0"/>
    <xf numFmtId="0" fontId="1" fillId="20" borderId="0" applyNumberFormat="0" applyBorder="0" applyAlignment="0" applyProtection="0"/>
  </cellStyleXfs>
  <cellXfs count="317">
    <xf numFmtId="0" fontId="0" fillId="0" borderId="0" xfId="0"/>
    <xf numFmtId="0" fontId="1" fillId="3" borderId="0" xfId="2"/>
    <xf numFmtId="0" fontId="2" fillId="2" borderId="0" xfId="1"/>
    <xf numFmtId="0" fontId="4" fillId="4" borderId="0" xfId="3"/>
    <xf numFmtId="0" fontId="1" fillId="7" borderId="0" xfId="6"/>
    <xf numFmtId="15" fontId="1" fillId="5" borderId="0" xfId="4" applyNumberFormat="1" applyAlignment="1">
      <alignment horizontal="center"/>
    </xf>
    <xf numFmtId="0" fontId="1" fillId="6" borderId="0" xfId="5" applyAlignment="1">
      <alignment horizontal="center"/>
    </xf>
    <xf numFmtId="0" fontId="1" fillId="5" borderId="0" xfId="4"/>
    <xf numFmtId="0" fontId="3" fillId="5" borderId="0" xfId="4" applyFont="1" applyAlignment="1">
      <alignment horizontal="center"/>
    </xf>
    <xf numFmtId="0" fontId="3" fillId="8" borderId="0" xfId="4" applyFont="1" applyFill="1" applyAlignment="1">
      <alignment horizontal="center"/>
    </xf>
    <xf numFmtId="0" fontId="1" fillId="5" borderId="0" xfId="4" applyAlignment="1">
      <alignment horizontal="center"/>
    </xf>
    <xf numFmtId="0" fontId="1" fillId="6" borderId="0" xfId="5"/>
    <xf numFmtId="0" fontId="0" fillId="5" borderId="0" xfId="4" applyFont="1" applyAlignment="1">
      <alignment horizontal="center"/>
    </xf>
    <xf numFmtId="0" fontId="1" fillId="5" borderId="0" xfId="4" applyAlignment="1">
      <alignment horizontal="left"/>
    </xf>
    <xf numFmtId="0" fontId="0" fillId="0" borderId="0" xfId="0" applyAlignment="1">
      <alignment horizontal="center"/>
    </xf>
    <xf numFmtId="0" fontId="0" fillId="0" borderId="0" xfId="0" applyAlignment="1">
      <alignment horizontal="right"/>
    </xf>
    <xf numFmtId="0" fontId="7" fillId="0" borderId="0" xfId="0" applyFont="1"/>
    <xf numFmtId="0" fontId="0" fillId="0" borderId="0" xfId="0" applyAlignment="1">
      <alignment vertical="center"/>
    </xf>
    <xf numFmtId="0" fontId="9" fillId="0" borderId="0" xfId="0" applyFont="1"/>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0" fontId="9" fillId="0" borderId="1" xfId="0" applyFont="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164" fontId="0" fillId="0" borderId="1" xfId="0" applyNumberFormat="1" applyBorder="1" applyAlignment="1">
      <alignment horizontal="center" vertical="center"/>
    </xf>
    <xf numFmtId="0" fontId="6" fillId="10" borderId="0" xfId="8"/>
    <xf numFmtId="0" fontId="6" fillId="10" borderId="1" xfId="8" applyBorder="1"/>
    <xf numFmtId="0" fontId="0" fillId="0" borderId="1" xfId="0" applyBorder="1"/>
    <xf numFmtId="0" fontId="12" fillId="9" borderId="0" xfId="7" applyFont="1" applyAlignment="1">
      <alignment horizontal="center"/>
    </xf>
    <xf numFmtId="164" fontId="12" fillId="9" borderId="0" xfId="7" applyNumberFormat="1" applyFont="1" applyAlignment="1">
      <alignment horizontal="center"/>
    </xf>
    <xf numFmtId="164" fontId="13" fillId="9" borderId="0" xfId="7" applyNumberFormat="1" applyFont="1" applyAlignment="1">
      <alignment horizontal="center"/>
    </xf>
    <xf numFmtId="164" fontId="11" fillId="9" borderId="0" xfId="7" applyNumberFormat="1" applyFont="1" applyAlignment="1">
      <alignment horizontal="center"/>
    </xf>
    <xf numFmtId="0" fontId="12" fillId="9" borderId="0" xfId="7" applyFont="1" applyAlignment="1">
      <alignment horizontal="center" vertical="center"/>
    </xf>
    <xf numFmtId="164" fontId="12" fillId="9" borderId="0" xfId="7" applyNumberFormat="1" applyFont="1" applyAlignment="1">
      <alignment horizontal="center" vertical="center"/>
    </xf>
    <xf numFmtId="164" fontId="13" fillId="9" borderId="0" xfId="7" applyNumberFormat="1" applyFont="1" applyAlignment="1">
      <alignment horizontal="center" vertical="center"/>
    </xf>
    <xf numFmtId="164" fontId="0" fillId="0" borderId="0" xfId="0" applyNumberFormat="1"/>
    <xf numFmtId="0" fontId="3" fillId="0" borderId="0" xfId="0" applyFont="1"/>
    <xf numFmtId="0" fontId="3" fillId="0" borderId="1" xfId="0" applyFont="1" applyBorder="1"/>
    <xf numFmtId="0" fontId="13" fillId="9" borderId="0" xfId="7" applyFont="1" applyAlignment="1">
      <alignment horizontal="center"/>
    </xf>
    <xf numFmtId="0" fontId="1" fillId="0" borderId="1" xfId="0" applyFont="1" applyBorder="1" applyAlignment="1">
      <alignment horizontal="center" vertical="center"/>
    </xf>
    <xf numFmtId="0" fontId="14" fillId="0" borderId="0" xfId="0" applyFont="1"/>
    <xf numFmtId="0" fontId="3" fillId="0" borderId="0" xfId="0" applyFont="1" applyAlignment="1">
      <alignment vertical="center"/>
    </xf>
    <xf numFmtId="0" fontId="0" fillId="0" borderId="0" xfId="0" applyAlignment="1">
      <alignment horizontal="center" vertical="center"/>
    </xf>
    <xf numFmtId="0" fontId="7" fillId="0" borderId="0" xfId="0" applyFont="1" applyAlignment="1">
      <alignment vertical="center"/>
    </xf>
    <xf numFmtId="0" fontId="9" fillId="0" borderId="0" xfId="0" applyFont="1" applyAlignment="1">
      <alignment horizontal="left" vertical="center"/>
    </xf>
    <xf numFmtId="0" fontId="11" fillId="0" borderId="0" xfId="0" applyFont="1" applyAlignment="1">
      <alignment horizontal="center" vertical="center"/>
    </xf>
    <xf numFmtId="0" fontId="9" fillId="0" borderId="0" xfId="0" applyFont="1" applyAlignment="1">
      <alignment vertical="center"/>
    </xf>
    <xf numFmtId="0" fontId="15" fillId="9" borderId="1" xfId="7" applyFont="1" applyBorder="1" applyAlignment="1">
      <alignment horizontal="center"/>
    </xf>
    <xf numFmtId="0" fontId="16" fillId="9" borderId="1" xfId="7" applyFont="1" applyBorder="1" applyAlignment="1">
      <alignment horizontal="center" vertical="center"/>
    </xf>
    <xf numFmtId="0" fontId="5" fillId="9" borderId="1" xfId="7" applyBorder="1" applyAlignment="1">
      <alignment vertical="center"/>
    </xf>
    <xf numFmtId="164" fontId="12" fillId="9" borderId="0" xfId="7" applyNumberFormat="1" applyFont="1" applyBorder="1" applyAlignment="1">
      <alignment horizontal="center" vertical="center"/>
    </xf>
    <xf numFmtId="0" fontId="9" fillId="0" borderId="1" xfId="0" applyFont="1" applyBorder="1" applyAlignment="1">
      <alignment horizontal="center" vertical="center"/>
    </xf>
    <xf numFmtId="0" fontId="9" fillId="0" borderId="0" xfId="0" applyFont="1" applyAlignment="1">
      <alignment horizontal="center" vertical="center"/>
    </xf>
    <xf numFmtId="164" fontId="17" fillId="9" borderId="0" xfId="7" applyNumberFormat="1" applyFont="1" applyAlignment="1">
      <alignment horizontal="center"/>
    </xf>
    <xf numFmtId="0" fontId="5" fillId="9" borderId="1" xfId="7" applyBorder="1" applyAlignment="1">
      <alignment horizontal="center" vertical="center"/>
    </xf>
    <xf numFmtId="0" fontId="3" fillId="0" borderId="1" xfId="0" applyFont="1" applyBorder="1" applyAlignment="1">
      <alignment vertical="center"/>
    </xf>
    <xf numFmtId="0" fontId="9" fillId="0" borderId="1" xfId="0" applyFont="1" applyBorder="1"/>
    <xf numFmtId="164" fontId="0" fillId="0" borderId="0" xfId="0" applyNumberFormat="1" applyAlignment="1">
      <alignment horizontal="center"/>
    </xf>
    <xf numFmtId="0" fontId="12" fillId="9" borderId="0" xfId="7" applyFont="1" applyAlignment="1">
      <alignment vertical="center"/>
    </xf>
    <xf numFmtId="1" fontId="0" fillId="0" borderId="0" xfId="0" applyNumberFormat="1" applyAlignment="1">
      <alignment vertical="center"/>
    </xf>
    <xf numFmtId="49" fontId="0" fillId="0" borderId="0" xfId="0" applyNumberFormat="1" applyAlignment="1">
      <alignment horizontal="center"/>
    </xf>
    <xf numFmtId="0" fontId="19" fillId="0" borderId="0" xfId="0" applyFont="1"/>
    <xf numFmtId="0" fontId="19" fillId="0" borderId="0" xfId="0" applyFont="1" applyAlignment="1">
      <alignment horizontal="center"/>
    </xf>
    <xf numFmtId="16" fontId="19" fillId="0" borderId="0" xfId="0" applyNumberFormat="1" applyFont="1" applyAlignment="1">
      <alignment horizontal="center"/>
    </xf>
    <xf numFmtId="0" fontId="22" fillId="0" borderId="0" xfId="0" applyFont="1" applyAlignment="1">
      <alignment horizontal="center"/>
    </xf>
    <xf numFmtId="0" fontId="23" fillId="0" borderId="0" xfId="0" applyFont="1"/>
    <xf numFmtId="0" fontId="4" fillId="12" borderId="0" xfId="10" applyAlignment="1">
      <alignment horizontal="center"/>
    </xf>
    <xf numFmtId="0" fontId="1" fillId="13" borderId="12" xfId="11" applyBorder="1" applyAlignment="1">
      <alignment horizontal="center"/>
    </xf>
    <xf numFmtId="0" fontId="1" fillId="13" borderId="13" xfId="11" applyBorder="1" applyAlignment="1">
      <alignment horizontal="center"/>
    </xf>
    <xf numFmtId="16" fontId="1" fillId="13" borderId="13" xfId="11" applyNumberFormat="1" applyBorder="1" applyAlignment="1">
      <alignment horizontal="center"/>
    </xf>
    <xf numFmtId="0" fontId="1" fillId="13" borderId="17" xfId="11" applyBorder="1" applyAlignment="1">
      <alignment horizontal="center"/>
    </xf>
    <xf numFmtId="0" fontId="1" fillId="13" borderId="15" xfId="11" applyBorder="1" applyAlignment="1">
      <alignment horizontal="center"/>
    </xf>
    <xf numFmtId="0" fontId="1" fillId="13" borderId="0" xfId="11" applyAlignment="1">
      <alignment horizontal="center"/>
    </xf>
    <xf numFmtId="0" fontId="21" fillId="0" borderId="0" xfId="0" applyFont="1" applyAlignment="1">
      <alignment horizontal="center"/>
    </xf>
    <xf numFmtId="0" fontId="4" fillId="4" borderId="0" xfId="3" applyAlignment="1">
      <alignment horizontal="center"/>
    </xf>
    <xf numFmtId="0" fontId="4" fillId="12" borderId="0" xfId="10"/>
    <xf numFmtId="16" fontId="1" fillId="5" borderId="0" xfId="4" applyNumberFormat="1" applyAlignment="1">
      <alignment horizontal="center"/>
    </xf>
    <xf numFmtId="0" fontId="1" fillId="5" borderId="0" xfId="4" applyNumberFormat="1" applyAlignment="1">
      <alignment horizontal="center"/>
    </xf>
    <xf numFmtId="0" fontId="0" fillId="0" borderId="19" xfId="0" applyBorder="1"/>
    <xf numFmtId="0" fontId="0" fillId="0" borderId="2" xfId="0" applyBorder="1" applyAlignment="1">
      <alignment vertical="center"/>
    </xf>
    <xf numFmtId="164" fontId="0" fillId="0" borderId="2" xfId="0" applyNumberFormat="1" applyBorder="1" applyAlignment="1">
      <alignment horizontal="center" vertical="center"/>
    </xf>
    <xf numFmtId="0" fontId="9" fillId="0" borderId="4" xfId="0" applyFont="1" applyBorder="1" applyAlignment="1">
      <alignment horizontal="center"/>
    </xf>
    <xf numFmtId="0" fontId="0" fillId="0" borderId="4" xfId="0" applyBorder="1" applyAlignment="1">
      <alignment horizontal="center"/>
    </xf>
    <xf numFmtId="0" fontId="3" fillId="0" borderId="19" xfId="0" applyFont="1" applyBorder="1" applyAlignment="1">
      <alignment vertical="center"/>
    </xf>
    <xf numFmtId="0" fontId="0" fillId="0" borderId="4" xfId="0" applyBorder="1" applyAlignment="1">
      <alignment vertical="center"/>
    </xf>
    <xf numFmtId="0" fontId="0" fillId="0" borderId="4" xfId="0" applyBorder="1" applyAlignment="1">
      <alignment horizontal="center" vertical="center"/>
    </xf>
    <xf numFmtId="0" fontId="9" fillId="0" borderId="19" xfId="0" applyFont="1" applyBorder="1" applyAlignment="1">
      <alignment vertical="center"/>
    </xf>
    <xf numFmtId="0" fontId="0" fillId="0" borderId="19" xfId="0" applyBorder="1" applyAlignment="1">
      <alignment horizontal="center"/>
    </xf>
    <xf numFmtId="0" fontId="24" fillId="0" borderId="0" xfId="0" applyFont="1" applyAlignment="1">
      <alignment horizontal="center"/>
    </xf>
    <xf numFmtId="0" fontId="20" fillId="4" borderId="0" xfId="3" applyFont="1" applyAlignment="1">
      <alignment horizontal="center"/>
    </xf>
    <xf numFmtId="0" fontId="4" fillId="4" borderId="0" xfId="3" applyBorder="1"/>
    <xf numFmtId="49" fontId="1" fillId="13" borderId="0" xfId="11" applyNumberFormat="1" applyAlignment="1">
      <alignment horizontal="center"/>
    </xf>
    <xf numFmtId="0" fontId="25" fillId="0" borderId="0" xfId="0" applyFont="1"/>
    <xf numFmtId="0" fontId="26" fillId="0" borderId="0" xfId="0" applyFont="1" applyAlignment="1">
      <alignment horizontal="center"/>
    </xf>
    <xf numFmtId="0" fontId="1" fillId="13" borderId="21" xfId="11" applyBorder="1" applyAlignment="1">
      <alignment horizontal="center"/>
    </xf>
    <xf numFmtId="0" fontId="1" fillId="13" borderId="22" xfId="11" applyBorder="1" applyAlignment="1">
      <alignment horizontal="center"/>
    </xf>
    <xf numFmtId="0" fontId="1" fillId="13" borderId="23" xfId="11" applyBorder="1" applyAlignment="1">
      <alignment horizontal="center"/>
    </xf>
    <xf numFmtId="0" fontId="1" fillId="5" borderId="0" xfId="4" applyBorder="1" applyAlignment="1">
      <alignment horizontal="center"/>
    </xf>
    <xf numFmtId="0" fontId="25" fillId="0" borderId="0" xfId="0" applyFont="1" applyAlignment="1">
      <alignment horizontal="center"/>
    </xf>
    <xf numFmtId="0" fontId="26" fillId="11" borderId="0" xfId="9" applyFont="1" applyAlignment="1">
      <alignment horizontal="center"/>
    </xf>
    <xf numFmtId="16" fontId="1" fillId="6" borderId="0" xfId="5" applyNumberFormat="1" applyAlignment="1">
      <alignment horizontal="center"/>
    </xf>
    <xf numFmtId="0" fontId="19" fillId="6" borderId="0" xfId="5" applyFont="1" applyAlignment="1">
      <alignment horizontal="center"/>
    </xf>
    <xf numFmtId="16" fontId="19" fillId="6" borderId="0" xfId="5" applyNumberFormat="1" applyFont="1" applyAlignment="1">
      <alignment horizontal="center"/>
    </xf>
    <xf numFmtId="0" fontId="27" fillId="4" borderId="0" xfId="3" applyFont="1" applyAlignment="1">
      <alignment horizontal="center"/>
    </xf>
    <xf numFmtId="0" fontId="27" fillId="12" borderId="10" xfId="10" applyFont="1" applyBorder="1" applyAlignment="1">
      <alignment horizontal="center"/>
    </xf>
    <xf numFmtId="0" fontId="27" fillId="12" borderId="11" xfId="10" applyFont="1" applyBorder="1" applyAlignment="1">
      <alignment horizontal="center"/>
    </xf>
    <xf numFmtId="0" fontId="27" fillId="12" borderId="22" xfId="10" applyFont="1" applyBorder="1" applyAlignment="1">
      <alignment horizontal="center"/>
    </xf>
    <xf numFmtId="0" fontId="27" fillId="12" borderId="16" xfId="10" applyFont="1" applyBorder="1" applyAlignment="1">
      <alignment horizontal="center"/>
    </xf>
    <xf numFmtId="0" fontId="27" fillId="12" borderId="0" xfId="10" applyFont="1" applyAlignment="1">
      <alignment horizontal="center"/>
    </xf>
    <xf numFmtId="0" fontId="27" fillId="12" borderId="20" xfId="10" applyFont="1" applyBorder="1" applyAlignment="1">
      <alignment horizontal="center"/>
    </xf>
    <xf numFmtId="0" fontId="28" fillId="0" borderId="0" xfId="0" applyFont="1"/>
    <xf numFmtId="0" fontId="1" fillId="14" borderId="12" xfId="12" applyBorder="1" applyAlignment="1">
      <alignment horizontal="center"/>
    </xf>
    <xf numFmtId="0" fontId="1" fillId="14" borderId="13" xfId="12" applyBorder="1" applyAlignment="1">
      <alignment horizontal="center"/>
    </xf>
    <xf numFmtId="0" fontId="1" fillId="14" borderId="17" xfId="12" applyBorder="1" applyAlignment="1">
      <alignment horizontal="center"/>
    </xf>
    <xf numFmtId="0" fontId="1" fillId="14" borderId="22" xfId="12" applyBorder="1" applyAlignment="1">
      <alignment horizontal="center"/>
    </xf>
    <xf numFmtId="16" fontId="1" fillId="14" borderId="13" xfId="12" applyNumberFormat="1" applyBorder="1" applyAlignment="1">
      <alignment horizontal="center"/>
    </xf>
    <xf numFmtId="0" fontId="1" fillId="14" borderId="0" xfId="12" applyAlignment="1">
      <alignment horizontal="center"/>
    </xf>
    <xf numFmtId="0" fontId="1" fillId="14" borderId="21" xfId="12" applyBorder="1" applyAlignment="1">
      <alignment horizontal="center"/>
    </xf>
    <xf numFmtId="0" fontId="1" fillId="14" borderId="14" xfId="12" applyBorder="1" applyAlignment="1">
      <alignment horizontal="center"/>
    </xf>
    <xf numFmtId="0" fontId="1" fillId="14" borderId="15" xfId="12" applyBorder="1" applyAlignment="1">
      <alignment horizontal="center"/>
    </xf>
    <xf numFmtId="16" fontId="1" fillId="14" borderId="15" xfId="12" applyNumberFormat="1" applyBorder="1" applyAlignment="1">
      <alignment horizontal="center"/>
    </xf>
    <xf numFmtId="0" fontId="1" fillId="14" borderId="18" xfId="12" applyBorder="1" applyAlignment="1">
      <alignment horizontal="center"/>
    </xf>
    <xf numFmtId="0" fontId="1" fillId="13" borderId="0" xfId="11" applyBorder="1" applyAlignment="1">
      <alignment horizontal="center"/>
    </xf>
    <xf numFmtId="0" fontId="1" fillId="13" borderId="0" xfId="11" applyNumberFormat="1" applyAlignment="1">
      <alignment horizontal="center"/>
    </xf>
    <xf numFmtId="0" fontId="29" fillId="12" borderId="10" xfId="10" applyFont="1" applyBorder="1" applyAlignment="1">
      <alignment horizontal="center"/>
    </xf>
    <xf numFmtId="0" fontId="29" fillId="12" borderId="11" xfId="10" applyFont="1" applyBorder="1" applyAlignment="1">
      <alignment horizontal="center"/>
    </xf>
    <xf numFmtId="0" fontId="0" fillId="13" borderId="12" xfId="11" applyFont="1" applyBorder="1" applyAlignment="1">
      <alignment horizontal="center"/>
    </xf>
    <xf numFmtId="0" fontId="0" fillId="13" borderId="13" xfId="11" applyFont="1" applyBorder="1" applyAlignment="1">
      <alignment horizontal="center"/>
    </xf>
    <xf numFmtId="0" fontId="0" fillId="14" borderId="12" xfId="12" applyFont="1" applyBorder="1" applyAlignment="1">
      <alignment horizontal="center"/>
    </xf>
    <xf numFmtId="0" fontId="0" fillId="14" borderId="13" xfId="12" applyFont="1" applyBorder="1" applyAlignment="1">
      <alignment horizontal="center"/>
    </xf>
    <xf numFmtId="0" fontId="0" fillId="14" borderId="14" xfId="12" applyFont="1" applyBorder="1" applyAlignment="1">
      <alignment horizontal="center"/>
    </xf>
    <xf numFmtId="0" fontId="0" fillId="14" borderId="15" xfId="12" applyFont="1" applyBorder="1" applyAlignment="1">
      <alignment horizontal="center"/>
    </xf>
    <xf numFmtId="0" fontId="29" fillId="12" borderId="20" xfId="10" applyFont="1" applyBorder="1" applyAlignment="1">
      <alignment horizontal="center"/>
    </xf>
    <xf numFmtId="0" fontId="0" fillId="13" borderId="13" xfId="11" applyNumberFormat="1" applyFont="1" applyBorder="1" applyAlignment="1">
      <alignment horizontal="center"/>
    </xf>
    <xf numFmtId="0" fontId="29" fillId="12" borderId="0" xfId="10" applyFont="1" applyBorder="1" applyAlignment="1">
      <alignment horizontal="center"/>
    </xf>
    <xf numFmtId="0" fontId="7" fillId="0" borderId="0" xfId="0" applyFont="1" applyAlignment="1">
      <alignment horizontal="center"/>
    </xf>
    <xf numFmtId="0" fontId="7" fillId="0" borderId="0" xfId="0" applyFont="1" applyAlignment="1">
      <alignment horizontal="left"/>
    </xf>
    <xf numFmtId="0" fontId="1" fillId="7" borderId="0" xfId="6" applyAlignment="1">
      <alignment horizontal="left"/>
    </xf>
    <xf numFmtId="49" fontId="0" fillId="14" borderId="13" xfId="12" applyNumberFormat="1" applyFont="1" applyBorder="1" applyAlignment="1">
      <alignment horizontal="center"/>
    </xf>
    <xf numFmtId="0" fontId="1" fillId="6" borderId="0" xfId="5" applyNumberFormat="1" applyAlignment="1">
      <alignment horizontal="center"/>
    </xf>
    <xf numFmtId="49" fontId="1" fillId="14" borderId="13" xfId="12" applyNumberFormat="1" applyBorder="1" applyAlignment="1">
      <alignment horizontal="center"/>
    </xf>
    <xf numFmtId="0" fontId="1" fillId="14" borderId="13" xfId="12" applyNumberFormat="1" applyBorder="1" applyAlignment="1">
      <alignment horizontal="center"/>
    </xf>
    <xf numFmtId="49" fontId="1" fillId="14" borderId="15" xfId="12" applyNumberFormat="1" applyBorder="1" applyAlignment="1">
      <alignment horizontal="center"/>
    </xf>
    <xf numFmtId="0" fontId="1" fillId="14" borderId="15" xfId="12" applyNumberFormat="1" applyBorder="1" applyAlignment="1">
      <alignment horizontal="center"/>
    </xf>
    <xf numFmtId="0" fontId="1" fillId="15" borderId="0" xfId="13"/>
    <xf numFmtId="0" fontId="20" fillId="12" borderId="0" xfId="10" applyFont="1" applyAlignment="1">
      <alignment horizontal="center"/>
    </xf>
    <xf numFmtId="0" fontId="1" fillId="7" borderId="0" xfId="6" applyAlignment="1">
      <alignment horizontal="center"/>
    </xf>
    <xf numFmtId="0" fontId="19" fillId="11" borderId="0" xfId="9" applyFont="1" applyAlignment="1">
      <alignment horizontal="center"/>
    </xf>
    <xf numFmtId="16" fontId="19" fillId="11" borderId="0" xfId="9" applyNumberFormat="1" applyFont="1" applyAlignment="1">
      <alignment horizontal="center"/>
    </xf>
    <xf numFmtId="0" fontId="1" fillId="7" borderId="0" xfId="6" applyBorder="1" applyAlignment="1">
      <alignment horizontal="center"/>
    </xf>
    <xf numFmtId="0" fontId="1" fillId="13" borderId="0" xfId="11"/>
    <xf numFmtId="0" fontId="1" fillId="5" borderId="0" xfId="4" applyAlignment="1">
      <alignment horizontal="right"/>
    </xf>
    <xf numFmtId="0" fontId="0" fillId="5" borderId="0" xfId="4" applyNumberFormat="1" applyFont="1" applyAlignment="1">
      <alignment horizontal="center"/>
    </xf>
    <xf numFmtId="0" fontId="31" fillId="4" borderId="0" xfId="3" applyFont="1"/>
    <xf numFmtId="0" fontId="7" fillId="5" borderId="0" xfId="4" applyFont="1" applyAlignment="1">
      <alignment horizontal="center"/>
    </xf>
    <xf numFmtId="0" fontId="7" fillId="5" borderId="0" xfId="4" applyFont="1"/>
    <xf numFmtId="0" fontId="0" fillId="13" borderId="17" xfId="11" applyNumberFormat="1" applyFont="1" applyBorder="1" applyAlignment="1">
      <alignment horizontal="center"/>
    </xf>
    <xf numFmtId="0" fontId="1" fillId="14" borderId="0" xfId="12"/>
    <xf numFmtId="0" fontId="4" fillId="12" borderId="0" xfId="10" applyBorder="1" applyAlignment="1">
      <alignment horizontal="center"/>
    </xf>
    <xf numFmtId="0" fontId="1" fillId="15" borderId="0" xfId="13" applyNumberFormat="1" applyAlignment="1">
      <alignment horizontal="center"/>
    </xf>
    <xf numFmtId="0" fontId="1" fillId="14" borderId="0" xfId="12" applyNumberFormat="1" applyAlignment="1">
      <alignment horizontal="center"/>
    </xf>
    <xf numFmtId="0" fontId="0" fillId="13" borderId="17" xfId="11" applyFont="1" applyBorder="1" applyAlignment="1">
      <alignment horizontal="center"/>
    </xf>
    <xf numFmtId="0" fontId="20" fillId="12" borderId="11" xfId="10" applyFont="1" applyBorder="1" applyAlignment="1">
      <alignment horizontal="center"/>
    </xf>
    <xf numFmtId="0" fontId="20" fillId="12" borderId="16" xfId="10" applyFont="1" applyBorder="1" applyAlignment="1">
      <alignment horizontal="center"/>
    </xf>
    <xf numFmtId="0" fontId="18" fillId="16" borderId="0" xfId="0" applyFont="1" applyFill="1" applyAlignment="1">
      <alignment horizontal="center"/>
    </xf>
    <xf numFmtId="0" fontId="19" fillId="5" borderId="0" xfId="4" applyFont="1" applyAlignment="1">
      <alignment horizontal="center"/>
    </xf>
    <xf numFmtId="16" fontId="19" fillId="5" borderId="0" xfId="4" applyNumberFormat="1" applyFont="1" applyAlignment="1">
      <alignment horizontal="center"/>
    </xf>
    <xf numFmtId="0" fontId="19" fillId="5" borderId="0" xfId="4" applyNumberFormat="1" applyFont="1" applyAlignment="1">
      <alignment horizontal="center"/>
    </xf>
    <xf numFmtId="0" fontId="19" fillId="6" borderId="0" xfId="5" applyNumberFormat="1" applyFont="1" applyAlignment="1">
      <alignment horizontal="center"/>
    </xf>
    <xf numFmtId="0" fontId="32" fillId="11" borderId="0" xfId="9" applyFont="1" applyAlignment="1">
      <alignment horizontal="center"/>
    </xf>
    <xf numFmtId="0" fontId="26" fillId="11" borderId="0" xfId="9" applyNumberFormat="1" applyFont="1" applyAlignment="1">
      <alignment horizontal="center"/>
    </xf>
    <xf numFmtId="0" fontId="20" fillId="12" borderId="0" xfId="10" applyFont="1" applyBorder="1" applyAlignment="1">
      <alignment horizontal="center"/>
    </xf>
    <xf numFmtId="0" fontId="0" fillId="13" borderId="0" xfId="11" applyFont="1" applyBorder="1" applyAlignment="1">
      <alignment horizontal="center"/>
    </xf>
    <xf numFmtId="0" fontId="33" fillId="4" borderId="0" xfId="3" applyFont="1" applyAlignment="1">
      <alignment horizontal="center"/>
    </xf>
    <xf numFmtId="0" fontId="34" fillId="4" borderId="24" xfId="3" applyFont="1" applyBorder="1" applyAlignment="1">
      <alignment horizontal="center"/>
    </xf>
    <xf numFmtId="0" fontId="34" fillId="4" borderId="0" xfId="3" applyFont="1" applyBorder="1" applyAlignment="1">
      <alignment horizontal="center"/>
    </xf>
    <xf numFmtId="0" fontId="34" fillId="4" borderId="0" xfId="3" applyFont="1" applyAlignment="1">
      <alignment horizontal="center"/>
    </xf>
    <xf numFmtId="0" fontId="1" fillId="14" borderId="0" xfId="12" applyBorder="1" applyAlignment="1">
      <alignment horizontal="center"/>
    </xf>
    <xf numFmtId="0" fontId="4" fillId="4" borderId="0" xfId="3" applyAlignment="1">
      <alignment horizontal="right"/>
    </xf>
    <xf numFmtId="0" fontId="31" fillId="4" borderId="0" xfId="3" applyFont="1" applyAlignment="1">
      <alignment horizontal="center"/>
    </xf>
    <xf numFmtId="0" fontId="1" fillId="0" borderId="0" xfId="0" applyFont="1" applyAlignment="1">
      <alignment horizontal="center"/>
    </xf>
    <xf numFmtId="0" fontId="4" fillId="4" borderId="0" xfId="3" applyNumberFormat="1" applyAlignment="1">
      <alignment horizontal="center"/>
    </xf>
    <xf numFmtId="0" fontId="35" fillId="17" borderId="0" xfId="0" applyFont="1" applyFill="1" applyAlignment="1">
      <alignment horizontal="center"/>
    </xf>
    <xf numFmtId="0" fontId="36" fillId="18" borderId="0" xfId="0" applyFont="1" applyFill="1" applyAlignment="1">
      <alignment horizontal="center"/>
    </xf>
    <xf numFmtId="49" fontId="1" fillId="14" borderId="0" xfId="12" applyNumberFormat="1" applyAlignment="1">
      <alignment horizontal="center"/>
    </xf>
    <xf numFmtId="0" fontId="1" fillId="14" borderId="17" xfId="12" applyNumberFormat="1" applyBorder="1" applyAlignment="1">
      <alignment horizontal="center"/>
    </xf>
    <xf numFmtId="0" fontId="8" fillId="0" borderId="0" xfId="0" applyFont="1" applyAlignment="1">
      <alignment horizontal="center"/>
    </xf>
    <xf numFmtId="0" fontId="9" fillId="0" borderId="2" xfId="0" applyFont="1" applyBorder="1" applyAlignment="1">
      <alignment horizontal="center" vertical="center"/>
    </xf>
    <xf numFmtId="0" fontId="8" fillId="0" borderId="0" xfId="0" applyFont="1"/>
    <xf numFmtId="0" fontId="37" fillId="0" borderId="0" xfId="0" applyFont="1"/>
    <xf numFmtId="164" fontId="37" fillId="0" borderId="0" xfId="0" applyNumberFormat="1" applyFont="1" applyAlignment="1">
      <alignment horizontal="center"/>
    </xf>
    <xf numFmtId="0" fontId="1" fillId="13" borderId="1" xfId="11" applyBorder="1" applyAlignment="1">
      <alignment horizontal="center"/>
    </xf>
    <xf numFmtId="0" fontId="3" fillId="13" borderId="1" xfId="11" applyFont="1" applyBorder="1" applyAlignment="1">
      <alignment wrapText="1"/>
    </xf>
    <xf numFmtId="0" fontId="11" fillId="0" borderId="0" xfId="0" applyFont="1"/>
    <xf numFmtId="0" fontId="3" fillId="0" borderId="1" xfId="0" applyFont="1" applyBorder="1" applyAlignment="1">
      <alignment horizontal="center"/>
    </xf>
    <xf numFmtId="0" fontId="3" fillId="0" borderId="0" xfId="0" applyFont="1" applyAlignment="1">
      <alignment horizontal="center"/>
    </xf>
    <xf numFmtId="0" fontId="9" fillId="0" borderId="0" xfId="0" applyFont="1" applyAlignment="1">
      <alignment horizontal="center"/>
    </xf>
    <xf numFmtId="0" fontId="3" fillId="21" borderId="1" xfId="0" applyFont="1" applyFill="1" applyBorder="1" applyAlignment="1">
      <alignment horizontal="center" vertical="center"/>
    </xf>
    <xf numFmtId="0" fontId="3" fillId="21" borderId="1" xfId="0" applyFont="1" applyFill="1" applyBorder="1" applyAlignment="1">
      <alignment horizontal="center"/>
    </xf>
    <xf numFmtId="0" fontId="0" fillId="22" borderId="0" xfId="0" applyFill="1"/>
    <xf numFmtId="0" fontId="0" fillId="22" borderId="0" xfId="0" applyFill="1" applyAlignment="1">
      <alignment horizontal="center"/>
    </xf>
    <xf numFmtId="0" fontId="3" fillId="22" borderId="1" xfId="0" applyFont="1" applyFill="1" applyBorder="1" applyAlignment="1">
      <alignment horizontal="center"/>
    </xf>
    <xf numFmtId="0" fontId="11" fillId="20" borderId="0" xfId="15" applyFont="1" applyAlignment="1">
      <alignment horizontal="center"/>
    </xf>
    <xf numFmtId="164" fontId="24" fillId="20" borderId="0" xfId="15" applyNumberFormat="1" applyFont="1" applyAlignment="1">
      <alignment horizontal="center"/>
    </xf>
    <xf numFmtId="0" fontId="24" fillId="20" borderId="0" xfId="15" applyFont="1" applyAlignment="1">
      <alignment horizontal="center"/>
    </xf>
    <xf numFmtId="0" fontId="24" fillId="0" borderId="0" xfId="0" applyFont="1"/>
    <xf numFmtId="164" fontId="11" fillId="20" borderId="0" xfId="15" applyNumberFormat="1" applyFont="1" applyAlignment="1">
      <alignment horizontal="center"/>
    </xf>
    <xf numFmtId="0" fontId="11" fillId="20" borderId="0" xfId="15" applyFont="1"/>
    <xf numFmtId="0" fontId="8" fillId="23" borderId="0" xfId="0" applyFont="1" applyFill="1" applyAlignment="1">
      <alignment horizontal="center"/>
    </xf>
    <xf numFmtId="0" fontId="8" fillId="24" borderId="0" xfId="0" applyFont="1" applyFill="1" applyAlignment="1">
      <alignment horizontal="center"/>
    </xf>
    <xf numFmtId="0" fontId="3" fillId="23" borderId="1" xfId="0" applyFont="1" applyFill="1" applyBorder="1" applyAlignment="1">
      <alignment horizontal="center" vertical="center"/>
    </xf>
    <xf numFmtId="0" fontId="3" fillId="24" borderId="1" xfId="0" applyFont="1" applyFill="1" applyBorder="1" applyAlignment="1">
      <alignment horizontal="center" vertical="center"/>
    </xf>
    <xf numFmtId="0" fontId="0" fillId="23" borderId="1" xfId="0" applyFill="1" applyBorder="1" applyAlignment="1">
      <alignment horizontal="center"/>
    </xf>
    <xf numFmtId="0" fontId="0" fillId="24" borderId="1" xfId="0" applyFill="1" applyBorder="1" applyAlignment="1">
      <alignment horizontal="center"/>
    </xf>
    <xf numFmtId="0" fontId="0" fillId="23" borderId="0" xfId="0" applyFill="1"/>
    <xf numFmtId="0" fontId="0" fillId="24" borderId="0" xfId="0" applyFill="1"/>
    <xf numFmtId="0" fontId="5" fillId="9" borderId="0" xfId="7" applyAlignment="1">
      <alignment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5" fillId="9" borderId="0" xfId="7" applyAlignment="1">
      <alignment horizontal="center" vertical="center"/>
    </xf>
    <xf numFmtId="0" fontId="9" fillId="22" borderId="19" xfId="0" applyFont="1" applyFill="1" applyBorder="1" applyAlignment="1">
      <alignment horizontal="center" vertical="center"/>
    </xf>
    <xf numFmtId="0" fontId="9" fillId="22" borderId="26" xfId="0" applyFont="1" applyFill="1" applyBorder="1" applyAlignment="1">
      <alignment horizontal="center" vertical="center"/>
    </xf>
    <xf numFmtId="0" fontId="9" fillId="22" borderId="1" xfId="0" applyFont="1" applyFill="1" applyBorder="1" applyAlignment="1">
      <alignment horizontal="center" vertical="center"/>
    </xf>
    <xf numFmtId="0" fontId="4" fillId="4" borderId="0" xfId="3" applyAlignment="1">
      <alignment vertical="center"/>
    </xf>
    <xf numFmtId="0" fontId="4" fillId="22" borderId="0" xfId="3" applyFill="1"/>
    <xf numFmtId="0" fontId="4" fillId="22" borderId="0" xfId="3" applyFill="1" applyBorder="1"/>
    <xf numFmtId="0" fontId="4" fillId="22" borderId="0" xfId="3" applyFill="1" applyBorder="1" applyAlignment="1">
      <alignment horizontal="center"/>
    </xf>
    <xf numFmtId="0" fontId="38" fillId="22" borderId="0" xfId="3" applyFont="1" applyFill="1" applyAlignment="1">
      <alignment vertical="center"/>
    </xf>
    <xf numFmtId="0" fontId="0" fillId="22" borderId="0" xfId="0" applyFill="1" applyAlignment="1">
      <alignment vertical="center"/>
    </xf>
    <xf numFmtId="0" fontId="39" fillId="4" borderId="0" xfId="3" applyFont="1"/>
    <xf numFmtId="0" fontId="40" fillId="4" borderId="0" xfId="3" applyFont="1"/>
    <xf numFmtId="0" fontId="9" fillId="0" borderId="28" xfId="0" applyFont="1" applyBorder="1" applyAlignment="1">
      <alignment vertical="center"/>
    </xf>
    <xf numFmtId="0" fontId="0" fillId="0" borderId="28" xfId="0" applyBorder="1" applyAlignment="1">
      <alignment vertical="center"/>
    </xf>
    <xf numFmtId="0" fontId="0" fillId="0" borderId="28" xfId="0" applyBorder="1"/>
    <xf numFmtId="0" fontId="3" fillId="0" borderId="28" xfId="0" applyFont="1" applyBorder="1" applyAlignment="1">
      <alignment vertical="center"/>
    </xf>
    <xf numFmtId="0" fontId="3" fillId="19" borderId="19" xfId="14" applyFont="1" applyBorder="1" applyAlignment="1">
      <alignment horizontal="center"/>
    </xf>
    <xf numFmtId="0" fontId="1" fillId="19" borderId="19" xfId="14" applyBorder="1" applyAlignment="1">
      <alignment horizontal="center" vertical="center"/>
    </xf>
    <xf numFmtId="164" fontId="1" fillId="19" borderId="19" xfId="14" applyNumberFormat="1" applyBorder="1" applyAlignment="1">
      <alignment horizontal="center" vertical="center"/>
    </xf>
    <xf numFmtId="0" fontId="38" fillId="22" borderId="0" xfId="0" applyFont="1" applyFill="1" applyAlignment="1">
      <alignment horizontal="left"/>
    </xf>
    <xf numFmtId="0" fontId="0" fillId="24" borderId="0" xfId="0" applyFill="1" applyAlignment="1">
      <alignment horizontal="center"/>
    </xf>
    <xf numFmtId="164" fontId="3" fillId="9" borderId="0" xfId="7" applyNumberFormat="1" applyFont="1" applyAlignment="1">
      <alignment horizontal="center"/>
    </xf>
    <xf numFmtId="0" fontId="3" fillId="9" borderId="0" xfId="7" applyFont="1"/>
    <xf numFmtId="0" fontId="3" fillId="0" borderId="1" xfId="0" applyFont="1" applyBorder="1" applyAlignment="1">
      <alignment wrapText="1"/>
    </xf>
    <xf numFmtId="0" fontId="3" fillId="9" borderId="0" xfId="7" applyFont="1" applyAlignment="1">
      <alignment horizontal="center"/>
    </xf>
    <xf numFmtId="0" fontId="8" fillId="25" borderId="0" xfId="0" applyFont="1" applyFill="1" applyAlignment="1">
      <alignment horizontal="center"/>
    </xf>
    <xf numFmtId="0" fontId="3" fillId="22" borderId="1" xfId="0" applyFont="1" applyFill="1" applyBorder="1"/>
    <xf numFmtId="0" fontId="3" fillId="22" borderId="1" xfId="6" applyFont="1" applyFill="1" applyBorder="1" applyAlignment="1">
      <alignment vertical="center"/>
    </xf>
    <xf numFmtId="0" fontId="3" fillId="22" borderId="1" xfId="6" applyFont="1" applyFill="1" applyBorder="1"/>
    <xf numFmtId="0" fontId="12" fillId="9" borderId="0" xfId="7" applyFont="1" applyAlignment="1">
      <alignment horizontal="left"/>
    </xf>
    <xf numFmtId="0" fontId="3" fillId="9" borderId="0" xfId="7" applyFont="1" applyAlignment="1">
      <alignment vertical="center"/>
    </xf>
    <xf numFmtId="0" fontId="1" fillId="9" borderId="0" xfId="7" applyFont="1" applyAlignment="1">
      <alignment horizontal="center"/>
    </xf>
    <xf numFmtId="0" fontId="0" fillId="22" borderId="8" xfId="0" applyFill="1" applyBorder="1" applyAlignment="1">
      <alignment horizontal="center"/>
    </xf>
    <xf numFmtId="0" fontId="3" fillId="9" borderId="27" xfId="7" applyFont="1" applyBorder="1" applyAlignment="1">
      <alignment horizontal="center"/>
    </xf>
    <xf numFmtId="0" fontId="1" fillId="26" borderId="0" xfId="6" applyFill="1" applyAlignment="1">
      <alignment horizontal="center"/>
    </xf>
    <xf numFmtId="0" fontId="1" fillId="26" borderId="0" xfId="6" applyNumberFormat="1" applyFill="1" applyAlignment="1">
      <alignment horizontal="center"/>
    </xf>
    <xf numFmtId="0" fontId="1" fillId="26" borderId="0" xfId="5" applyFill="1" applyAlignment="1">
      <alignment horizontal="center"/>
    </xf>
    <xf numFmtId="0" fontId="1" fillId="26" borderId="0" xfId="5" applyNumberFormat="1" applyFill="1" applyAlignment="1">
      <alignment horizontal="center"/>
    </xf>
    <xf numFmtId="0" fontId="1" fillId="26" borderId="0" xfId="6" applyFill="1" applyBorder="1" applyAlignment="1">
      <alignment horizontal="center"/>
    </xf>
    <xf numFmtId="0" fontId="19" fillId="26" borderId="0" xfId="5" applyFont="1" applyFill="1" applyAlignment="1">
      <alignment horizontal="center"/>
    </xf>
    <xf numFmtId="16" fontId="19" fillId="26" borderId="0" xfId="5" applyNumberFormat="1" applyFont="1" applyFill="1" applyAlignment="1">
      <alignment horizontal="center"/>
    </xf>
    <xf numFmtId="0" fontId="19" fillId="26" borderId="0" xfId="5" applyNumberFormat="1" applyFont="1" applyFill="1" applyAlignment="1">
      <alignment horizontal="center"/>
    </xf>
    <xf numFmtId="0" fontId="9" fillId="22" borderId="5" xfId="0" applyFont="1" applyFill="1" applyBorder="1" applyAlignment="1">
      <alignment horizontal="center" vertical="center"/>
    </xf>
    <xf numFmtId="0" fontId="3" fillId="22" borderId="5" xfId="0" applyFont="1" applyFill="1" applyBorder="1" applyAlignment="1">
      <alignment horizontal="center"/>
    </xf>
    <xf numFmtId="0" fontId="3" fillId="22" borderId="0" xfId="0" applyFont="1" applyFill="1" applyAlignment="1">
      <alignment horizontal="center"/>
    </xf>
    <xf numFmtId="0" fontId="20" fillId="4" borderId="16" xfId="3" applyFont="1" applyBorder="1" applyAlignment="1">
      <alignment horizontal="center"/>
    </xf>
    <xf numFmtId="0" fontId="0" fillId="5" borderId="17" xfId="4" applyNumberFormat="1" applyFont="1" applyBorder="1" applyAlignment="1">
      <alignment horizontal="center"/>
    </xf>
    <xf numFmtId="0" fontId="20" fillId="4" borderId="29" xfId="3" applyNumberFormat="1" applyFont="1" applyBorder="1" applyAlignment="1">
      <alignment horizontal="center"/>
    </xf>
    <xf numFmtId="0" fontId="0" fillId="22" borderId="30" xfId="4" applyNumberFormat="1" applyFont="1" applyFill="1" applyBorder="1" applyAlignment="1">
      <alignment horizontal="center"/>
    </xf>
    <xf numFmtId="0" fontId="39" fillId="4" borderId="0" xfId="3" applyFont="1" applyAlignment="1">
      <alignment horizontal="center"/>
    </xf>
    <xf numFmtId="0" fontId="19" fillId="5" borderId="0" xfId="4" applyFont="1"/>
    <xf numFmtId="0" fontId="19" fillId="6" borderId="0" xfId="5" applyFont="1"/>
    <xf numFmtId="0" fontId="39" fillId="27" borderId="31" xfId="0" applyFont="1" applyFill="1" applyBorder="1" applyAlignment="1">
      <alignment horizontal="center"/>
    </xf>
    <xf numFmtId="0" fontId="19" fillId="5" borderId="0" xfId="4" applyFont="1" applyBorder="1" applyAlignment="1">
      <alignment horizontal="center"/>
    </xf>
    <xf numFmtId="0" fontId="19" fillId="5" borderId="0" xfId="4" applyNumberFormat="1" applyFont="1" applyBorder="1" applyAlignment="1">
      <alignment horizontal="center"/>
    </xf>
    <xf numFmtId="0" fontId="26" fillId="11" borderId="0" xfId="9" applyFont="1" applyBorder="1" applyAlignment="1">
      <alignment horizontal="center"/>
    </xf>
    <xf numFmtId="0" fontId="19" fillId="6" borderId="0" xfId="5" applyFont="1" applyBorder="1" applyAlignment="1">
      <alignment horizontal="center"/>
    </xf>
    <xf numFmtId="0" fontId="19" fillId="6" borderId="0" xfId="5" applyNumberFormat="1" applyFont="1" applyBorder="1" applyAlignment="1">
      <alignment horizontal="center"/>
    </xf>
    <xf numFmtId="0" fontId="19" fillId="26" borderId="0" xfId="5" applyFont="1" applyFill="1" applyBorder="1" applyAlignment="1">
      <alignment horizontal="center"/>
    </xf>
    <xf numFmtId="0" fontId="19" fillId="26" borderId="0" xfId="5" applyNumberFormat="1" applyFont="1" applyFill="1" applyBorder="1" applyAlignment="1">
      <alignment horizontal="center"/>
    </xf>
    <xf numFmtId="0" fontId="19" fillId="28" borderId="0" xfId="0" applyFont="1" applyFill="1" applyAlignment="1">
      <alignment horizontal="center"/>
    </xf>
    <xf numFmtId="0" fontId="0" fillId="26" borderId="0" xfId="0" applyFill="1"/>
    <xf numFmtId="0" fontId="0" fillId="0" borderId="32" xfId="0" applyBorder="1"/>
    <xf numFmtId="0" fontId="0" fillId="0" borderId="27" xfId="0" applyBorder="1"/>
    <xf numFmtId="0" fontId="0" fillId="0" borderId="33" xfId="0" applyBorder="1"/>
    <xf numFmtId="0" fontId="0" fillId="0" borderId="34" xfId="0" applyBorder="1"/>
    <xf numFmtId="0" fontId="0" fillId="0" borderId="35" xfId="0" applyBorder="1"/>
    <xf numFmtId="0" fontId="0" fillId="0" borderId="6" xfId="0" applyBorder="1"/>
    <xf numFmtId="0" fontId="0" fillId="0" borderId="8" xfId="0" applyBorder="1"/>
    <xf numFmtId="0" fontId="0" fillId="0" borderId="7" xfId="0" applyBorder="1"/>
    <xf numFmtId="10" fontId="0" fillId="0" borderId="0" xfId="0" applyNumberFormat="1"/>
    <xf numFmtId="0" fontId="3" fillId="22" borderId="36" xfId="0" applyFont="1" applyFill="1" applyBorder="1" applyAlignment="1">
      <alignment horizont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8" fillId="0" borderId="1" xfId="0" applyFont="1" applyBorder="1" applyAlignment="1">
      <alignment horizontal="center"/>
    </xf>
    <xf numFmtId="0" fontId="8" fillId="0" borderId="0" xfId="0" applyFont="1" applyAlignment="1">
      <alignment horizontal="center"/>
    </xf>
    <xf numFmtId="0" fontId="2" fillId="2" borderId="0" xfId="1" applyAlignment="1">
      <alignment horizontal="center" vertical="center"/>
    </xf>
    <xf numFmtId="0" fontId="8" fillId="0" borderId="5" xfId="0" applyFont="1" applyBorder="1" applyAlignment="1">
      <alignment horizontal="center"/>
    </xf>
    <xf numFmtId="0" fontId="8" fillId="0" borderId="8" xfId="0" applyFont="1" applyBorder="1" applyAlignment="1">
      <alignment horizontal="center"/>
    </xf>
    <xf numFmtId="0" fontId="8" fillId="0" borderId="7" xfId="0" applyFont="1" applyBorder="1" applyAlignment="1">
      <alignment horizontal="center"/>
    </xf>
    <xf numFmtId="0" fontId="8" fillId="0" borderId="0" xfId="0" applyFont="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horizontal="center" vertical="center"/>
    </xf>
    <xf numFmtId="0" fontId="15" fillId="9" borderId="1" xfId="7" applyFont="1" applyBorder="1" applyAlignment="1">
      <alignment horizontal="center" vertical="center"/>
    </xf>
    <xf numFmtId="0" fontId="9" fillId="0" borderId="9" xfId="0" applyFont="1" applyBorder="1" applyAlignment="1">
      <alignment horizontal="center" vertical="center"/>
    </xf>
    <xf numFmtId="0" fontId="1" fillId="26" borderId="0" xfId="4" applyFill="1" applyAlignment="1">
      <alignment horizontal="center"/>
    </xf>
    <xf numFmtId="2" fontId="1" fillId="5" borderId="0" xfId="4" applyNumberFormat="1" applyAlignment="1">
      <alignment horizontal="center"/>
    </xf>
    <xf numFmtId="2" fontId="1" fillId="7" borderId="0" xfId="6" applyNumberFormat="1" applyAlignment="1">
      <alignment horizontal="center"/>
    </xf>
    <xf numFmtId="2" fontId="41" fillId="26" borderId="0" xfId="0" applyNumberFormat="1" applyFont="1" applyFill="1"/>
    <xf numFmtId="164" fontId="41" fillId="26" borderId="0" xfId="0" applyNumberFormat="1" applyFont="1" applyFill="1"/>
  </cellXfs>
  <cellStyles count="16">
    <cellStyle name="20% - Accent2" xfId="9" builtinId="34"/>
    <cellStyle name="20% - Accent4" xfId="11" builtinId="42"/>
    <cellStyle name="20% - Accent5" xfId="13" builtinId="46"/>
    <cellStyle name="20% - Accent6" xfId="4" builtinId="50"/>
    <cellStyle name="40% - Accent1" xfId="2" builtinId="31"/>
    <cellStyle name="40% - Accent3" xfId="15" builtinId="39"/>
    <cellStyle name="40% - Accent4" xfId="12" builtinId="43"/>
    <cellStyle name="40% - Accent6" xfId="5" builtinId="51"/>
    <cellStyle name="60% - Accent6" xfId="6" builtinId="52"/>
    <cellStyle name="Accent4" xfId="10" builtinId="41"/>
    <cellStyle name="Accent6" xfId="3" builtinId="49"/>
    <cellStyle name="Bad" xfId="8" builtinId="27"/>
    <cellStyle name="Good" xfId="7" builtinId="26"/>
    <cellStyle name="Neutral" xfId="1" builtinId="28"/>
    <cellStyle name="Normal" xfId="0" builtinId="0"/>
    <cellStyle name="Note" xfId="14" builtinId="10"/>
  </cellStyles>
  <dxfs count="127">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name val="Calibri"/>
        <family val="2"/>
        <scheme val="minor"/>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color theme="0"/>
        <name val="Calibri"/>
        <family val="2"/>
        <scheme val="minor"/>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numFmt numFmtId="165" formatCode="dd/mmm"/>
      <alignment horizontal="center" vertical="bottom" textRotation="0" wrapText="0" indent="0" justifyLastLine="0" shrinkToFit="0" readingOrder="0"/>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font>
        <strike val="0"/>
        <outline val="0"/>
        <shadow val="0"/>
        <u val="none"/>
        <vertAlign val="baseline"/>
        <sz val="18"/>
        <color theme="1"/>
        <name val="Calibri"/>
        <family val="2"/>
        <scheme val="minor"/>
      </font>
    </dxf>
    <dxf>
      <font>
        <strike val="0"/>
        <outline val="0"/>
        <shadow val="0"/>
        <u val="none"/>
        <vertAlign val="baseline"/>
        <sz val="18"/>
        <color theme="1"/>
        <name val="Calibri"/>
        <family val="2"/>
        <scheme val="minor"/>
      </fon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dd/mmm"/>
      <alignment horizontal="center" vertical="bottom" textRotation="0" wrapText="0" indent="0" justifyLastLine="0" shrinkToFit="0" readingOrder="0"/>
    </dxf>
    <dxf>
      <numFmt numFmtId="165" formatCode="dd/mmm"/>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tx1"/>
                </a:solidFill>
              </a:rPr>
              <a:t>V6</a:t>
            </a:r>
            <a:r>
              <a:rPr lang="en-US" sz="2400" baseline="0">
                <a:solidFill>
                  <a:schemeClr val="tx1"/>
                </a:solidFill>
              </a:rPr>
              <a:t> Corn Biomass</a:t>
            </a:r>
            <a:endParaRPr lang="en-US" sz="240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8312412676286863E-2"/>
          <c:y val="8.1703442549794558E-2"/>
          <c:w val="0.92222356659039451"/>
          <c:h val="0.85047698121884607"/>
        </c:manualLayout>
      </c:layout>
      <c:barChart>
        <c:barDir val="col"/>
        <c:grouping val="clustered"/>
        <c:varyColors val="0"/>
        <c:ser>
          <c:idx val="0"/>
          <c:order val="0"/>
          <c:tx>
            <c:strRef>
              <c:f>'23-Jun-2021 - V6 Corn'!$AA$6</c:f>
              <c:strCache>
                <c:ptCount val="1"/>
                <c:pt idx="0">
                  <c:v>Fertilized</c:v>
                </c:pt>
              </c:strCache>
            </c:strRef>
          </c:tx>
          <c:spPr>
            <a:solidFill>
              <a:schemeClr val="accent3">
                <a:shade val="76000"/>
              </a:schemeClr>
            </a:solidFill>
            <a:ln>
              <a:noFill/>
            </a:ln>
            <a:effectLst/>
          </c:spPr>
          <c:invertIfNegative val="0"/>
          <c:errBars>
            <c:errBarType val="both"/>
            <c:errValType val="cust"/>
            <c:noEndCap val="0"/>
            <c:plus>
              <c:numLit>
                <c:formatCode>General</c:formatCode>
                <c:ptCount val="1"/>
                <c:pt idx="0">
                  <c:v>0.15</c:v>
                </c:pt>
              </c:numLit>
            </c:plus>
            <c:minus>
              <c:numLit>
                <c:formatCode>General</c:formatCode>
                <c:ptCount val="1"/>
                <c:pt idx="0">
                  <c:v>0.15</c:v>
                </c:pt>
              </c:numLit>
            </c:minus>
            <c:spPr>
              <a:noFill/>
              <a:ln w="38100" cap="flat" cmpd="sng" algn="ctr">
                <a:solidFill>
                  <a:schemeClr val="tx1"/>
                </a:solidFill>
                <a:round/>
              </a:ln>
              <a:effectLst/>
            </c:spPr>
          </c:errBars>
          <c:cat>
            <c:strRef>
              <c:f>'23-Jun-2021 - V6 Corn'!$AB$5:$AE$5</c:f>
              <c:strCache>
                <c:ptCount val="4"/>
                <c:pt idx="0">
                  <c:v>Conventional</c:v>
                </c:pt>
                <c:pt idx="1">
                  <c:v>Conventnional+NUI</c:v>
                </c:pt>
                <c:pt idx="2">
                  <c:v>Diverse</c:v>
                </c:pt>
                <c:pt idx="3">
                  <c:v>Diverse+NUI</c:v>
                </c:pt>
              </c:strCache>
            </c:strRef>
          </c:cat>
          <c:val>
            <c:numRef>
              <c:f>'23-Jun-2021 - V6 Corn'!$AB$6:$AE$6</c:f>
              <c:numCache>
                <c:formatCode>General</c:formatCode>
                <c:ptCount val="4"/>
                <c:pt idx="0">
                  <c:v>1.5043874999999998</c:v>
                </c:pt>
                <c:pt idx="1">
                  <c:v>1.4539800000000001</c:v>
                </c:pt>
                <c:pt idx="2">
                  <c:v>1.3496816666666667</c:v>
                </c:pt>
                <c:pt idx="3">
                  <c:v>1.4209066666666665</c:v>
                </c:pt>
              </c:numCache>
            </c:numRef>
          </c:val>
          <c:extLst>
            <c:ext xmlns:c16="http://schemas.microsoft.com/office/drawing/2014/chart" uri="{C3380CC4-5D6E-409C-BE32-E72D297353CC}">
              <c16:uniqueId val="{00000000-B09C-3946-925E-BB2637562974}"/>
            </c:ext>
          </c:extLst>
        </c:ser>
        <c:ser>
          <c:idx val="1"/>
          <c:order val="1"/>
          <c:tx>
            <c:strRef>
              <c:f>'23-Jun-2021 - V6 Corn'!$AA$7</c:f>
              <c:strCache>
                <c:ptCount val="1"/>
                <c:pt idx="0">
                  <c:v>0N</c:v>
                </c:pt>
              </c:strCache>
            </c:strRef>
          </c:tx>
          <c:spPr>
            <a:solidFill>
              <a:schemeClr val="accent3">
                <a:tint val="77000"/>
              </a:schemeClr>
            </a:solidFill>
            <a:ln>
              <a:noFill/>
            </a:ln>
            <a:effectLst/>
          </c:spPr>
          <c:invertIfNegative val="0"/>
          <c:errBars>
            <c:errBarType val="both"/>
            <c:errValType val="cust"/>
            <c:noEndCap val="0"/>
            <c:plus>
              <c:numLit>
                <c:formatCode>General</c:formatCode>
                <c:ptCount val="1"/>
                <c:pt idx="0">
                  <c:v>0.09</c:v>
                </c:pt>
              </c:numLit>
            </c:plus>
            <c:minus>
              <c:numLit>
                <c:formatCode>General</c:formatCode>
                <c:ptCount val="1"/>
                <c:pt idx="0">
                  <c:v>0.09</c:v>
                </c:pt>
              </c:numLit>
            </c:minus>
            <c:spPr>
              <a:noFill/>
              <a:ln w="38100" cap="flat" cmpd="sng" algn="ctr">
                <a:solidFill>
                  <a:schemeClr val="tx1"/>
                </a:solidFill>
                <a:round/>
              </a:ln>
              <a:effectLst/>
            </c:spPr>
          </c:errBars>
          <c:cat>
            <c:strRef>
              <c:f>'23-Jun-2021 - V6 Corn'!$AB$5:$AE$5</c:f>
              <c:strCache>
                <c:ptCount val="4"/>
                <c:pt idx="0">
                  <c:v>Conventional</c:v>
                </c:pt>
                <c:pt idx="1">
                  <c:v>Conventnional+NUI</c:v>
                </c:pt>
                <c:pt idx="2">
                  <c:v>Diverse</c:v>
                </c:pt>
                <c:pt idx="3">
                  <c:v>Diverse+NUI</c:v>
                </c:pt>
              </c:strCache>
            </c:strRef>
          </c:cat>
          <c:val>
            <c:numRef>
              <c:f>'23-Jun-2021 - V6 Corn'!$AB$7:$AE$7</c:f>
              <c:numCache>
                <c:formatCode>General</c:formatCode>
                <c:ptCount val="4"/>
                <c:pt idx="0">
                  <c:v>1.08185</c:v>
                </c:pt>
                <c:pt idx="1">
                  <c:v>1.15577</c:v>
                </c:pt>
                <c:pt idx="2">
                  <c:v>0.99060499999999996</c:v>
                </c:pt>
                <c:pt idx="3">
                  <c:v>0.97366499999999989</c:v>
                </c:pt>
              </c:numCache>
            </c:numRef>
          </c:val>
          <c:extLst>
            <c:ext xmlns:c16="http://schemas.microsoft.com/office/drawing/2014/chart" uri="{C3380CC4-5D6E-409C-BE32-E72D297353CC}">
              <c16:uniqueId val="{00000001-B09C-3946-925E-BB2637562974}"/>
            </c:ext>
          </c:extLst>
        </c:ser>
        <c:dLbls>
          <c:showLegendKey val="0"/>
          <c:showVal val="0"/>
          <c:showCatName val="0"/>
          <c:showSerName val="0"/>
          <c:showPercent val="0"/>
          <c:showBubbleSize val="0"/>
        </c:dLbls>
        <c:gapWidth val="74"/>
        <c:axId val="699872640"/>
        <c:axId val="700296352"/>
      </c:barChart>
      <c:catAx>
        <c:axId val="69987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700296352"/>
        <c:crosses val="autoZero"/>
        <c:auto val="1"/>
        <c:lblAlgn val="ctr"/>
        <c:lblOffset val="100"/>
        <c:noMultiLvlLbl val="0"/>
      </c:catAx>
      <c:valAx>
        <c:axId val="70029635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2000">
                    <a:solidFill>
                      <a:schemeClr val="tx1"/>
                    </a:solidFill>
                  </a:rPr>
                  <a:t>Biomass (tons/ha)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solidFill>
                <a:latin typeface="+mn-lt"/>
                <a:ea typeface="+mn-ea"/>
                <a:cs typeface="+mn-cs"/>
              </a:defRPr>
            </a:pPr>
            <a:endParaRPr lang="en-US"/>
          </a:p>
        </c:txPr>
        <c:crossAx val="699872640"/>
        <c:crosses val="autoZero"/>
        <c:crossBetween val="between"/>
      </c:valAx>
      <c:spPr>
        <a:noFill/>
        <a:ln>
          <a:noFill/>
        </a:ln>
        <a:effectLst/>
      </c:spPr>
    </c:plotArea>
    <c:legend>
      <c:legendPos val="b"/>
      <c:layout>
        <c:manualLayout>
          <c:xMode val="edge"/>
          <c:yMode val="edge"/>
          <c:x val="0.41468886472940353"/>
          <c:y val="8.6039624673236545E-2"/>
          <c:w val="0.14653196820197426"/>
          <c:h val="4.5408303864623502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tons</a:t>
            </a:r>
            <a:r>
              <a:rPr lang="en-US" sz="2000" b="1" baseline="0"/>
              <a:t> C/ha in Corn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'23-Jun-2021 - V6 Corn'!$AL$6</c:f>
              <c:strCache>
                <c:ptCount val="1"/>
                <c:pt idx="0">
                  <c:v>Fert - tons C/ha of V6 Corn</c:v>
                </c:pt>
              </c:strCache>
            </c:strRef>
          </c:tx>
          <c:spPr>
            <a:solidFill>
              <a:schemeClr val="accent3">
                <a:shade val="65000"/>
              </a:schemeClr>
            </a:solidFill>
            <a:ln>
              <a:noFill/>
            </a:ln>
            <a:effectLst/>
          </c:spPr>
          <c:invertIfNegative val="0"/>
          <c:errBars>
            <c:errBarType val="both"/>
            <c:errValType val="cust"/>
            <c:noEndCap val="0"/>
            <c:plus>
              <c:numRef>
                <c:f>'23-Jun-2021 - V6 Corn'!$AM$7:$AM$10</c:f>
                <c:numCache>
                  <c:formatCode>General</c:formatCode>
                  <c:ptCount val="4"/>
                  <c:pt idx="0">
                    <c:v>4.6250341239938063E-2</c:v>
                  </c:pt>
                  <c:pt idx="1">
                    <c:v>8.2732573022388067E-2</c:v>
                  </c:pt>
                  <c:pt idx="2">
                    <c:v>4.8584834076586508E-2</c:v>
                  </c:pt>
                  <c:pt idx="3">
                    <c:v>7.07733430015519E-2</c:v>
                  </c:pt>
                </c:numCache>
              </c:numRef>
            </c:plus>
            <c:minus>
              <c:numRef>
                <c:f>'23-Jun-2021 - V6 Corn'!$AM$7:$AM$10</c:f>
                <c:numCache>
                  <c:formatCode>General</c:formatCode>
                  <c:ptCount val="4"/>
                  <c:pt idx="0">
                    <c:v>4.6250341239938063E-2</c:v>
                  </c:pt>
                  <c:pt idx="1">
                    <c:v>8.2732573022388067E-2</c:v>
                  </c:pt>
                  <c:pt idx="2">
                    <c:v>4.8584834076586508E-2</c:v>
                  </c:pt>
                  <c:pt idx="3">
                    <c:v>7.07733430015519E-2</c:v>
                  </c:pt>
                </c:numCache>
              </c:numRef>
            </c:minus>
            <c:spPr>
              <a:noFill/>
              <a:ln w="38100" cap="flat" cmpd="sng" algn="ctr">
                <a:solidFill>
                  <a:schemeClr val="tx1"/>
                </a:solidFill>
                <a:round/>
              </a:ln>
              <a:effectLst/>
            </c:spPr>
          </c:errBars>
          <c:cat>
            <c:strRef>
              <c:f>'23-Jun-2021 - V6 Corn'!$AK$7:$AK$10</c:f>
              <c:strCache>
                <c:ptCount val="4"/>
                <c:pt idx="0">
                  <c:v>Conventional</c:v>
                </c:pt>
                <c:pt idx="1">
                  <c:v>Conventnional+NUI</c:v>
                </c:pt>
                <c:pt idx="2">
                  <c:v>Diverse</c:v>
                </c:pt>
                <c:pt idx="3">
                  <c:v>Diverse+NUI</c:v>
                </c:pt>
              </c:strCache>
            </c:strRef>
          </c:cat>
          <c:val>
            <c:numRef>
              <c:f>'23-Jun-2021 - V6 Corn'!$AL$7:$AL$10</c:f>
              <c:numCache>
                <c:formatCode>General</c:formatCode>
                <c:ptCount val="4"/>
                <c:pt idx="0">
                  <c:v>0.527975525</c:v>
                </c:pt>
                <c:pt idx="1">
                  <c:v>0.51804351428571427</c:v>
                </c:pt>
                <c:pt idx="2">
                  <c:v>0.48066722222222225</c:v>
                </c:pt>
                <c:pt idx="3">
                  <c:v>0.50526615555555543</c:v>
                </c:pt>
              </c:numCache>
            </c:numRef>
          </c:val>
          <c:extLst>
            <c:ext xmlns:c16="http://schemas.microsoft.com/office/drawing/2014/chart" uri="{C3380CC4-5D6E-409C-BE32-E72D297353CC}">
              <c16:uniqueId val="{00000000-0BCF-6C45-8983-8125D0556900}"/>
            </c:ext>
          </c:extLst>
        </c:ser>
        <c:ser>
          <c:idx val="2"/>
          <c:order val="1"/>
          <c:tx>
            <c:strRef>
              <c:f>'23-Jun-2021 - V6 Corn'!$AN$6</c:f>
              <c:strCache>
                <c:ptCount val="1"/>
                <c:pt idx="0">
                  <c:v>0N - tons C/ha of V6 Corn</c:v>
                </c:pt>
              </c:strCache>
            </c:strRef>
          </c:tx>
          <c:spPr>
            <a:solidFill>
              <a:schemeClr val="accent3">
                <a:tint val="65000"/>
              </a:schemeClr>
            </a:solidFill>
            <a:ln>
              <a:noFill/>
            </a:ln>
            <a:effectLst/>
          </c:spPr>
          <c:invertIfNegative val="0"/>
          <c:errBars>
            <c:errBarType val="both"/>
            <c:errValType val="cust"/>
            <c:noEndCap val="0"/>
            <c:plus>
              <c:numRef>
                <c:f>'23-Jun-2021 - V6 Corn'!$AO$7:$AO$10</c:f>
                <c:numCache>
                  <c:formatCode>General</c:formatCode>
                  <c:ptCount val="4"/>
                  <c:pt idx="0">
                    <c:v>2.3584931633637014E-2</c:v>
                  </c:pt>
                  <c:pt idx="1">
                    <c:v>2.8928399063261966E-2</c:v>
                  </c:pt>
                  <c:pt idx="2">
                    <c:v>2.5375208078227313E-2</c:v>
                  </c:pt>
                  <c:pt idx="3">
                    <c:v>5.9030224114629049E-2</c:v>
                  </c:pt>
                </c:numCache>
              </c:numRef>
            </c:plus>
            <c:minus>
              <c:numRef>
                <c:f>'23-Jun-2021 - V6 Corn'!$AO$7:$AO$10</c:f>
                <c:numCache>
                  <c:formatCode>General</c:formatCode>
                  <c:ptCount val="4"/>
                  <c:pt idx="0">
                    <c:v>2.3584931633637014E-2</c:v>
                  </c:pt>
                  <c:pt idx="1">
                    <c:v>2.8928399063261966E-2</c:v>
                  </c:pt>
                  <c:pt idx="2">
                    <c:v>2.5375208078227313E-2</c:v>
                  </c:pt>
                  <c:pt idx="3">
                    <c:v>5.9030224114629049E-2</c:v>
                  </c:pt>
                </c:numCache>
              </c:numRef>
            </c:minus>
            <c:spPr>
              <a:noFill/>
              <a:ln w="38100" cap="flat" cmpd="sng" algn="ctr">
                <a:solidFill>
                  <a:schemeClr val="tx1"/>
                </a:solidFill>
                <a:round/>
              </a:ln>
              <a:effectLst/>
            </c:spPr>
          </c:errBars>
          <c:cat>
            <c:strRef>
              <c:f>'23-Jun-2021 - V6 Corn'!$AK$7:$AK$10</c:f>
              <c:strCache>
                <c:ptCount val="4"/>
                <c:pt idx="0">
                  <c:v>Conventional</c:v>
                </c:pt>
                <c:pt idx="1">
                  <c:v>Conventnional+NUI</c:v>
                </c:pt>
                <c:pt idx="2">
                  <c:v>Diverse</c:v>
                </c:pt>
                <c:pt idx="3">
                  <c:v>Diverse+NUI</c:v>
                </c:pt>
              </c:strCache>
            </c:strRef>
          </c:cat>
          <c:val>
            <c:numRef>
              <c:f>'23-Jun-2021 - V6 Corn'!$AN$7:$AN$10</c:f>
              <c:numCache>
                <c:formatCode>General</c:formatCode>
                <c:ptCount val="4"/>
                <c:pt idx="0">
                  <c:v>0.38141206666666666</c:v>
                </c:pt>
                <c:pt idx="1">
                  <c:v>0.4134337666666667</c:v>
                </c:pt>
                <c:pt idx="2">
                  <c:v>0.35020306666666667</c:v>
                </c:pt>
                <c:pt idx="3">
                  <c:v>0.34679116666666659</c:v>
                </c:pt>
              </c:numCache>
            </c:numRef>
          </c:val>
          <c:extLst>
            <c:ext xmlns:c16="http://schemas.microsoft.com/office/drawing/2014/chart" uri="{C3380CC4-5D6E-409C-BE32-E72D297353CC}">
              <c16:uniqueId val="{00000002-0BCF-6C45-8983-8125D0556900}"/>
            </c:ext>
          </c:extLst>
        </c:ser>
        <c:dLbls>
          <c:showLegendKey val="0"/>
          <c:showVal val="0"/>
          <c:showCatName val="0"/>
          <c:showSerName val="0"/>
          <c:showPercent val="0"/>
          <c:showBubbleSize val="0"/>
        </c:dLbls>
        <c:gapWidth val="219"/>
        <c:axId val="1735460016"/>
        <c:axId val="1866150272"/>
      </c:barChart>
      <c:catAx>
        <c:axId val="173546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866150272"/>
        <c:crosses val="autoZero"/>
        <c:auto val="1"/>
        <c:lblAlgn val="ctr"/>
        <c:lblOffset val="100"/>
        <c:noMultiLvlLbl val="0"/>
      </c:catAx>
      <c:valAx>
        <c:axId val="186615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3546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tons</a:t>
            </a:r>
            <a:r>
              <a:rPr lang="en-US" sz="2000" b="1" baseline="0"/>
              <a:t> N/ha in Corn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'23-Jun-2021 - V6 Corn'!$AL$13</c:f>
              <c:strCache>
                <c:ptCount val="1"/>
                <c:pt idx="0">
                  <c:v>Fert - tons N/ha of V6 Corn</c:v>
                </c:pt>
              </c:strCache>
            </c:strRef>
          </c:tx>
          <c:spPr>
            <a:solidFill>
              <a:schemeClr val="accent3">
                <a:shade val="65000"/>
              </a:schemeClr>
            </a:solidFill>
            <a:ln>
              <a:noFill/>
            </a:ln>
            <a:effectLst/>
          </c:spPr>
          <c:invertIfNegative val="0"/>
          <c:errBars>
            <c:errBarType val="both"/>
            <c:errValType val="cust"/>
            <c:noEndCap val="0"/>
            <c:plus>
              <c:numRef>
                <c:f>'23-Jun-2021 - V6 Corn'!$AM$14:$AM$17</c:f>
                <c:numCache>
                  <c:formatCode>General</c:formatCode>
                  <c:ptCount val="4"/>
                  <c:pt idx="0">
                    <c:v>6.7740977391299697E-3</c:v>
                  </c:pt>
                  <c:pt idx="1">
                    <c:v>7.0485258063891195E-3</c:v>
                  </c:pt>
                  <c:pt idx="2">
                    <c:v>4.9879266719750357E-3</c:v>
                  </c:pt>
                  <c:pt idx="3">
                    <c:v>6.0240503550352221E-3</c:v>
                  </c:pt>
                </c:numCache>
              </c:numRef>
            </c:plus>
            <c:minus>
              <c:numRef>
                <c:f>'23-Jun-2021 - V6 Corn'!$AM$14:$AM$17</c:f>
                <c:numCache>
                  <c:formatCode>General</c:formatCode>
                  <c:ptCount val="4"/>
                  <c:pt idx="0">
                    <c:v>6.7740977391299697E-3</c:v>
                  </c:pt>
                  <c:pt idx="1">
                    <c:v>7.0485258063891195E-3</c:v>
                  </c:pt>
                  <c:pt idx="2">
                    <c:v>4.9879266719750357E-3</c:v>
                  </c:pt>
                  <c:pt idx="3">
                    <c:v>6.0240503550352221E-3</c:v>
                  </c:pt>
                </c:numCache>
              </c:numRef>
            </c:minus>
            <c:spPr>
              <a:noFill/>
              <a:ln w="38100" cap="flat" cmpd="sng" algn="ctr">
                <a:solidFill>
                  <a:schemeClr val="tx1"/>
                </a:solidFill>
                <a:round/>
              </a:ln>
              <a:effectLst/>
            </c:spPr>
          </c:errBars>
          <c:cat>
            <c:strRef>
              <c:f>'23-Jun-2021 - V6 Corn'!$AK$14:$AK$17</c:f>
              <c:strCache>
                <c:ptCount val="4"/>
                <c:pt idx="0">
                  <c:v>Conventional</c:v>
                </c:pt>
                <c:pt idx="1">
                  <c:v>Conventnional+NUI</c:v>
                </c:pt>
                <c:pt idx="2">
                  <c:v>Diverse</c:v>
                </c:pt>
                <c:pt idx="3">
                  <c:v>Diverse+NUI</c:v>
                </c:pt>
              </c:strCache>
            </c:strRef>
          </c:cat>
          <c:val>
            <c:numRef>
              <c:f>'23-Jun-2021 - V6 Corn'!$AL$14:$AL$17</c:f>
              <c:numCache>
                <c:formatCode>General</c:formatCode>
                <c:ptCount val="4"/>
                <c:pt idx="0">
                  <c:v>5.6922025000000001E-2</c:v>
                </c:pt>
                <c:pt idx="1">
                  <c:v>5.4878699999999996E-2</c:v>
                </c:pt>
                <c:pt idx="2">
                  <c:v>4.8472033333333331E-2</c:v>
                </c:pt>
                <c:pt idx="3">
                  <c:v>4.7512266666666664E-2</c:v>
                </c:pt>
              </c:numCache>
            </c:numRef>
          </c:val>
          <c:extLst>
            <c:ext xmlns:c16="http://schemas.microsoft.com/office/drawing/2014/chart" uri="{C3380CC4-5D6E-409C-BE32-E72D297353CC}">
              <c16:uniqueId val="{00000000-E288-4D40-B133-96BEDF796F66}"/>
            </c:ext>
          </c:extLst>
        </c:ser>
        <c:ser>
          <c:idx val="2"/>
          <c:order val="1"/>
          <c:tx>
            <c:strRef>
              <c:f>'23-Jun-2021 - V6 Corn'!$AN$13</c:f>
              <c:strCache>
                <c:ptCount val="1"/>
                <c:pt idx="0">
                  <c:v>0N - tons N/ha of V6 Corn</c:v>
                </c:pt>
              </c:strCache>
            </c:strRef>
          </c:tx>
          <c:spPr>
            <a:solidFill>
              <a:schemeClr val="accent3">
                <a:tint val="65000"/>
              </a:schemeClr>
            </a:solidFill>
            <a:ln>
              <a:noFill/>
            </a:ln>
            <a:effectLst/>
          </c:spPr>
          <c:invertIfNegative val="0"/>
          <c:errBars>
            <c:errBarType val="both"/>
            <c:errValType val="cust"/>
            <c:noEndCap val="0"/>
            <c:plus>
              <c:numRef>
                <c:f>'23-Jun-2021 - V6 Corn'!$AO$14:$AO$17</c:f>
                <c:numCache>
                  <c:formatCode>General</c:formatCode>
                  <c:ptCount val="4"/>
                  <c:pt idx="0">
                    <c:v>4.177139686436156E-3</c:v>
                  </c:pt>
                  <c:pt idx="1">
                    <c:v>2.232270899778972E-3</c:v>
                  </c:pt>
                  <c:pt idx="2">
                    <c:v>3.8153454736541649E-3</c:v>
                  </c:pt>
                  <c:pt idx="3">
                    <c:v>7.8831655204831021E-3</c:v>
                  </c:pt>
                </c:numCache>
              </c:numRef>
            </c:plus>
            <c:minus>
              <c:numRef>
                <c:f>'23-Jun-2021 - V6 Corn'!$AO$14:$AO$17</c:f>
                <c:numCache>
                  <c:formatCode>General</c:formatCode>
                  <c:ptCount val="4"/>
                  <c:pt idx="0">
                    <c:v>4.177139686436156E-3</c:v>
                  </c:pt>
                  <c:pt idx="1">
                    <c:v>2.232270899778972E-3</c:v>
                  </c:pt>
                  <c:pt idx="2">
                    <c:v>3.8153454736541649E-3</c:v>
                  </c:pt>
                  <c:pt idx="3">
                    <c:v>7.8831655204831021E-3</c:v>
                  </c:pt>
                </c:numCache>
              </c:numRef>
            </c:minus>
            <c:spPr>
              <a:noFill/>
              <a:ln w="38100" cap="flat" cmpd="sng" algn="ctr">
                <a:solidFill>
                  <a:schemeClr val="tx1"/>
                </a:solidFill>
                <a:round/>
              </a:ln>
              <a:effectLst/>
            </c:spPr>
          </c:errBars>
          <c:cat>
            <c:strRef>
              <c:f>'23-Jun-2021 - V6 Corn'!$AK$14:$AK$17</c:f>
              <c:strCache>
                <c:ptCount val="4"/>
                <c:pt idx="0">
                  <c:v>Conventional</c:v>
                </c:pt>
                <c:pt idx="1">
                  <c:v>Conventnional+NUI</c:v>
                </c:pt>
                <c:pt idx="2">
                  <c:v>Diverse</c:v>
                </c:pt>
                <c:pt idx="3">
                  <c:v>Diverse+NUI</c:v>
                </c:pt>
              </c:strCache>
            </c:strRef>
          </c:cat>
          <c:val>
            <c:numRef>
              <c:f>'23-Jun-2021 - V6 Corn'!$AN$14:$AN$17</c:f>
              <c:numCache>
                <c:formatCode>General</c:formatCode>
                <c:ptCount val="4"/>
                <c:pt idx="0">
                  <c:v>3.8552199999999995E-2</c:v>
                </c:pt>
                <c:pt idx="1">
                  <c:v>4.2799200000000003E-2</c:v>
                </c:pt>
                <c:pt idx="2">
                  <c:v>2.881383333333333E-2</c:v>
                </c:pt>
                <c:pt idx="3">
                  <c:v>3.0917966666666668E-2</c:v>
                </c:pt>
              </c:numCache>
            </c:numRef>
          </c:val>
          <c:extLst>
            <c:ext xmlns:c16="http://schemas.microsoft.com/office/drawing/2014/chart" uri="{C3380CC4-5D6E-409C-BE32-E72D297353CC}">
              <c16:uniqueId val="{00000002-E288-4D40-B133-96BEDF796F66}"/>
            </c:ext>
          </c:extLst>
        </c:ser>
        <c:dLbls>
          <c:showLegendKey val="0"/>
          <c:showVal val="0"/>
          <c:showCatName val="0"/>
          <c:showSerName val="0"/>
          <c:showPercent val="0"/>
          <c:showBubbleSize val="0"/>
        </c:dLbls>
        <c:gapWidth val="219"/>
        <c:axId val="1735460016"/>
        <c:axId val="1866150272"/>
      </c:barChart>
      <c:catAx>
        <c:axId val="173546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866150272"/>
        <c:crosses val="autoZero"/>
        <c:auto val="1"/>
        <c:lblAlgn val="ctr"/>
        <c:lblOffset val="100"/>
        <c:noMultiLvlLbl val="0"/>
      </c:catAx>
      <c:valAx>
        <c:axId val="1866150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3546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3200" b="0" i="0" u="none" strike="noStrike" kern="1200" spc="0" baseline="0">
                <a:solidFill>
                  <a:schemeClr val="tx1"/>
                </a:solidFill>
                <a:latin typeface="+mn-lt"/>
                <a:ea typeface="+mn-ea"/>
                <a:cs typeface="+mn-cs"/>
              </a:defRPr>
            </a:pPr>
            <a:r>
              <a:rPr lang="en-US" sz="3200" baseline="0">
                <a:solidFill>
                  <a:schemeClr val="tx1"/>
                </a:solidFill>
              </a:rPr>
              <a:t>VT Corn Biomass</a:t>
            </a:r>
            <a:endParaRPr lang="en-US" sz="3200">
              <a:solidFill>
                <a:schemeClr val="tx1"/>
              </a:solidFill>
            </a:endParaRP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7.2246795332163244E-2"/>
          <c:y val="0.11755528155684347"/>
          <c:w val="0.91616786976126419"/>
          <c:h val="0.794595193379248"/>
        </c:manualLayout>
      </c:layout>
      <c:barChart>
        <c:barDir val="col"/>
        <c:grouping val="clustered"/>
        <c:varyColors val="0"/>
        <c:ser>
          <c:idx val="0"/>
          <c:order val="0"/>
          <c:tx>
            <c:strRef>
              <c:f>'20&amp;21-Jul-2021 - VT Corn'!$AK$6</c:f>
              <c:strCache>
                <c:ptCount val="1"/>
                <c:pt idx="0">
                  <c:v>Fertilized</c:v>
                </c:pt>
              </c:strCache>
            </c:strRef>
          </c:tx>
          <c:spPr>
            <a:solidFill>
              <a:schemeClr val="accent3">
                <a:shade val="76000"/>
              </a:schemeClr>
            </a:solidFill>
            <a:ln>
              <a:noFill/>
            </a:ln>
            <a:effectLst/>
          </c:spPr>
          <c:invertIfNegative val="0"/>
          <c:errBars>
            <c:errBarType val="both"/>
            <c:errValType val="cust"/>
            <c:noEndCap val="0"/>
            <c:plus>
              <c:numLit>
                <c:formatCode>General</c:formatCode>
                <c:ptCount val="1"/>
                <c:pt idx="0">
                  <c:v>0.6</c:v>
                </c:pt>
              </c:numLit>
            </c:plus>
            <c:minus>
              <c:numLit>
                <c:formatCode>General</c:formatCode>
                <c:ptCount val="1"/>
                <c:pt idx="0">
                  <c:v>0.6</c:v>
                </c:pt>
              </c:numLit>
            </c:minus>
            <c:spPr>
              <a:noFill/>
              <a:ln w="38100" cap="flat" cmpd="sng" algn="ctr">
                <a:solidFill>
                  <a:schemeClr val="tx1"/>
                </a:solidFill>
                <a:round/>
              </a:ln>
              <a:effectLst/>
            </c:spPr>
          </c:errBars>
          <c:cat>
            <c:strRef>
              <c:f>'20&amp;21-Jul-2021 - VT Corn'!$AL$5:$AO$5</c:f>
              <c:strCache>
                <c:ptCount val="4"/>
                <c:pt idx="0">
                  <c:v>Conventional</c:v>
                </c:pt>
                <c:pt idx="1">
                  <c:v>Conventnional+NUI</c:v>
                </c:pt>
                <c:pt idx="2">
                  <c:v>Diverse</c:v>
                </c:pt>
                <c:pt idx="3">
                  <c:v>Diverse+NUI</c:v>
                </c:pt>
              </c:strCache>
            </c:strRef>
          </c:cat>
          <c:val>
            <c:numRef>
              <c:f>'20&amp;21-Jul-2021 - VT Corn'!$AL$6:$AO$6</c:f>
              <c:numCache>
                <c:formatCode>General</c:formatCode>
                <c:ptCount val="4"/>
                <c:pt idx="0">
                  <c:v>5.287407303703703</c:v>
                </c:pt>
                <c:pt idx="1">
                  <c:v>6.0843092592592587</c:v>
                </c:pt>
                <c:pt idx="2">
                  <c:v>4.5616089537037032</c:v>
                </c:pt>
                <c:pt idx="3">
                  <c:v>4.4753527777777773</c:v>
                </c:pt>
              </c:numCache>
            </c:numRef>
          </c:val>
          <c:extLst>
            <c:ext xmlns:c16="http://schemas.microsoft.com/office/drawing/2014/chart" uri="{C3380CC4-5D6E-409C-BE32-E72D297353CC}">
              <c16:uniqueId val="{00000000-5715-EF4F-A52D-7492DC8342D0}"/>
            </c:ext>
          </c:extLst>
        </c:ser>
        <c:ser>
          <c:idx val="1"/>
          <c:order val="1"/>
          <c:tx>
            <c:strRef>
              <c:f>'20&amp;21-Jul-2021 - VT Corn'!$AK$7</c:f>
              <c:strCache>
                <c:ptCount val="1"/>
                <c:pt idx="0">
                  <c:v>0N</c:v>
                </c:pt>
              </c:strCache>
            </c:strRef>
          </c:tx>
          <c:spPr>
            <a:solidFill>
              <a:schemeClr val="accent3">
                <a:tint val="77000"/>
              </a:schemeClr>
            </a:solidFill>
            <a:ln>
              <a:noFill/>
            </a:ln>
            <a:effectLst/>
          </c:spPr>
          <c:invertIfNegative val="0"/>
          <c:errBars>
            <c:errBarType val="both"/>
            <c:errValType val="cust"/>
            <c:noEndCap val="0"/>
            <c:plus>
              <c:numLit>
                <c:formatCode>General</c:formatCode>
                <c:ptCount val="1"/>
                <c:pt idx="0">
                  <c:v>0.4</c:v>
                </c:pt>
              </c:numLit>
            </c:plus>
            <c:minus>
              <c:numLit>
                <c:formatCode>General</c:formatCode>
                <c:ptCount val="1"/>
                <c:pt idx="0">
                  <c:v>0.4</c:v>
                </c:pt>
              </c:numLit>
            </c:minus>
            <c:spPr>
              <a:noFill/>
              <a:ln w="38100" cap="flat" cmpd="sng" algn="ctr">
                <a:solidFill>
                  <a:schemeClr val="tx1"/>
                </a:solidFill>
                <a:round/>
              </a:ln>
              <a:effectLst/>
            </c:spPr>
          </c:errBars>
          <c:cat>
            <c:strRef>
              <c:f>'20&amp;21-Jul-2021 - VT Corn'!$AL$5:$AO$5</c:f>
              <c:strCache>
                <c:ptCount val="4"/>
                <c:pt idx="0">
                  <c:v>Conventional</c:v>
                </c:pt>
                <c:pt idx="1">
                  <c:v>Conventnional+NUI</c:v>
                </c:pt>
                <c:pt idx="2">
                  <c:v>Diverse</c:v>
                </c:pt>
                <c:pt idx="3">
                  <c:v>Diverse+NUI</c:v>
                </c:pt>
              </c:strCache>
            </c:strRef>
          </c:cat>
          <c:val>
            <c:numRef>
              <c:f>'20&amp;21-Jul-2021 - VT Corn'!$AL$7:$AO$7</c:f>
              <c:numCache>
                <c:formatCode>General</c:formatCode>
                <c:ptCount val="4"/>
                <c:pt idx="0">
                  <c:v>5.227243477777777</c:v>
                </c:pt>
                <c:pt idx="1">
                  <c:v>5.1287444444444441</c:v>
                </c:pt>
                <c:pt idx="2">
                  <c:v>3.7006131111111107</c:v>
                </c:pt>
                <c:pt idx="3">
                  <c:v>4.2298277777777775</c:v>
                </c:pt>
              </c:numCache>
            </c:numRef>
          </c:val>
          <c:extLst>
            <c:ext xmlns:c16="http://schemas.microsoft.com/office/drawing/2014/chart" uri="{C3380CC4-5D6E-409C-BE32-E72D297353CC}">
              <c16:uniqueId val="{00000001-5715-EF4F-A52D-7492DC8342D0}"/>
            </c:ext>
          </c:extLst>
        </c:ser>
        <c:dLbls>
          <c:showLegendKey val="0"/>
          <c:showVal val="0"/>
          <c:showCatName val="0"/>
          <c:showSerName val="0"/>
          <c:showPercent val="0"/>
          <c:showBubbleSize val="0"/>
        </c:dLbls>
        <c:gapWidth val="46"/>
        <c:axId val="1348539376"/>
        <c:axId val="1594451936"/>
      </c:barChart>
      <c:catAx>
        <c:axId val="13485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594451936"/>
        <c:crosses val="autoZero"/>
        <c:auto val="1"/>
        <c:lblAlgn val="ctr"/>
        <c:lblOffset val="100"/>
        <c:noMultiLvlLbl val="0"/>
      </c:catAx>
      <c:valAx>
        <c:axId val="15944519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2000">
                    <a:solidFill>
                      <a:schemeClr val="tx1"/>
                    </a:solidFill>
                  </a:rPr>
                  <a:t>Biomass</a:t>
                </a:r>
                <a:r>
                  <a:rPr lang="en-US" sz="2000" baseline="0">
                    <a:solidFill>
                      <a:schemeClr val="tx1"/>
                    </a:solidFill>
                  </a:rPr>
                  <a:t> (tons/ha)</a:t>
                </a:r>
                <a:endParaRPr lang="en-US" sz="2000">
                  <a:solidFill>
                    <a:schemeClr val="tx1"/>
                  </a:solidFill>
                </a:endParaRPr>
              </a:p>
            </c:rich>
          </c:tx>
          <c:layout>
            <c:manualLayout>
              <c:xMode val="edge"/>
              <c:yMode val="edge"/>
              <c:x val="6.6613801068286056E-3"/>
              <c:y val="0.34631179625485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348539376"/>
        <c:crosses val="autoZero"/>
        <c:crossBetween val="between"/>
      </c:valAx>
      <c:spPr>
        <a:noFill/>
        <a:ln>
          <a:noFill/>
        </a:ln>
        <a:effectLst/>
      </c:spPr>
    </c:plotArea>
    <c:legend>
      <c:legendPos val="b"/>
      <c:layout>
        <c:manualLayout>
          <c:xMode val="edge"/>
          <c:yMode val="edge"/>
          <c:x val="0.39346036455408318"/>
          <c:y val="0.10263524320963166"/>
          <c:w val="0.14439329705426013"/>
          <c:h val="5.4316899479439296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tons</a:t>
            </a:r>
            <a:r>
              <a:rPr lang="en-US" sz="2000" b="1" baseline="0">
                <a:solidFill>
                  <a:schemeClr val="tx1"/>
                </a:solidFill>
              </a:rPr>
              <a:t> C/ha of Corn</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'20&amp;21-Jul-2021 - VT Corn'!$AG$17</c:f>
              <c:strCache>
                <c:ptCount val="1"/>
                <c:pt idx="0">
                  <c:v>Fert - tons C/ha of V6 Corn</c:v>
                </c:pt>
              </c:strCache>
            </c:strRef>
          </c:tx>
          <c:spPr>
            <a:solidFill>
              <a:schemeClr val="accent3">
                <a:shade val="65000"/>
              </a:schemeClr>
            </a:solidFill>
            <a:ln>
              <a:noFill/>
            </a:ln>
            <a:effectLst/>
          </c:spPr>
          <c:invertIfNegative val="0"/>
          <c:errBars>
            <c:errBarType val="both"/>
            <c:errValType val="cust"/>
            <c:noEndCap val="0"/>
            <c:plus>
              <c:numRef>
                <c:f>'20&amp;21-Jul-2021 - VT Corn'!$AH$18:$AH$21</c:f>
                <c:numCache>
                  <c:formatCode>General</c:formatCode>
                  <c:ptCount val="4"/>
                  <c:pt idx="0">
                    <c:v>0.15533307064841925</c:v>
                  </c:pt>
                  <c:pt idx="1">
                    <c:v>0.16441671191932342</c:v>
                  </c:pt>
                  <c:pt idx="2">
                    <c:v>0.17703780611888911</c:v>
                  </c:pt>
                  <c:pt idx="3">
                    <c:v>0.18169968624481583</c:v>
                  </c:pt>
                </c:numCache>
              </c:numRef>
            </c:plus>
            <c:minus>
              <c:numRef>
                <c:f>'20&amp;21-Jul-2021 - VT Corn'!$AH$18:$AH$21</c:f>
                <c:numCache>
                  <c:formatCode>General</c:formatCode>
                  <c:ptCount val="4"/>
                  <c:pt idx="0">
                    <c:v>0.15533307064841925</c:v>
                  </c:pt>
                  <c:pt idx="1">
                    <c:v>0.16441671191932342</c:v>
                  </c:pt>
                  <c:pt idx="2">
                    <c:v>0.17703780611888911</c:v>
                  </c:pt>
                  <c:pt idx="3">
                    <c:v>0.18169968624481583</c:v>
                  </c:pt>
                </c:numCache>
              </c:numRef>
            </c:minus>
            <c:spPr>
              <a:noFill/>
              <a:ln w="38100" cap="flat" cmpd="sng" algn="ctr">
                <a:solidFill>
                  <a:schemeClr val="tx1"/>
                </a:solidFill>
                <a:round/>
              </a:ln>
              <a:effectLst/>
            </c:spPr>
          </c:errBars>
          <c:cat>
            <c:strRef>
              <c:f>'20&amp;21-Jul-2021 - VT Corn'!$AF$18:$AF$21</c:f>
              <c:strCache>
                <c:ptCount val="4"/>
                <c:pt idx="0">
                  <c:v>Conventional</c:v>
                </c:pt>
                <c:pt idx="1">
                  <c:v>Conventnional+NUI</c:v>
                </c:pt>
                <c:pt idx="2">
                  <c:v>Diverse</c:v>
                </c:pt>
                <c:pt idx="3">
                  <c:v>Diverse+NUI</c:v>
                </c:pt>
              </c:strCache>
            </c:strRef>
          </c:cat>
          <c:val>
            <c:numRef>
              <c:f>'20&amp;21-Jul-2021 - VT Corn'!$AG$18:$AG$21</c:f>
              <c:numCache>
                <c:formatCode>General</c:formatCode>
                <c:ptCount val="4"/>
                <c:pt idx="0">
                  <c:v>1.9795729548629626</c:v>
                </c:pt>
                <c:pt idx="1">
                  <c:v>2.297536759259259</c:v>
                </c:pt>
                <c:pt idx="2">
                  <c:v>1.711335692425926</c:v>
                </c:pt>
                <c:pt idx="3">
                  <c:v>1.6652511814814812</c:v>
                </c:pt>
              </c:numCache>
            </c:numRef>
          </c:val>
          <c:extLst>
            <c:ext xmlns:c16="http://schemas.microsoft.com/office/drawing/2014/chart" uri="{C3380CC4-5D6E-409C-BE32-E72D297353CC}">
              <c16:uniqueId val="{00000000-4FFA-6B41-A3F6-12EF629BEAC2}"/>
            </c:ext>
          </c:extLst>
        </c:ser>
        <c:ser>
          <c:idx val="2"/>
          <c:order val="1"/>
          <c:tx>
            <c:strRef>
              <c:f>'20&amp;21-Jul-2021 - VT Corn'!$AI$17</c:f>
              <c:strCache>
                <c:ptCount val="1"/>
                <c:pt idx="0">
                  <c:v>0N - tons C/ha of V6 Corn</c:v>
                </c:pt>
              </c:strCache>
            </c:strRef>
          </c:tx>
          <c:spPr>
            <a:solidFill>
              <a:schemeClr val="accent3">
                <a:tint val="65000"/>
              </a:schemeClr>
            </a:solidFill>
            <a:ln>
              <a:noFill/>
            </a:ln>
            <a:effectLst/>
          </c:spPr>
          <c:invertIfNegative val="0"/>
          <c:errBars>
            <c:errBarType val="both"/>
            <c:errValType val="cust"/>
            <c:noEndCap val="0"/>
            <c:plus>
              <c:numRef>
                <c:f>'20&amp;21-Jul-2021 - VT Corn'!$AJ$18:$AJ$21</c:f>
                <c:numCache>
                  <c:formatCode>General</c:formatCode>
                  <c:ptCount val="4"/>
                  <c:pt idx="0">
                    <c:v>0.21745618649667212</c:v>
                  </c:pt>
                  <c:pt idx="1">
                    <c:v>0.23933586681305516</c:v>
                  </c:pt>
                  <c:pt idx="2">
                    <c:v>0.15324776518037891</c:v>
                  </c:pt>
                  <c:pt idx="3">
                    <c:v>0.49282014125485096</c:v>
                  </c:pt>
                </c:numCache>
              </c:numRef>
            </c:plus>
            <c:minus>
              <c:numRef>
                <c:f>'20&amp;21-Jul-2021 - VT Corn'!$AJ$18:$AJ$21</c:f>
                <c:numCache>
                  <c:formatCode>General</c:formatCode>
                  <c:ptCount val="4"/>
                  <c:pt idx="0">
                    <c:v>0.21745618649667212</c:v>
                  </c:pt>
                  <c:pt idx="1">
                    <c:v>0.23933586681305516</c:v>
                  </c:pt>
                  <c:pt idx="2">
                    <c:v>0.15324776518037891</c:v>
                  </c:pt>
                  <c:pt idx="3">
                    <c:v>0.49282014125485096</c:v>
                  </c:pt>
                </c:numCache>
              </c:numRef>
            </c:minus>
            <c:spPr>
              <a:noFill/>
              <a:ln w="38100" cap="flat" cmpd="sng" algn="ctr">
                <a:solidFill>
                  <a:schemeClr val="tx1"/>
                </a:solidFill>
                <a:round/>
              </a:ln>
              <a:effectLst/>
            </c:spPr>
          </c:errBars>
          <c:cat>
            <c:strRef>
              <c:f>'20&amp;21-Jul-2021 - VT Corn'!$AF$18:$AF$21</c:f>
              <c:strCache>
                <c:ptCount val="4"/>
                <c:pt idx="0">
                  <c:v>Conventional</c:v>
                </c:pt>
                <c:pt idx="1">
                  <c:v>Conventnional+NUI</c:v>
                </c:pt>
                <c:pt idx="2">
                  <c:v>Diverse</c:v>
                </c:pt>
                <c:pt idx="3">
                  <c:v>Diverse+NUI</c:v>
                </c:pt>
              </c:strCache>
            </c:strRef>
          </c:cat>
          <c:val>
            <c:numRef>
              <c:f>'20&amp;21-Jul-2021 - VT Corn'!$AI$18:$AI$21</c:f>
              <c:numCache>
                <c:formatCode>General</c:formatCode>
                <c:ptCount val="4"/>
                <c:pt idx="0">
                  <c:v>1.9243412420555555</c:v>
                </c:pt>
                <c:pt idx="1">
                  <c:v>1.8872145444444444</c:v>
                </c:pt>
                <c:pt idx="2">
                  <c:v>1.3609343844444446</c:v>
                </c:pt>
                <c:pt idx="3">
                  <c:v>1.5337516444444443</c:v>
                </c:pt>
              </c:numCache>
            </c:numRef>
          </c:val>
          <c:extLst>
            <c:ext xmlns:c16="http://schemas.microsoft.com/office/drawing/2014/chart" uri="{C3380CC4-5D6E-409C-BE32-E72D297353CC}">
              <c16:uniqueId val="{00000002-4FFA-6B41-A3F6-12EF629BEAC2}"/>
            </c:ext>
          </c:extLst>
        </c:ser>
        <c:dLbls>
          <c:showLegendKey val="0"/>
          <c:showVal val="0"/>
          <c:showCatName val="0"/>
          <c:showSerName val="0"/>
          <c:showPercent val="0"/>
          <c:showBubbleSize val="0"/>
        </c:dLbls>
        <c:gapWidth val="219"/>
        <c:axId val="1781378976"/>
        <c:axId val="1780791568"/>
      </c:barChart>
      <c:catAx>
        <c:axId val="178137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0791568"/>
        <c:crosses val="autoZero"/>
        <c:auto val="1"/>
        <c:lblAlgn val="ctr"/>
        <c:lblOffset val="100"/>
        <c:noMultiLvlLbl val="0"/>
      </c:catAx>
      <c:valAx>
        <c:axId val="178079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137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 tons</a:t>
            </a:r>
            <a:r>
              <a:rPr lang="en-US" sz="2000" b="1" baseline="0">
                <a:solidFill>
                  <a:schemeClr val="tx1"/>
                </a:solidFill>
              </a:rPr>
              <a:t> N/ha of Corn</a:t>
            </a:r>
            <a:endParaRPr lang="en-US" sz="20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'20&amp;21-Jul-2021 - VT Corn'!$AG$24</c:f>
              <c:strCache>
                <c:ptCount val="1"/>
                <c:pt idx="0">
                  <c:v>Fert - tons N/ha of V6 Corn</c:v>
                </c:pt>
              </c:strCache>
            </c:strRef>
          </c:tx>
          <c:spPr>
            <a:solidFill>
              <a:schemeClr val="accent3">
                <a:shade val="65000"/>
              </a:schemeClr>
            </a:solidFill>
            <a:ln>
              <a:noFill/>
            </a:ln>
            <a:effectLst/>
          </c:spPr>
          <c:invertIfNegative val="0"/>
          <c:errBars>
            <c:errBarType val="both"/>
            <c:errValType val="cust"/>
            <c:noEndCap val="0"/>
            <c:plus>
              <c:numRef>
                <c:f>'20&amp;21-Jul-2021 - VT Corn'!$AH$25:$AH$28</c:f>
                <c:numCache>
                  <c:formatCode>General</c:formatCode>
                  <c:ptCount val="4"/>
                  <c:pt idx="0">
                    <c:v>1.3228492972561592E-2</c:v>
                  </c:pt>
                  <c:pt idx="1">
                    <c:v>2.5426960515057755E-2</c:v>
                  </c:pt>
                  <c:pt idx="2">
                    <c:v>2.7974006587028626E-2</c:v>
                  </c:pt>
                  <c:pt idx="3">
                    <c:v>1.5716806256177974E-2</c:v>
                  </c:pt>
                </c:numCache>
              </c:numRef>
            </c:plus>
            <c:minus>
              <c:numRef>
                <c:f>'20&amp;21-Jul-2021 - VT Corn'!$AH$25:$AH$28</c:f>
                <c:numCache>
                  <c:formatCode>General</c:formatCode>
                  <c:ptCount val="4"/>
                  <c:pt idx="0">
                    <c:v>1.3228492972561592E-2</c:v>
                  </c:pt>
                  <c:pt idx="1">
                    <c:v>2.5426960515057755E-2</c:v>
                  </c:pt>
                  <c:pt idx="2">
                    <c:v>2.7974006587028626E-2</c:v>
                  </c:pt>
                  <c:pt idx="3">
                    <c:v>1.5716806256177974E-2</c:v>
                  </c:pt>
                </c:numCache>
              </c:numRef>
            </c:minus>
            <c:spPr>
              <a:noFill/>
              <a:ln w="38100" cap="flat" cmpd="sng" algn="ctr">
                <a:solidFill>
                  <a:schemeClr val="tx1"/>
                </a:solidFill>
                <a:round/>
              </a:ln>
              <a:effectLst/>
            </c:spPr>
          </c:errBars>
          <c:cat>
            <c:strRef>
              <c:f>'20&amp;21-Jul-2021 - VT Corn'!$AF$25:$AF$28</c:f>
              <c:strCache>
                <c:ptCount val="4"/>
                <c:pt idx="0">
                  <c:v>Conventional</c:v>
                </c:pt>
                <c:pt idx="1">
                  <c:v>Conventnional+NUI</c:v>
                </c:pt>
                <c:pt idx="2">
                  <c:v>Diverse</c:v>
                </c:pt>
                <c:pt idx="3">
                  <c:v>Diverse+NUI</c:v>
                </c:pt>
              </c:strCache>
            </c:strRef>
          </c:cat>
          <c:val>
            <c:numRef>
              <c:f>'20&amp;21-Jul-2021 - VT Corn'!$AG$25:$AG$28</c:f>
              <c:numCache>
                <c:formatCode>General</c:formatCode>
                <c:ptCount val="4"/>
                <c:pt idx="0">
                  <c:v>0.12959704603703701</c:v>
                </c:pt>
                <c:pt idx="1">
                  <c:v>0.14845001111111109</c:v>
                </c:pt>
                <c:pt idx="2">
                  <c:v>0.11671357901851853</c:v>
                </c:pt>
                <c:pt idx="3">
                  <c:v>0.11556428333333334</c:v>
                </c:pt>
              </c:numCache>
            </c:numRef>
          </c:val>
          <c:extLst>
            <c:ext xmlns:c16="http://schemas.microsoft.com/office/drawing/2014/chart" uri="{C3380CC4-5D6E-409C-BE32-E72D297353CC}">
              <c16:uniqueId val="{00000000-D341-8844-A71F-285F527F6B55}"/>
            </c:ext>
          </c:extLst>
        </c:ser>
        <c:ser>
          <c:idx val="2"/>
          <c:order val="1"/>
          <c:tx>
            <c:strRef>
              <c:f>'20&amp;21-Jul-2021 - VT Corn'!$AI$24</c:f>
              <c:strCache>
                <c:ptCount val="1"/>
                <c:pt idx="0">
                  <c:v>0N - tons N/ha of V6 Corn</c:v>
                </c:pt>
              </c:strCache>
            </c:strRef>
          </c:tx>
          <c:spPr>
            <a:solidFill>
              <a:schemeClr val="accent3">
                <a:tint val="65000"/>
              </a:schemeClr>
            </a:solidFill>
            <a:ln>
              <a:noFill/>
            </a:ln>
            <a:effectLst/>
          </c:spPr>
          <c:invertIfNegative val="0"/>
          <c:errBars>
            <c:errBarType val="both"/>
            <c:errValType val="cust"/>
            <c:noEndCap val="0"/>
            <c:plus>
              <c:numRef>
                <c:f>'20&amp;21-Jul-2021 - VT Corn'!$AJ$25:$AJ$28</c:f>
                <c:numCache>
                  <c:formatCode>General</c:formatCode>
                  <c:ptCount val="4"/>
                  <c:pt idx="0">
                    <c:v>2.3597473390171479E-2</c:v>
                  </c:pt>
                  <c:pt idx="1">
                    <c:v>1.8935651721035909E-2</c:v>
                  </c:pt>
                  <c:pt idx="2">
                    <c:v>8.0119771609359607E-3</c:v>
                  </c:pt>
                  <c:pt idx="3">
                    <c:v>2.4631863625130708E-2</c:v>
                  </c:pt>
                </c:numCache>
              </c:numRef>
            </c:plus>
            <c:minus>
              <c:numRef>
                <c:f>'20&amp;21-Jul-2021 - VT Corn'!$AJ$25:$AJ$28</c:f>
                <c:numCache>
                  <c:formatCode>General</c:formatCode>
                  <c:ptCount val="4"/>
                  <c:pt idx="0">
                    <c:v>2.3597473390171479E-2</c:v>
                  </c:pt>
                  <c:pt idx="1">
                    <c:v>1.8935651721035909E-2</c:v>
                  </c:pt>
                  <c:pt idx="2">
                    <c:v>8.0119771609359607E-3</c:v>
                  </c:pt>
                  <c:pt idx="3">
                    <c:v>2.4631863625130708E-2</c:v>
                  </c:pt>
                </c:numCache>
              </c:numRef>
            </c:minus>
            <c:spPr>
              <a:noFill/>
              <a:ln w="38100" cap="flat" cmpd="sng" algn="ctr">
                <a:solidFill>
                  <a:schemeClr val="tx1"/>
                </a:solidFill>
                <a:round/>
              </a:ln>
              <a:effectLst/>
            </c:spPr>
          </c:errBars>
          <c:cat>
            <c:strRef>
              <c:f>'20&amp;21-Jul-2021 - VT Corn'!$AF$25:$AF$28</c:f>
              <c:strCache>
                <c:ptCount val="4"/>
                <c:pt idx="0">
                  <c:v>Conventional</c:v>
                </c:pt>
                <c:pt idx="1">
                  <c:v>Conventnional+NUI</c:v>
                </c:pt>
                <c:pt idx="2">
                  <c:v>Diverse</c:v>
                </c:pt>
                <c:pt idx="3">
                  <c:v>Diverse+NUI</c:v>
                </c:pt>
              </c:strCache>
            </c:strRef>
          </c:cat>
          <c:val>
            <c:numRef>
              <c:f>'20&amp;21-Jul-2021 - VT Corn'!$AI$25:$AI$28</c:f>
              <c:numCache>
                <c:formatCode>General</c:formatCode>
                <c:ptCount val="4"/>
                <c:pt idx="0">
                  <c:v>8.7125956266666651E-2</c:v>
                </c:pt>
                <c:pt idx="1">
                  <c:v>0.10507871111111111</c:v>
                </c:pt>
                <c:pt idx="2">
                  <c:v>6.050952211111111E-2</c:v>
                </c:pt>
                <c:pt idx="3">
                  <c:v>6.3495911111111109E-2</c:v>
                </c:pt>
              </c:numCache>
            </c:numRef>
          </c:val>
          <c:extLst>
            <c:ext xmlns:c16="http://schemas.microsoft.com/office/drawing/2014/chart" uri="{C3380CC4-5D6E-409C-BE32-E72D297353CC}">
              <c16:uniqueId val="{00000002-D341-8844-A71F-285F527F6B55}"/>
            </c:ext>
          </c:extLst>
        </c:ser>
        <c:dLbls>
          <c:showLegendKey val="0"/>
          <c:showVal val="0"/>
          <c:showCatName val="0"/>
          <c:showSerName val="0"/>
          <c:showPercent val="0"/>
          <c:showBubbleSize val="0"/>
        </c:dLbls>
        <c:gapWidth val="219"/>
        <c:axId val="1781378976"/>
        <c:axId val="1780791568"/>
      </c:barChart>
      <c:catAx>
        <c:axId val="178137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0791568"/>
        <c:crosses val="autoZero"/>
        <c:auto val="1"/>
        <c:lblAlgn val="ctr"/>
        <c:lblOffset val="100"/>
        <c:noMultiLvlLbl val="0"/>
      </c:catAx>
      <c:valAx>
        <c:axId val="1780791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solidFill>
                <a:latin typeface="+mn-lt"/>
                <a:ea typeface="+mn-ea"/>
                <a:cs typeface="+mn-cs"/>
              </a:defRPr>
            </a:pPr>
            <a:endParaRPr lang="en-US"/>
          </a:p>
        </c:txPr>
        <c:crossAx val="178137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3200" b="1" i="0" u="none" strike="noStrike" kern="1200" spc="0" baseline="0">
                <a:solidFill>
                  <a:schemeClr val="tx1">
                    <a:lumMod val="65000"/>
                    <a:lumOff val="35000"/>
                  </a:schemeClr>
                </a:solidFill>
                <a:latin typeface="+mn-lt"/>
                <a:ea typeface="+mn-ea"/>
                <a:cs typeface="+mn-cs"/>
              </a:defRPr>
            </a:pPr>
            <a:r>
              <a:rPr lang="en-US" sz="3200" b="1"/>
              <a:t>2021</a:t>
            </a:r>
            <a:r>
              <a:rPr lang="en-US" sz="3200" b="1" baseline="0"/>
              <a:t> Corn Grain Yield </a:t>
            </a:r>
            <a:endParaRPr lang="en-US" sz="3200" b="1"/>
          </a:p>
        </c:rich>
      </c:tx>
      <c:layout>
        <c:manualLayout>
          <c:xMode val="edge"/>
          <c:yMode val="edge"/>
          <c:x val="0.39511429311224688"/>
          <c:y val="2.4579096567561253E-2"/>
        </c:manualLayout>
      </c:layout>
      <c:overlay val="0"/>
      <c:spPr>
        <a:noFill/>
        <a:ln>
          <a:noFill/>
        </a:ln>
        <a:effectLst/>
      </c:spPr>
      <c:txPr>
        <a:bodyPr rot="0" spcFirstLastPara="1" vertOverflow="ellipsis" vert="horz" wrap="square" anchor="ctr" anchorCtr="1"/>
        <a:lstStyle/>
        <a:p>
          <a:pPr>
            <a:defRPr sz="3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5772138823339599E-2"/>
          <c:y val="9.1225949462638775E-2"/>
          <c:w val="0.92661849726882661"/>
          <c:h val="0.86208225037860675"/>
        </c:manualLayout>
      </c:layout>
      <c:barChart>
        <c:barDir val="col"/>
        <c:grouping val="clustered"/>
        <c:varyColors val="0"/>
        <c:ser>
          <c:idx val="0"/>
          <c:order val="0"/>
          <c:spPr>
            <a:solidFill>
              <a:schemeClr val="accent3">
                <a:shade val="76000"/>
              </a:schemeClr>
            </a:solidFill>
            <a:ln>
              <a:noFill/>
            </a:ln>
            <a:effectLst/>
          </c:spPr>
          <c:invertIfNegative val="0"/>
          <c:errBars>
            <c:errBarType val="both"/>
            <c:errValType val="cust"/>
            <c:noEndCap val="0"/>
            <c:plus>
              <c:numRef>
                <c:f>' 2021 Harvest Corn! '!$AO$105:$AO$108</c:f>
                <c:numCache>
                  <c:formatCode>General</c:formatCode>
                  <c:ptCount val="4"/>
                  <c:pt idx="0">
                    <c:v>0.86574237246119257</c:v>
                  </c:pt>
                  <c:pt idx="1">
                    <c:v>0.32573487631016507</c:v>
                  </c:pt>
                  <c:pt idx="2">
                    <c:v>0.63525375764668757</c:v>
                  </c:pt>
                  <c:pt idx="3">
                    <c:v>1.3319416520492133</c:v>
                  </c:pt>
                </c:numCache>
              </c:numRef>
            </c:plus>
            <c:minus>
              <c:numRef>
                <c:f>' 2021 Harvest Corn! '!$AO$105:$AO$108</c:f>
                <c:numCache>
                  <c:formatCode>General</c:formatCode>
                  <c:ptCount val="4"/>
                  <c:pt idx="0">
                    <c:v>0.86574237246119257</c:v>
                  </c:pt>
                  <c:pt idx="1">
                    <c:v>0.32573487631016507</c:v>
                  </c:pt>
                  <c:pt idx="2">
                    <c:v>0.63525375764668757</c:v>
                  </c:pt>
                  <c:pt idx="3">
                    <c:v>1.3319416520492133</c:v>
                  </c:pt>
                </c:numCache>
              </c:numRef>
            </c:minus>
            <c:spPr>
              <a:noFill/>
              <a:ln w="38100" cap="flat" cmpd="sng" algn="ctr">
                <a:solidFill>
                  <a:schemeClr val="tx1"/>
                </a:solidFill>
                <a:round/>
              </a:ln>
              <a:effectLst/>
            </c:spPr>
          </c:errBars>
          <c:cat>
            <c:strRef>
              <c:f>' 2021 Harvest Corn! '!$AM$105:$AM$108</c:f>
              <c:strCache>
                <c:ptCount val="4"/>
                <c:pt idx="0">
                  <c:v>Conventional</c:v>
                </c:pt>
                <c:pt idx="1">
                  <c:v>Conventnional+NUI</c:v>
                </c:pt>
                <c:pt idx="2">
                  <c:v>Diverse</c:v>
                </c:pt>
                <c:pt idx="3">
                  <c:v>Diverse+NUI</c:v>
                </c:pt>
              </c:strCache>
            </c:strRef>
          </c:cat>
          <c:val>
            <c:numRef>
              <c:f>' 2021 Harvest Corn! '!$AN$105:$AN$108</c:f>
              <c:numCache>
                <c:formatCode>General</c:formatCode>
                <c:ptCount val="4"/>
                <c:pt idx="0">
                  <c:v>12.451843500000001</c:v>
                </c:pt>
                <c:pt idx="1">
                  <c:v>12.608048638888887</c:v>
                </c:pt>
                <c:pt idx="2">
                  <c:v>12.015440861111109</c:v>
                </c:pt>
                <c:pt idx="3">
                  <c:v>12.724999805555555</c:v>
                </c:pt>
              </c:numCache>
            </c:numRef>
          </c:val>
          <c:extLst>
            <c:ext xmlns:c16="http://schemas.microsoft.com/office/drawing/2014/chart" uri="{C3380CC4-5D6E-409C-BE32-E72D297353CC}">
              <c16:uniqueId val="{00000000-03A1-FE48-8737-B70848E56531}"/>
            </c:ext>
          </c:extLst>
        </c:ser>
        <c:ser>
          <c:idx val="1"/>
          <c:order val="1"/>
          <c:spPr>
            <a:solidFill>
              <a:schemeClr val="accent3">
                <a:tint val="77000"/>
              </a:schemeClr>
            </a:solidFill>
            <a:ln>
              <a:noFill/>
            </a:ln>
            <a:effectLst/>
          </c:spPr>
          <c:invertIfNegative val="0"/>
          <c:errBars>
            <c:errBarType val="both"/>
            <c:errValType val="cust"/>
            <c:noEndCap val="0"/>
            <c:plus>
              <c:numRef>
                <c:f>' 2021 Harvest Corn! '!$AQ$105:$AQ$108</c:f>
                <c:numCache>
                  <c:formatCode>General</c:formatCode>
                  <c:ptCount val="4"/>
                  <c:pt idx="0">
                    <c:v>2.021518568249276</c:v>
                  </c:pt>
                  <c:pt idx="1">
                    <c:v>1.7462709769770335</c:v>
                  </c:pt>
                  <c:pt idx="2">
                    <c:v>0.49647779706557144</c:v>
                  </c:pt>
                  <c:pt idx="3">
                    <c:v>3.5631535797052494</c:v>
                  </c:pt>
                </c:numCache>
              </c:numRef>
            </c:plus>
            <c:minus>
              <c:numRef>
                <c:f>' 2021 Harvest Corn! '!$AQ$105:$AQ$108</c:f>
                <c:numCache>
                  <c:formatCode>General</c:formatCode>
                  <c:ptCount val="4"/>
                  <c:pt idx="0">
                    <c:v>2.021518568249276</c:v>
                  </c:pt>
                  <c:pt idx="1">
                    <c:v>1.7462709769770335</c:v>
                  </c:pt>
                  <c:pt idx="2">
                    <c:v>0.49647779706557144</c:v>
                  </c:pt>
                  <c:pt idx="3">
                    <c:v>3.5631535797052494</c:v>
                  </c:pt>
                </c:numCache>
              </c:numRef>
            </c:minus>
            <c:spPr>
              <a:noFill/>
              <a:ln w="38100" cap="flat" cmpd="sng" algn="ctr">
                <a:solidFill>
                  <a:schemeClr val="tx1"/>
                </a:solidFill>
                <a:round/>
              </a:ln>
              <a:effectLst/>
            </c:spPr>
          </c:errBars>
          <c:cat>
            <c:strRef>
              <c:f>' 2021 Harvest Corn! '!$AM$105:$AM$108</c:f>
              <c:strCache>
                <c:ptCount val="4"/>
                <c:pt idx="0">
                  <c:v>Conventional</c:v>
                </c:pt>
                <c:pt idx="1">
                  <c:v>Conventnional+NUI</c:v>
                </c:pt>
                <c:pt idx="2">
                  <c:v>Diverse</c:v>
                </c:pt>
                <c:pt idx="3">
                  <c:v>Diverse+NUI</c:v>
                </c:pt>
              </c:strCache>
            </c:strRef>
          </c:cat>
          <c:val>
            <c:numRef>
              <c:f>' 2021 Harvest Corn! '!$AP$105:$AP$108</c:f>
              <c:numCache>
                <c:formatCode>General</c:formatCode>
                <c:ptCount val="4"/>
                <c:pt idx="0">
                  <c:v>10.336426166666666</c:v>
                </c:pt>
                <c:pt idx="1">
                  <c:v>9.1285428333333325</c:v>
                </c:pt>
                <c:pt idx="2">
                  <c:v>5.8722028333333327</c:v>
                </c:pt>
                <c:pt idx="3">
                  <c:v>8.9282051666666664</c:v>
                </c:pt>
              </c:numCache>
            </c:numRef>
          </c:val>
          <c:extLst>
            <c:ext xmlns:c16="http://schemas.microsoft.com/office/drawing/2014/chart" uri="{C3380CC4-5D6E-409C-BE32-E72D297353CC}">
              <c16:uniqueId val="{00000002-03A1-FE48-8737-B70848E56531}"/>
            </c:ext>
          </c:extLst>
        </c:ser>
        <c:dLbls>
          <c:showLegendKey val="0"/>
          <c:showVal val="0"/>
          <c:showCatName val="0"/>
          <c:showSerName val="0"/>
          <c:showPercent val="0"/>
          <c:showBubbleSize val="0"/>
        </c:dLbls>
        <c:gapWidth val="83"/>
        <c:axId val="2127782911"/>
        <c:axId val="100301232"/>
      </c:barChart>
      <c:catAx>
        <c:axId val="2127782911"/>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00301232"/>
        <c:crosses val="autoZero"/>
        <c:auto val="1"/>
        <c:lblAlgn val="ctr"/>
        <c:lblOffset val="10"/>
        <c:noMultiLvlLbl val="0"/>
      </c:catAx>
      <c:valAx>
        <c:axId val="100301232"/>
        <c:scaling>
          <c:orientation val="minMax"/>
          <c:max val="15"/>
          <c:min val="0"/>
        </c:scaling>
        <c:delete val="0"/>
        <c:axPos val="l"/>
        <c:title>
          <c:tx>
            <c:rich>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r>
                  <a:rPr lang="en-US" sz="2400"/>
                  <a:t>Average</a:t>
                </a:r>
                <a:r>
                  <a:rPr lang="en-US" sz="2400" baseline="0"/>
                  <a:t> Yield (tons/ha) Corrected to 15% Moisture</a:t>
                </a:r>
              </a:p>
            </c:rich>
          </c:tx>
          <c:layout>
            <c:manualLayout>
              <c:xMode val="edge"/>
              <c:yMode val="edge"/>
              <c:x val="1.0939106520225342E-2"/>
              <c:y val="0.27679368275199623"/>
            </c:manualLayout>
          </c:layout>
          <c:overlay val="0"/>
          <c:spPr>
            <a:noFill/>
            <a:ln>
              <a:noFill/>
            </a:ln>
            <a:effectLst/>
          </c:spPr>
          <c:txPr>
            <a:bodyPr rot="-54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2127782911"/>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b="1" baseline="0"/>
              <a:t>R6 Corn Biomass </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621360964276247E-2"/>
          <c:y val="8.4320853521176936E-2"/>
          <c:w val="0.91289462194570492"/>
          <c:h val="0.75939890974969915"/>
        </c:manualLayout>
      </c:layout>
      <c:barChart>
        <c:barDir val="col"/>
        <c:grouping val="clustered"/>
        <c:varyColors val="0"/>
        <c:ser>
          <c:idx val="0"/>
          <c:order val="0"/>
          <c:spPr>
            <a:solidFill>
              <a:schemeClr val="accent3">
                <a:shade val="76000"/>
              </a:schemeClr>
            </a:solidFill>
            <a:ln>
              <a:noFill/>
            </a:ln>
            <a:effectLst/>
          </c:spPr>
          <c:invertIfNegative val="0"/>
          <c:errBars>
            <c:errBarType val="both"/>
            <c:errValType val="cust"/>
            <c:noEndCap val="0"/>
            <c:plus>
              <c:numRef>
                <c:f>' 2021 Harvest Corn! '!$AQ$3:$AQ$6</c:f>
                <c:numCache>
                  <c:formatCode>General</c:formatCode>
                  <c:ptCount val="4"/>
                  <c:pt idx="0">
                    <c:v>683.21924122488258</c:v>
                  </c:pt>
                  <c:pt idx="1">
                    <c:v>206.56641344172829</c:v>
                  </c:pt>
                  <c:pt idx="2">
                    <c:v>517.53334772653443</c:v>
                  </c:pt>
                  <c:pt idx="3">
                    <c:v>534.86264024748812</c:v>
                  </c:pt>
                </c:numCache>
              </c:numRef>
            </c:plus>
            <c:minus>
              <c:numRef>
                <c:f>' 2021 Harvest Corn! '!$AQ$3:$AQ$6</c:f>
                <c:numCache>
                  <c:formatCode>General</c:formatCode>
                  <c:ptCount val="4"/>
                  <c:pt idx="0">
                    <c:v>683.21924122488258</c:v>
                  </c:pt>
                  <c:pt idx="1">
                    <c:v>206.56641344172829</c:v>
                  </c:pt>
                  <c:pt idx="2">
                    <c:v>517.53334772653443</c:v>
                  </c:pt>
                  <c:pt idx="3">
                    <c:v>534.86264024748812</c:v>
                  </c:pt>
                </c:numCache>
              </c:numRef>
            </c:minus>
            <c:spPr>
              <a:noFill/>
              <a:ln w="38100" cap="flat" cmpd="sng" algn="ctr">
                <a:solidFill>
                  <a:schemeClr val="tx1">
                    <a:lumMod val="65000"/>
                    <a:lumOff val="35000"/>
                  </a:schemeClr>
                </a:solidFill>
                <a:round/>
              </a:ln>
              <a:effectLst/>
            </c:spPr>
          </c:errBars>
          <c:cat>
            <c:strRef>
              <c:f>' 2021 Harvest Corn! '!$AO$3:$AO$6</c:f>
              <c:strCache>
                <c:ptCount val="4"/>
                <c:pt idx="0">
                  <c:v>Conventional</c:v>
                </c:pt>
                <c:pt idx="1">
                  <c:v>Conventnional+NUI</c:v>
                </c:pt>
                <c:pt idx="2">
                  <c:v>Diverse</c:v>
                </c:pt>
                <c:pt idx="3">
                  <c:v>Diverse+NUI</c:v>
                </c:pt>
              </c:strCache>
            </c:strRef>
          </c:cat>
          <c:val>
            <c:numRef>
              <c:f>' 2021 Harvest Corn! '!$AP$3:$AP$6</c:f>
              <c:numCache>
                <c:formatCode>General</c:formatCode>
                <c:ptCount val="4"/>
                <c:pt idx="0">
                  <c:v>7198.8343148148151</c:v>
                </c:pt>
                <c:pt idx="1">
                  <c:v>7375.9162129629631</c:v>
                </c:pt>
                <c:pt idx="2">
                  <c:v>7340.4676759259246</c:v>
                </c:pt>
                <c:pt idx="3">
                  <c:v>7463.8993055555557</c:v>
                </c:pt>
              </c:numCache>
            </c:numRef>
          </c:val>
          <c:extLst>
            <c:ext xmlns:c16="http://schemas.microsoft.com/office/drawing/2014/chart" uri="{C3380CC4-5D6E-409C-BE32-E72D297353CC}">
              <c16:uniqueId val="{00000001-94AF-D944-9977-700B3EF92BC0}"/>
            </c:ext>
          </c:extLst>
        </c:ser>
        <c:ser>
          <c:idx val="1"/>
          <c:order val="1"/>
          <c:spPr>
            <a:solidFill>
              <a:schemeClr val="accent3">
                <a:tint val="77000"/>
              </a:schemeClr>
            </a:solidFill>
            <a:ln>
              <a:noFill/>
            </a:ln>
            <a:effectLst/>
          </c:spPr>
          <c:invertIfNegative val="0"/>
          <c:errBars>
            <c:errBarType val="both"/>
            <c:errValType val="cust"/>
            <c:noEndCap val="0"/>
            <c:plus>
              <c:numRef>
                <c:f>' 2021 Harvest Corn! '!$AS$3:$AS$6</c:f>
                <c:numCache>
                  <c:formatCode>General</c:formatCode>
                  <c:ptCount val="4"/>
                  <c:pt idx="0">
                    <c:v>1700.2607081575356</c:v>
                  </c:pt>
                  <c:pt idx="1">
                    <c:v>1460.4836489609643</c:v>
                  </c:pt>
                  <c:pt idx="2">
                    <c:v>580.96151310852554</c:v>
                  </c:pt>
                  <c:pt idx="3">
                    <c:v>1404.8722493560613</c:v>
                  </c:pt>
                </c:numCache>
              </c:numRef>
            </c:plus>
            <c:minus>
              <c:numRef>
                <c:f>' 2021 Harvest Corn! '!$AS$3:$AS$6</c:f>
                <c:numCache>
                  <c:formatCode>General</c:formatCode>
                  <c:ptCount val="4"/>
                  <c:pt idx="0">
                    <c:v>1700.2607081575356</c:v>
                  </c:pt>
                  <c:pt idx="1">
                    <c:v>1460.4836489609643</c:v>
                  </c:pt>
                  <c:pt idx="2">
                    <c:v>580.96151310852554</c:v>
                  </c:pt>
                  <c:pt idx="3">
                    <c:v>1404.8722493560613</c:v>
                  </c:pt>
                </c:numCache>
              </c:numRef>
            </c:minus>
            <c:spPr>
              <a:noFill/>
              <a:ln w="38100" cap="flat" cmpd="sng" algn="ctr">
                <a:solidFill>
                  <a:schemeClr val="tx1">
                    <a:lumMod val="65000"/>
                    <a:lumOff val="35000"/>
                  </a:schemeClr>
                </a:solidFill>
                <a:round/>
              </a:ln>
              <a:effectLst/>
            </c:spPr>
          </c:errBars>
          <c:cat>
            <c:strRef>
              <c:f>' 2021 Harvest Corn! '!$AO$3:$AO$6</c:f>
              <c:strCache>
                <c:ptCount val="4"/>
                <c:pt idx="0">
                  <c:v>Conventional</c:v>
                </c:pt>
                <c:pt idx="1">
                  <c:v>Conventnional+NUI</c:v>
                </c:pt>
                <c:pt idx="2">
                  <c:v>Diverse</c:v>
                </c:pt>
                <c:pt idx="3">
                  <c:v>Diverse+NUI</c:v>
                </c:pt>
              </c:strCache>
            </c:strRef>
          </c:cat>
          <c:val>
            <c:numRef>
              <c:f>' 2021 Harvest Corn! '!$AR$3:$AR$6</c:f>
              <c:numCache>
                <c:formatCode>General</c:formatCode>
                <c:ptCount val="4"/>
                <c:pt idx="0">
                  <c:v>6084.5618333333323</c:v>
                </c:pt>
                <c:pt idx="1">
                  <c:v>5914.7451666666648</c:v>
                </c:pt>
                <c:pt idx="2">
                  <c:v>4596.5129444444447</c:v>
                </c:pt>
                <c:pt idx="3">
                  <c:v>6045.3161666666665</c:v>
                </c:pt>
              </c:numCache>
            </c:numRef>
          </c:val>
          <c:extLst>
            <c:ext xmlns:c16="http://schemas.microsoft.com/office/drawing/2014/chart" uri="{C3380CC4-5D6E-409C-BE32-E72D297353CC}">
              <c16:uniqueId val="{00000002-94AF-D944-9977-700B3EF92BC0}"/>
            </c:ext>
          </c:extLst>
        </c:ser>
        <c:dLbls>
          <c:showLegendKey val="0"/>
          <c:showVal val="0"/>
          <c:showCatName val="0"/>
          <c:showSerName val="0"/>
          <c:showPercent val="0"/>
          <c:showBubbleSize val="0"/>
        </c:dLbls>
        <c:gapWidth val="129"/>
        <c:axId val="1991411951"/>
        <c:axId val="169147392"/>
      </c:barChart>
      <c:catAx>
        <c:axId val="199141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169147392"/>
        <c:crosses val="autoZero"/>
        <c:auto val="1"/>
        <c:lblAlgn val="ctr"/>
        <c:lblOffset val="100"/>
        <c:noMultiLvlLbl val="0"/>
      </c:catAx>
      <c:valAx>
        <c:axId val="169147392"/>
        <c:scaling>
          <c:orientation val="minMax"/>
          <c:max val="7"/>
        </c:scaling>
        <c:delete val="0"/>
        <c:axPos val="l"/>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t>Yield</a:t>
                </a:r>
                <a:r>
                  <a:rPr lang="en-US" sz="2800" baseline="0"/>
                  <a:t> (tons/ha)</a:t>
                </a:r>
                <a:endParaRPr lang="en-US" sz="2800"/>
              </a:p>
            </c:rich>
          </c:tx>
          <c:layout>
            <c:manualLayout>
              <c:xMode val="edge"/>
              <c:yMode val="edge"/>
              <c:x val="2.3600043775422769E-2"/>
              <c:y val="0.45204378217651653"/>
            </c:manualLayout>
          </c:layout>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991411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 2021 Harvest Corn! '!$N$181</c:f>
              <c:strCache>
                <c:ptCount val="1"/>
                <c:pt idx="0">
                  <c:v>Dry Weight of 1m2 of Corn</c:v>
                </c:pt>
              </c:strCache>
            </c:strRef>
          </c:tx>
          <c:spPr>
            <a:ln w="19050" cap="rnd">
              <a:noFill/>
              <a:round/>
            </a:ln>
            <a:effectLst/>
          </c:spPr>
          <c:marker>
            <c:symbol val="circle"/>
            <c:size val="5"/>
            <c:spPr>
              <a:solidFill>
                <a:schemeClr val="accent1"/>
              </a:solidFill>
              <a:ln w="9525">
                <a:solidFill>
                  <a:schemeClr val="accent1"/>
                </a:solidFill>
              </a:ln>
              <a:effectLst/>
            </c:spPr>
          </c:marker>
          <c:xVal>
            <c:numRef>
              <c:f>' 2021 Harvest Corn! '!$M$182:$M$265</c:f>
              <c:numCache>
                <c:formatCode>General</c:formatCode>
                <c:ptCount val="84"/>
                <c:pt idx="0">
                  <c:v>1160.2460000000001</c:v>
                </c:pt>
                <c:pt idx="1">
                  <c:v>1068.4379999999999</c:v>
                </c:pt>
                <c:pt idx="2">
                  <c:v>1060.3230000000001</c:v>
                </c:pt>
                <c:pt idx="3">
                  <c:v>886.70400000000006</c:v>
                </c:pt>
                <c:pt idx="4">
                  <c:v>1108.8809999999999</c:v>
                </c:pt>
                <c:pt idx="5">
                  <c:v>1094.0889999999999</c:v>
                </c:pt>
                <c:pt idx="6">
                  <c:v>1258.425</c:v>
                </c:pt>
                <c:pt idx="7">
                  <c:v>1047.6020000000001</c:v>
                </c:pt>
                <c:pt idx="8">
                  <c:v>1117.4590000000001</c:v>
                </c:pt>
                <c:pt idx="9">
                  <c:v>1141.7909999999999</c:v>
                </c:pt>
                <c:pt idx="10">
                  <c:v>1211.6959999999999</c:v>
                </c:pt>
                <c:pt idx="11">
                  <c:v>1000.624</c:v>
                </c:pt>
                <c:pt idx="12">
                  <c:v>1122.038</c:v>
                </c:pt>
                <c:pt idx="13">
                  <c:v>1222.9940000000001</c:v>
                </c:pt>
                <c:pt idx="14">
                  <c:v>1069.05</c:v>
                </c:pt>
                <c:pt idx="15">
                  <c:v>982.77600000000007</c:v>
                </c:pt>
                <c:pt idx="16">
                  <c:v>1005.48</c:v>
                </c:pt>
                <c:pt idx="17">
                  <c:v>931.226</c:v>
                </c:pt>
                <c:pt idx="18">
                  <c:v>779.81</c:v>
                </c:pt>
                <c:pt idx="19">
                  <c:v>815.92499999999995</c:v>
                </c:pt>
                <c:pt idx="20">
                  <c:v>1100.7239999999999</c:v>
                </c:pt>
                <c:pt idx="21">
                  <c:v>1072.5709999999999</c:v>
                </c:pt>
                <c:pt idx="22">
                  <c:v>1086.7339999999999</c:v>
                </c:pt>
                <c:pt idx="23">
                  <c:v>1110.922</c:v>
                </c:pt>
                <c:pt idx="24">
                  <c:v>1171.6089999999999</c:v>
                </c:pt>
                <c:pt idx="25">
                  <c:v>1139.3920000000001</c:v>
                </c:pt>
                <c:pt idx="26">
                  <c:v>1072.25</c:v>
                </c:pt>
                <c:pt idx="27">
                  <c:v>1146.4499999999998</c:v>
                </c:pt>
                <c:pt idx="28">
                  <c:v>1090.3219999999999</c:v>
                </c:pt>
                <c:pt idx="29">
                  <c:v>1080.115</c:v>
                </c:pt>
                <c:pt idx="30">
                  <c:v>1020.51</c:v>
                </c:pt>
                <c:pt idx="31">
                  <c:v>1129.2359999999999</c:v>
                </c:pt>
                <c:pt idx="32">
                  <c:v>1030.7469999999998</c:v>
                </c:pt>
                <c:pt idx="33">
                  <c:v>1081.212</c:v>
                </c:pt>
                <c:pt idx="34">
                  <c:v>1062.664</c:v>
                </c:pt>
                <c:pt idx="35">
                  <c:v>1061.202</c:v>
                </c:pt>
                <c:pt idx="36">
                  <c:v>1178.4290000000001</c:v>
                </c:pt>
                <c:pt idx="37">
                  <c:v>1106.1109999999999</c:v>
                </c:pt>
                <c:pt idx="38">
                  <c:v>1093.8610000000001</c:v>
                </c:pt>
                <c:pt idx="39">
                  <c:v>854.18299999999999</c:v>
                </c:pt>
                <c:pt idx="40">
                  <c:v>906.14499999999998</c:v>
                </c:pt>
                <c:pt idx="41">
                  <c:v>621.03100000000006</c:v>
                </c:pt>
                <c:pt idx="42">
                  <c:v>1090.9459999999999</c:v>
                </c:pt>
                <c:pt idx="43">
                  <c:v>994.14399999999989</c:v>
                </c:pt>
                <c:pt idx="44">
                  <c:v>1031.7180000000001</c:v>
                </c:pt>
                <c:pt idx="45">
                  <c:v>1032.296</c:v>
                </c:pt>
                <c:pt idx="46">
                  <c:v>1070.5219999999999</c:v>
                </c:pt>
                <c:pt idx="47">
                  <c:v>1258.3809999999999</c:v>
                </c:pt>
                <c:pt idx="48">
                  <c:v>1006.22</c:v>
                </c:pt>
                <c:pt idx="49">
                  <c:v>1064.8429999999998</c:v>
                </c:pt>
                <c:pt idx="50">
                  <c:v>970.23299999999995</c:v>
                </c:pt>
                <c:pt idx="51">
                  <c:v>922.74099999999999</c:v>
                </c:pt>
                <c:pt idx="52">
                  <c:v>1039.8770000000002</c:v>
                </c:pt>
                <c:pt idx="53">
                  <c:v>1029.6590000000001</c:v>
                </c:pt>
                <c:pt idx="54">
                  <c:v>1102.4319999999998</c:v>
                </c:pt>
                <c:pt idx="55">
                  <c:v>996.63700000000006</c:v>
                </c:pt>
                <c:pt idx="56">
                  <c:v>1049.4749999999999</c:v>
                </c:pt>
                <c:pt idx="57">
                  <c:v>1042.98</c:v>
                </c:pt>
                <c:pt idx="58">
                  <c:v>1088.2569999999998</c:v>
                </c:pt>
                <c:pt idx="59">
                  <c:v>1015.4159999999999</c:v>
                </c:pt>
                <c:pt idx="60">
                  <c:v>549.62400000000002</c:v>
                </c:pt>
                <c:pt idx="61">
                  <c:v>464.23500000000001</c:v>
                </c:pt>
                <c:pt idx="62">
                  <c:v>518.02</c:v>
                </c:pt>
                <c:pt idx="63">
                  <c:v>821.63099999999997</c:v>
                </c:pt>
                <c:pt idx="64">
                  <c:v>940.4620000000001</c:v>
                </c:pt>
                <c:pt idx="65">
                  <c:v>1149.7919999999999</c:v>
                </c:pt>
                <c:pt idx="66">
                  <c:v>1152.74</c:v>
                </c:pt>
                <c:pt idx="67">
                  <c:v>861.13000000000011</c:v>
                </c:pt>
                <c:pt idx="68">
                  <c:v>1097.5829999999999</c:v>
                </c:pt>
                <c:pt idx="69">
                  <c:v>1193.1019999999999</c:v>
                </c:pt>
                <c:pt idx="70">
                  <c:v>1299.3420000000001</c:v>
                </c:pt>
                <c:pt idx="71">
                  <c:v>1191.105</c:v>
                </c:pt>
                <c:pt idx="72">
                  <c:v>987.7</c:v>
                </c:pt>
                <c:pt idx="73">
                  <c:v>1144.9269999999999</c:v>
                </c:pt>
                <c:pt idx="74">
                  <c:v>1138.655</c:v>
                </c:pt>
                <c:pt idx="75">
                  <c:v>1061.1299999999999</c:v>
                </c:pt>
                <c:pt idx="76">
                  <c:v>1165.1290000000001</c:v>
                </c:pt>
                <c:pt idx="77">
                  <c:v>1197.3999999999999</c:v>
                </c:pt>
                <c:pt idx="78">
                  <c:v>1041.4390000000001</c:v>
                </c:pt>
                <c:pt idx="79">
                  <c:v>1324.47</c:v>
                </c:pt>
                <c:pt idx="80">
                  <c:v>1149.654</c:v>
                </c:pt>
                <c:pt idx="81">
                  <c:v>1132.0450000000001</c:v>
                </c:pt>
                <c:pt idx="82">
                  <c:v>631.98699999999997</c:v>
                </c:pt>
                <c:pt idx="83">
                  <c:v>565.06500000000005</c:v>
                </c:pt>
              </c:numCache>
            </c:numRef>
          </c:xVal>
          <c:yVal>
            <c:numRef>
              <c:f>' 2021 Harvest Corn! '!$N$182:$N$265</c:f>
              <c:numCache>
                <c:formatCode>General</c:formatCode>
                <c:ptCount val="84"/>
                <c:pt idx="0">
                  <c:v>498.63333333333333</c:v>
                </c:pt>
                <c:pt idx="1">
                  <c:v>493.73333333333323</c:v>
                </c:pt>
                <c:pt idx="2">
                  <c:v>476.6</c:v>
                </c:pt>
                <c:pt idx="3">
                  <c:v>420.33333333333331</c:v>
                </c:pt>
                <c:pt idx="4">
                  <c:v>507.96666666666664</c:v>
                </c:pt>
                <c:pt idx="5">
                  <c:v>557.89999999999986</c:v>
                </c:pt>
                <c:pt idx="6">
                  <c:v>469.33333333333331</c:v>
                </c:pt>
                <c:pt idx="7">
                  <c:v>511</c:v>
                </c:pt>
                <c:pt idx="8">
                  <c:v>455.70000000000005</c:v>
                </c:pt>
                <c:pt idx="9">
                  <c:v>596.16666666666674</c:v>
                </c:pt>
                <c:pt idx="10">
                  <c:v>590.33333333333326</c:v>
                </c:pt>
                <c:pt idx="11">
                  <c:v>501.79999999999995</c:v>
                </c:pt>
                <c:pt idx="12">
                  <c:v>550.43333333333328</c:v>
                </c:pt>
                <c:pt idx="13">
                  <c:v>572.83333333333326</c:v>
                </c:pt>
                <c:pt idx="14">
                  <c:v>525.4666666666667</c:v>
                </c:pt>
                <c:pt idx="15">
                  <c:v>442.40000000000009</c:v>
                </c:pt>
                <c:pt idx="16">
                  <c:v>404.83333333333337</c:v>
                </c:pt>
                <c:pt idx="17">
                  <c:v>401.09999999999991</c:v>
                </c:pt>
                <c:pt idx="18">
                  <c:v>400.63333333333327</c:v>
                </c:pt>
                <c:pt idx="19">
                  <c:v>308.79999999999995</c:v>
                </c:pt>
                <c:pt idx="20">
                  <c:v>566.66666666666663</c:v>
                </c:pt>
                <c:pt idx="21">
                  <c:v>470.63333333333333</c:v>
                </c:pt>
                <c:pt idx="22">
                  <c:v>528.5</c:v>
                </c:pt>
                <c:pt idx="23">
                  <c:v>513.33333333333326</c:v>
                </c:pt>
                <c:pt idx="24">
                  <c:v>538.06666666666661</c:v>
                </c:pt>
                <c:pt idx="25">
                  <c:v>482.76666666666659</c:v>
                </c:pt>
                <c:pt idx="26">
                  <c:v>561.33333333333337</c:v>
                </c:pt>
                <c:pt idx="27">
                  <c:v>476.23333333333323</c:v>
                </c:pt>
                <c:pt idx="28">
                  <c:v>522.43333333333328</c:v>
                </c:pt>
                <c:pt idx="29">
                  <c:v>498.16666666666669</c:v>
                </c:pt>
                <c:pt idx="30">
                  <c:v>477.86666666666667</c:v>
                </c:pt>
                <c:pt idx="31">
                  <c:v>537.6</c:v>
                </c:pt>
                <c:pt idx="32">
                  <c:v>471.33333333333331</c:v>
                </c:pt>
                <c:pt idx="33">
                  <c:v>578.93333333333328</c:v>
                </c:pt>
                <c:pt idx="34">
                  <c:v>463.63333333333333</c:v>
                </c:pt>
                <c:pt idx="35">
                  <c:v>463.63333333333333</c:v>
                </c:pt>
                <c:pt idx="36">
                  <c:v>555.33333333333326</c:v>
                </c:pt>
                <c:pt idx="37">
                  <c:v>537.83333333333326</c:v>
                </c:pt>
                <c:pt idx="38">
                  <c:v>530.6</c:v>
                </c:pt>
                <c:pt idx="39">
                  <c:v>466.20000000000005</c:v>
                </c:pt>
                <c:pt idx="40">
                  <c:v>501.19999999999993</c:v>
                </c:pt>
                <c:pt idx="41">
                  <c:v>299.79999999999995</c:v>
                </c:pt>
                <c:pt idx="42">
                  <c:v>567.70000000000005</c:v>
                </c:pt>
                <c:pt idx="43">
                  <c:v>482.76666666666659</c:v>
                </c:pt>
                <c:pt idx="44">
                  <c:v>593.40000000000009</c:v>
                </c:pt>
                <c:pt idx="45">
                  <c:v>515.73333333333323</c:v>
                </c:pt>
                <c:pt idx="46">
                  <c:v>532.4666666666667</c:v>
                </c:pt>
                <c:pt idx="47">
                  <c:v>500.73333333333323</c:v>
                </c:pt>
                <c:pt idx="48">
                  <c:v>514.9666666666667</c:v>
                </c:pt>
                <c:pt idx="49">
                  <c:v>599.73333333333323</c:v>
                </c:pt>
                <c:pt idx="50">
                  <c:v>534.66666666666663</c:v>
                </c:pt>
                <c:pt idx="51">
                  <c:v>512.79999999999995</c:v>
                </c:pt>
                <c:pt idx="52">
                  <c:v>576.1</c:v>
                </c:pt>
                <c:pt idx="53">
                  <c:v>534.56666666666661</c:v>
                </c:pt>
                <c:pt idx="54">
                  <c:v>489.06666666666661</c:v>
                </c:pt>
                <c:pt idx="55">
                  <c:v>441.93333333333328</c:v>
                </c:pt>
                <c:pt idx="56">
                  <c:v>524.76666666666654</c:v>
                </c:pt>
                <c:pt idx="57">
                  <c:v>501.06666666666661</c:v>
                </c:pt>
                <c:pt idx="58">
                  <c:v>461.06666666666672</c:v>
                </c:pt>
                <c:pt idx="59">
                  <c:v>518.23333333333323</c:v>
                </c:pt>
                <c:pt idx="60">
                  <c:v>389.90000000000009</c:v>
                </c:pt>
                <c:pt idx="61">
                  <c:v>292.83333333333337</c:v>
                </c:pt>
                <c:pt idx="62">
                  <c:v>340.20000000000005</c:v>
                </c:pt>
                <c:pt idx="63">
                  <c:v>372</c:v>
                </c:pt>
                <c:pt idx="64">
                  <c:v>574.4666666666667</c:v>
                </c:pt>
                <c:pt idx="65">
                  <c:v>553.23333333333323</c:v>
                </c:pt>
                <c:pt idx="66">
                  <c:v>512.63333333333333</c:v>
                </c:pt>
                <c:pt idx="67">
                  <c:v>387</c:v>
                </c:pt>
                <c:pt idx="68">
                  <c:v>539.93333333333328</c:v>
                </c:pt>
                <c:pt idx="69">
                  <c:v>521.73333333333323</c:v>
                </c:pt>
                <c:pt idx="70">
                  <c:v>595.23333333333323</c:v>
                </c:pt>
                <c:pt idx="71">
                  <c:v>507.96666666666664</c:v>
                </c:pt>
                <c:pt idx="72">
                  <c:v>569.79999999999995</c:v>
                </c:pt>
                <c:pt idx="73">
                  <c:v>534.79999999999995</c:v>
                </c:pt>
                <c:pt idx="74">
                  <c:v>481.59999999999997</c:v>
                </c:pt>
                <c:pt idx="75">
                  <c:v>429.09999999999991</c:v>
                </c:pt>
                <c:pt idx="76">
                  <c:v>555.1</c:v>
                </c:pt>
                <c:pt idx="77">
                  <c:v>535.9666666666667</c:v>
                </c:pt>
                <c:pt idx="78">
                  <c:v>552.5333333333333</c:v>
                </c:pt>
                <c:pt idx="79">
                  <c:v>603.19999999999993</c:v>
                </c:pt>
                <c:pt idx="80">
                  <c:v>514.5</c:v>
                </c:pt>
                <c:pt idx="81">
                  <c:v>535.0333333333333</c:v>
                </c:pt>
                <c:pt idx="82">
                  <c:v>419.06666666666672</c:v>
                </c:pt>
                <c:pt idx="83">
                  <c:v>362.59999999999991</c:v>
                </c:pt>
              </c:numCache>
            </c:numRef>
          </c:yVal>
          <c:smooth val="0"/>
          <c:extLst>
            <c:ext xmlns:c16="http://schemas.microsoft.com/office/drawing/2014/chart" uri="{C3380CC4-5D6E-409C-BE32-E72D297353CC}">
              <c16:uniqueId val="{00000000-9825-474E-9783-A1B341984ADB}"/>
            </c:ext>
          </c:extLst>
        </c:ser>
        <c:dLbls>
          <c:showLegendKey val="0"/>
          <c:showVal val="0"/>
          <c:showCatName val="0"/>
          <c:showSerName val="0"/>
          <c:showPercent val="0"/>
          <c:showBubbleSize val="0"/>
        </c:dLbls>
        <c:axId val="1374716991"/>
        <c:axId val="1375438655"/>
      </c:scatterChart>
      <c:valAx>
        <c:axId val="1374716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438655"/>
        <c:crosses val="autoZero"/>
        <c:crossBetween val="midCat"/>
      </c:valAx>
      <c:valAx>
        <c:axId val="1375438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716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en-US" sz="2800" b="1"/>
              <a:t>tons</a:t>
            </a:r>
            <a:r>
              <a:rPr lang="en-US" sz="2800" b="1" baseline="0"/>
              <a:t> C/ha of Corn Biomass</a:t>
            </a:r>
            <a:endParaRPr lang="en-US" sz="2800" b="1"/>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110594130279179E-2"/>
          <c:y val="7.4171907756813413E-2"/>
          <c:w val="0.91807963493199718"/>
          <c:h val="0.84280245629673634"/>
        </c:manualLayout>
      </c:layout>
      <c:barChart>
        <c:barDir val="col"/>
        <c:grouping val="clustered"/>
        <c:varyColors val="0"/>
        <c:ser>
          <c:idx val="0"/>
          <c:order val="0"/>
          <c:tx>
            <c:strRef>
              <c:f>' 2021 Harvest Corn! '!$AP$20</c:f>
              <c:strCache>
                <c:ptCount val="1"/>
                <c:pt idx="0">
                  <c:v>Fert. tons C/ha of corn</c:v>
                </c:pt>
              </c:strCache>
            </c:strRef>
          </c:tx>
          <c:spPr>
            <a:solidFill>
              <a:schemeClr val="accent3">
                <a:shade val="65000"/>
              </a:schemeClr>
            </a:solidFill>
            <a:ln>
              <a:noFill/>
            </a:ln>
            <a:effectLst/>
          </c:spPr>
          <c:invertIfNegative val="0"/>
          <c:errBars>
            <c:errBarType val="both"/>
            <c:errValType val="cust"/>
            <c:noEndCap val="0"/>
            <c:plus>
              <c:numRef>
                <c:f>' 2021 Harvest Corn! '!$AQ$21:$AQ$24</c:f>
                <c:numCache>
                  <c:formatCode>General</c:formatCode>
                  <c:ptCount val="4"/>
                  <c:pt idx="0">
                    <c:v>0.23704739536892844</c:v>
                  </c:pt>
                  <c:pt idx="1">
                    <c:v>7.8400834786483367E-2</c:v>
                  </c:pt>
                  <c:pt idx="2">
                    <c:v>0.18231811467363671</c:v>
                  </c:pt>
                  <c:pt idx="3">
                    <c:v>0.17648328218469103</c:v>
                  </c:pt>
                </c:numCache>
              </c:numRef>
            </c:plus>
            <c:minus>
              <c:numRef>
                <c:f>' 2021 Harvest Corn! '!$AQ$21:$AQ$24</c:f>
                <c:numCache>
                  <c:formatCode>General</c:formatCode>
                  <c:ptCount val="4"/>
                  <c:pt idx="0">
                    <c:v>0.23704739536892844</c:v>
                  </c:pt>
                  <c:pt idx="1">
                    <c:v>7.8400834786483367E-2</c:v>
                  </c:pt>
                  <c:pt idx="2">
                    <c:v>0.18231811467363671</c:v>
                  </c:pt>
                  <c:pt idx="3">
                    <c:v>0.17648328218469103</c:v>
                  </c:pt>
                </c:numCache>
              </c:numRef>
            </c:minus>
            <c:spPr>
              <a:solidFill>
                <a:schemeClr val="tx1"/>
              </a:solidFill>
              <a:ln w="38100" cap="flat" cmpd="sng" algn="ctr">
                <a:solidFill>
                  <a:schemeClr val="tx1"/>
                </a:solidFill>
                <a:prstDash val="solid"/>
                <a:round/>
              </a:ln>
              <a:effectLst/>
            </c:spPr>
          </c:errBars>
          <c:cat>
            <c:strRef>
              <c:f>' 2021 Harvest Corn! '!$AO$21:$AO$24</c:f>
              <c:strCache>
                <c:ptCount val="4"/>
                <c:pt idx="0">
                  <c:v>Conventional</c:v>
                </c:pt>
                <c:pt idx="1">
                  <c:v>Conventnional+NUI</c:v>
                </c:pt>
                <c:pt idx="2">
                  <c:v>Diverse</c:v>
                </c:pt>
                <c:pt idx="3">
                  <c:v>Diverse+NUI</c:v>
                </c:pt>
              </c:strCache>
            </c:strRef>
          </c:cat>
          <c:val>
            <c:numRef>
              <c:f>' 2021 Harvest Corn! '!$AP$21:$AP$24</c:f>
              <c:numCache>
                <c:formatCode>General</c:formatCode>
                <c:ptCount val="4"/>
                <c:pt idx="0">
                  <c:v>2.4743739888888885</c:v>
                </c:pt>
                <c:pt idx="1">
                  <c:v>2.5631370604629629</c:v>
                </c:pt>
                <c:pt idx="2">
                  <c:v>2.5601527572222214</c:v>
                </c:pt>
                <c:pt idx="3">
                  <c:v>2.590889884814815</c:v>
                </c:pt>
              </c:numCache>
            </c:numRef>
          </c:val>
          <c:extLst>
            <c:ext xmlns:c16="http://schemas.microsoft.com/office/drawing/2014/chart" uri="{C3380CC4-5D6E-409C-BE32-E72D297353CC}">
              <c16:uniqueId val="{00000004-B648-7941-BD85-4BC380A99042}"/>
            </c:ext>
          </c:extLst>
        </c:ser>
        <c:ser>
          <c:idx val="2"/>
          <c:order val="1"/>
          <c:tx>
            <c:strRef>
              <c:f>' 2021 Harvest Corn! '!$AR$20</c:f>
              <c:strCache>
                <c:ptCount val="1"/>
                <c:pt idx="0">
                  <c:v>0N tons C/ha of corn</c:v>
                </c:pt>
              </c:strCache>
            </c:strRef>
          </c:tx>
          <c:spPr>
            <a:solidFill>
              <a:schemeClr val="accent3">
                <a:tint val="65000"/>
              </a:schemeClr>
            </a:solidFill>
            <a:ln>
              <a:noFill/>
            </a:ln>
            <a:effectLst/>
          </c:spPr>
          <c:invertIfNegative val="0"/>
          <c:errBars>
            <c:errBarType val="both"/>
            <c:errValType val="cust"/>
            <c:noEndCap val="0"/>
            <c:plus>
              <c:numRef>
                <c:f>' 2021 Harvest Corn! '!$AS$21:$AS$24</c:f>
                <c:numCache>
                  <c:formatCode>General</c:formatCode>
                  <c:ptCount val="4"/>
                  <c:pt idx="0">
                    <c:v>0.66402296492265278</c:v>
                  </c:pt>
                  <c:pt idx="1">
                    <c:v>0.53354558635818783</c:v>
                  </c:pt>
                  <c:pt idx="2">
                    <c:v>0.24400342727130012</c:v>
                  </c:pt>
                  <c:pt idx="3">
                    <c:v>0.4782954122643891</c:v>
                  </c:pt>
                </c:numCache>
              </c:numRef>
            </c:plus>
            <c:minus>
              <c:numRef>
                <c:f>' 2021 Harvest Corn! '!$AS$21:$AS$24</c:f>
                <c:numCache>
                  <c:formatCode>General</c:formatCode>
                  <c:ptCount val="4"/>
                  <c:pt idx="0">
                    <c:v>0.66402296492265278</c:v>
                  </c:pt>
                  <c:pt idx="1">
                    <c:v>0.53354558635818783</c:v>
                  </c:pt>
                  <c:pt idx="2">
                    <c:v>0.24400342727130012</c:v>
                  </c:pt>
                  <c:pt idx="3">
                    <c:v>0.4782954122643891</c:v>
                  </c:pt>
                </c:numCache>
              </c:numRef>
            </c:minus>
            <c:spPr>
              <a:solidFill>
                <a:schemeClr val="tx1"/>
              </a:solidFill>
              <a:ln w="38100" cap="flat" cmpd="sng" algn="ctr">
                <a:solidFill>
                  <a:schemeClr val="tx1"/>
                </a:solidFill>
                <a:prstDash val="solid"/>
                <a:round/>
              </a:ln>
              <a:effectLst/>
            </c:spPr>
          </c:errBars>
          <c:cat>
            <c:strRef>
              <c:f>' 2021 Harvest Corn! '!$AO$21:$AO$24</c:f>
              <c:strCache>
                <c:ptCount val="4"/>
                <c:pt idx="0">
                  <c:v>Conventional</c:v>
                </c:pt>
                <c:pt idx="1">
                  <c:v>Conventnional+NUI</c:v>
                </c:pt>
                <c:pt idx="2">
                  <c:v>Diverse</c:v>
                </c:pt>
                <c:pt idx="3">
                  <c:v>Diverse+NUI</c:v>
                </c:pt>
              </c:strCache>
            </c:strRef>
          </c:cat>
          <c:val>
            <c:numRef>
              <c:f>' 2021 Harvest Corn! '!$AR$21:$AR$24</c:f>
              <c:numCache>
                <c:formatCode>General</c:formatCode>
                <c:ptCount val="4"/>
                <c:pt idx="0">
                  <c:v>2.1354682733333328</c:v>
                </c:pt>
                <c:pt idx="1">
                  <c:v>2.0813505766666665</c:v>
                </c:pt>
                <c:pt idx="2">
                  <c:v>1.657276397777778</c:v>
                </c:pt>
                <c:pt idx="3">
                  <c:v>2.186892785</c:v>
                </c:pt>
              </c:numCache>
            </c:numRef>
          </c:val>
          <c:extLst>
            <c:ext xmlns:c16="http://schemas.microsoft.com/office/drawing/2014/chart" uri="{C3380CC4-5D6E-409C-BE32-E72D297353CC}">
              <c16:uniqueId val="{00000006-B648-7941-BD85-4BC380A99042}"/>
            </c:ext>
          </c:extLst>
        </c:ser>
        <c:dLbls>
          <c:showLegendKey val="0"/>
          <c:showVal val="0"/>
          <c:showCatName val="0"/>
          <c:showSerName val="0"/>
          <c:showPercent val="0"/>
          <c:showBubbleSize val="0"/>
        </c:dLbls>
        <c:gapWidth val="219"/>
        <c:axId val="1589392560"/>
        <c:axId val="2089580000"/>
      </c:barChart>
      <c:catAx>
        <c:axId val="158939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89580000"/>
        <c:crosses val="autoZero"/>
        <c:auto val="1"/>
        <c:lblAlgn val="ctr"/>
        <c:lblOffset val="100"/>
        <c:noMultiLvlLbl val="0"/>
      </c:catAx>
      <c:valAx>
        <c:axId val="2089580000"/>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589392560"/>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r>
              <a:rPr lang="en-US" sz="2800" b="1"/>
              <a:t>tons</a:t>
            </a:r>
            <a:r>
              <a:rPr lang="en-US" sz="2800" b="1" baseline="0"/>
              <a:t> N/ha of Corn Biomass</a:t>
            </a:r>
          </a:p>
        </c:rich>
      </c:tx>
      <c:overlay val="0"/>
      <c:spPr>
        <a:noFill/>
        <a:ln>
          <a:noFill/>
        </a:ln>
        <a:effectLst/>
      </c:spPr>
      <c:txPr>
        <a:bodyPr rot="0" spcFirstLastPara="1" vertOverflow="ellipsis" vert="horz" wrap="square" anchor="ctr" anchorCtr="1"/>
        <a:lstStyle/>
        <a:p>
          <a:pPr>
            <a:defRPr sz="2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477959946787477E-2"/>
          <c:y val="0.12659320886775946"/>
          <c:w val="0.8955403048933952"/>
          <c:h val="0.78199541095098957"/>
        </c:manualLayout>
      </c:layout>
      <c:barChart>
        <c:barDir val="col"/>
        <c:grouping val="clustered"/>
        <c:varyColors val="0"/>
        <c:ser>
          <c:idx val="0"/>
          <c:order val="0"/>
          <c:tx>
            <c:strRef>
              <c:f>' 2021 Harvest Corn! '!$AP$26</c:f>
              <c:strCache>
                <c:ptCount val="1"/>
                <c:pt idx="0">
                  <c:v>Fert. tons N/ha of corn</c:v>
                </c:pt>
              </c:strCache>
            </c:strRef>
          </c:tx>
          <c:spPr>
            <a:solidFill>
              <a:schemeClr val="accent3">
                <a:shade val="65000"/>
              </a:schemeClr>
            </a:solidFill>
            <a:ln>
              <a:noFill/>
            </a:ln>
            <a:effectLst/>
          </c:spPr>
          <c:invertIfNegative val="0"/>
          <c:errBars>
            <c:errBarType val="both"/>
            <c:errValType val="cust"/>
            <c:noEndCap val="0"/>
            <c:plus>
              <c:numRef>
                <c:f>' 2021 Harvest Corn! '!$AQ$27:$AQ$30</c:f>
                <c:numCache>
                  <c:formatCode>General</c:formatCode>
                  <c:ptCount val="4"/>
                  <c:pt idx="0">
                    <c:v>6.2336194497834303E-3</c:v>
                  </c:pt>
                  <c:pt idx="1">
                    <c:v>4.7896233031274552E-3</c:v>
                  </c:pt>
                  <c:pt idx="2">
                    <c:v>9.4864836868392803E-3</c:v>
                  </c:pt>
                  <c:pt idx="3">
                    <c:v>9.4873107228499558E-3</c:v>
                  </c:pt>
                </c:numCache>
              </c:numRef>
            </c:plus>
            <c:minus>
              <c:numRef>
                <c:f>' 2021 Harvest Corn! '!$AQ$27:$AQ$30</c:f>
                <c:numCache>
                  <c:formatCode>General</c:formatCode>
                  <c:ptCount val="4"/>
                  <c:pt idx="0">
                    <c:v>6.2336194497834303E-3</c:v>
                  </c:pt>
                  <c:pt idx="1">
                    <c:v>4.7896233031274552E-3</c:v>
                  </c:pt>
                  <c:pt idx="2">
                    <c:v>9.4864836868392803E-3</c:v>
                  </c:pt>
                  <c:pt idx="3">
                    <c:v>9.4873107228499558E-3</c:v>
                  </c:pt>
                </c:numCache>
              </c:numRef>
            </c:minus>
            <c:spPr>
              <a:solidFill>
                <a:schemeClr val="tx1"/>
              </a:solidFill>
              <a:ln w="38100" cap="flat" cmpd="sng" algn="ctr">
                <a:solidFill>
                  <a:schemeClr val="tx1"/>
                </a:solidFill>
                <a:prstDash val="solid"/>
                <a:round/>
              </a:ln>
              <a:effectLst/>
            </c:spPr>
          </c:errBars>
          <c:cat>
            <c:strRef>
              <c:f>' 2021 Harvest Corn! '!$AO$27:$AO$30</c:f>
              <c:strCache>
                <c:ptCount val="4"/>
                <c:pt idx="0">
                  <c:v>Conventional</c:v>
                </c:pt>
                <c:pt idx="1">
                  <c:v>Conventnional+NUI</c:v>
                </c:pt>
                <c:pt idx="2">
                  <c:v>Diverse</c:v>
                </c:pt>
                <c:pt idx="3">
                  <c:v>Diverse+NUI</c:v>
                </c:pt>
              </c:strCache>
            </c:strRef>
          </c:cat>
          <c:val>
            <c:numRef>
              <c:f>' 2021 Harvest Corn! '!$AP$27:$AP$30</c:f>
              <c:numCache>
                <c:formatCode>General</c:formatCode>
                <c:ptCount val="4"/>
                <c:pt idx="0">
                  <c:v>4.5228390462962974E-2</c:v>
                </c:pt>
                <c:pt idx="1">
                  <c:v>3.9322693240740739E-2</c:v>
                </c:pt>
                <c:pt idx="2">
                  <c:v>4.5474479814814811E-2</c:v>
                </c:pt>
                <c:pt idx="3">
                  <c:v>4.1042548055555544E-2</c:v>
                </c:pt>
              </c:numCache>
            </c:numRef>
          </c:val>
          <c:extLst>
            <c:ext xmlns:c16="http://schemas.microsoft.com/office/drawing/2014/chart" uri="{C3380CC4-5D6E-409C-BE32-E72D297353CC}">
              <c16:uniqueId val="{00000000-77AE-2A4C-91A7-0F0902281A64}"/>
            </c:ext>
          </c:extLst>
        </c:ser>
        <c:ser>
          <c:idx val="2"/>
          <c:order val="1"/>
          <c:tx>
            <c:strRef>
              <c:f>' 2021 Harvest Corn! '!$AR$26</c:f>
              <c:strCache>
                <c:ptCount val="1"/>
                <c:pt idx="0">
                  <c:v>0N tons N/ha of corn</c:v>
                </c:pt>
              </c:strCache>
            </c:strRef>
          </c:tx>
          <c:spPr>
            <a:solidFill>
              <a:schemeClr val="accent3">
                <a:tint val="65000"/>
              </a:schemeClr>
            </a:solidFill>
            <a:ln>
              <a:noFill/>
            </a:ln>
            <a:effectLst/>
          </c:spPr>
          <c:invertIfNegative val="0"/>
          <c:errBars>
            <c:errBarType val="both"/>
            <c:errValType val="cust"/>
            <c:noEndCap val="0"/>
            <c:plus>
              <c:numRef>
                <c:f>' 2021 Harvest Corn! '!$AS$27:$AS$30</c:f>
                <c:numCache>
                  <c:formatCode>General</c:formatCode>
                  <c:ptCount val="4"/>
                  <c:pt idx="0">
                    <c:v>3.5207667237987131E-3</c:v>
                  </c:pt>
                  <c:pt idx="1">
                    <c:v>8.5259137891724006E-3</c:v>
                  </c:pt>
                  <c:pt idx="2">
                    <c:v>4.3697079138326888E-3</c:v>
                  </c:pt>
                  <c:pt idx="3">
                    <c:v>2.3330900737251518E-3</c:v>
                  </c:pt>
                </c:numCache>
              </c:numRef>
            </c:plus>
            <c:minus>
              <c:numRef>
                <c:f>' 2021 Harvest Corn! '!$AS$27:$AS$30</c:f>
                <c:numCache>
                  <c:formatCode>General</c:formatCode>
                  <c:ptCount val="4"/>
                  <c:pt idx="0">
                    <c:v>3.5207667237987131E-3</c:v>
                  </c:pt>
                  <c:pt idx="1">
                    <c:v>8.5259137891724006E-3</c:v>
                  </c:pt>
                  <c:pt idx="2">
                    <c:v>4.3697079138326888E-3</c:v>
                  </c:pt>
                  <c:pt idx="3">
                    <c:v>2.3330900737251518E-3</c:v>
                  </c:pt>
                </c:numCache>
              </c:numRef>
            </c:minus>
            <c:spPr>
              <a:solidFill>
                <a:schemeClr val="tx1"/>
              </a:solidFill>
              <a:ln w="38100" cap="flat" cmpd="sng" algn="ctr">
                <a:solidFill>
                  <a:schemeClr val="tx1"/>
                </a:solidFill>
                <a:prstDash val="solid"/>
                <a:round/>
              </a:ln>
              <a:effectLst/>
            </c:spPr>
          </c:errBars>
          <c:cat>
            <c:strRef>
              <c:f>' 2021 Harvest Corn! '!$AO$27:$AO$30</c:f>
              <c:strCache>
                <c:ptCount val="4"/>
                <c:pt idx="0">
                  <c:v>Conventional</c:v>
                </c:pt>
                <c:pt idx="1">
                  <c:v>Conventnional+NUI</c:v>
                </c:pt>
                <c:pt idx="2">
                  <c:v>Diverse</c:v>
                </c:pt>
                <c:pt idx="3">
                  <c:v>Diverse+NUI</c:v>
                </c:pt>
              </c:strCache>
            </c:strRef>
          </c:cat>
          <c:val>
            <c:numRef>
              <c:f>' 2021 Harvest Corn! '!$AR$27:$AR$30</c:f>
              <c:numCache>
                <c:formatCode>General</c:formatCode>
                <c:ptCount val="4"/>
                <c:pt idx="0">
                  <c:v>2.7144561666666664E-2</c:v>
                </c:pt>
                <c:pt idx="1">
                  <c:v>3.1050919999999992E-2</c:v>
                </c:pt>
                <c:pt idx="2">
                  <c:v>2.3341958888888893E-2</c:v>
                </c:pt>
                <c:pt idx="3">
                  <c:v>2.6353195555555552E-2</c:v>
                </c:pt>
              </c:numCache>
            </c:numRef>
          </c:val>
          <c:extLst>
            <c:ext xmlns:c16="http://schemas.microsoft.com/office/drawing/2014/chart" uri="{C3380CC4-5D6E-409C-BE32-E72D297353CC}">
              <c16:uniqueId val="{00000002-77AE-2A4C-91A7-0F0902281A64}"/>
            </c:ext>
          </c:extLst>
        </c:ser>
        <c:dLbls>
          <c:showLegendKey val="0"/>
          <c:showVal val="0"/>
          <c:showCatName val="0"/>
          <c:showSerName val="0"/>
          <c:showPercent val="0"/>
          <c:showBubbleSize val="0"/>
        </c:dLbls>
        <c:gapWidth val="219"/>
        <c:axId val="1589392560"/>
        <c:axId val="2089580000"/>
      </c:barChart>
      <c:catAx>
        <c:axId val="158939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089580000"/>
        <c:crosses val="autoZero"/>
        <c:auto val="1"/>
        <c:lblAlgn val="ctr"/>
        <c:lblOffset val="100"/>
        <c:noMultiLvlLbl val="0"/>
      </c:catAx>
      <c:valAx>
        <c:axId val="2089580000"/>
        <c:scaling>
          <c:orientation val="minMax"/>
        </c:scaling>
        <c:delete val="0"/>
        <c:axPos val="l"/>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589392560"/>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2800" b="1">
                <a:solidFill>
                  <a:schemeClr val="tx1"/>
                </a:solidFill>
              </a:rPr>
              <a:t>tons</a:t>
            </a:r>
            <a:r>
              <a:rPr lang="en-US" sz="2800" b="1" baseline="0">
                <a:solidFill>
                  <a:schemeClr val="tx1"/>
                </a:solidFill>
              </a:rPr>
              <a:t> C/ha in Grain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4.1540305260402415E-2"/>
          <c:y val="9.4623019197576749E-2"/>
          <c:w val="0.94547341093249881"/>
          <c:h val="0.82348200039545427"/>
        </c:manualLayout>
      </c:layout>
      <c:barChart>
        <c:barDir val="col"/>
        <c:grouping val="clustered"/>
        <c:varyColors val="0"/>
        <c:ser>
          <c:idx val="2"/>
          <c:order val="0"/>
          <c:tx>
            <c:strRef>
              <c:f>' 2021 Harvest Corn! '!$AN$111</c:f>
              <c:strCache>
                <c:ptCount val="1"/>
                <c:pt idx="0">
                  <c:v>Fertilized tons C/ha of Grian</c:v>
                </c:pt>
              </c:strCache>
            </c:strRef>
          </c:tx>
          <c:spPr>
            <a:solidFill>
              <a:schemeClr val="accent3">
                <a:shade val="65000"/>
              </a:schemeClr>
            </a:solidFill>
            <a:ln>
              <a:noFill/>
            </a:ln>
            <a:effectLst/>
          </c:spPr>
          <c:invertIfNegative val="0"/>
          <c:errBars>
            <c:errBarType val="both"/>
            <c:errValType val="cust"/>
            <c:noEndCap val="0"/>
            <c:plus>
              <c:numRef>
                <c:f>' 2021 Harvest Corn! '!$AO$112:$AO$115</c:f>
                <c:numCache>
                  <c:formatCode>General</c:formatCode>
                  <c:ptCount val="4"/>
                  <c:pt idx="0">
                    <c:v>0.31676384417278636</c:v>
                  </c:pt>
                  <c:pt idx="1">
                    <c:v>0.15662527575198848</c:v>
                  </c:pt>
                  <c:pt idx="2">
                    <c:v>0.26086780553213562</c:v>
                  </c:pt>
                  <c:pt idx="3">
                    <c:v>0.54073166903693581</c:v>
                  </c:pt>
                </c:numCache>
              </c:numRef>
            </c:plus>
            <c:minus>
              <c:numRef>
                <c:f>' 2021 Harvest Corn! '!$AO$112:$AO$115</c:f>
                <c:numCache>
                  <c:formatCode>General</c:formatCode>
                  <c:ptCount val="4"/>
                  <c:pt idx="0">
                    <c:v>0.31676384417278636</c:v>
                  </c:pt>
                  <c:pt idx="1">
                    <c:v>0.15662527575198848</c:v>
                  </c:pt>
                  <c:pt idx="2">
                    <c:v>0.26086780553213562</c:v>
                  </c:pt>
                  <c:pt idx="3">
                    <c:v>0.54073166903693581</c:v>
                  </c:pt>
                </c:numCache>
              </c:numRef>
            </c:minus>
            <c:spPr>
              <a:solidFill>
                <a:schemeClr val="tx1"/>
              </a:solidFill>
              <a:ln w="6350" cap="flat" cmpd="sng" algn="ctr">
                <a:solidFill>
                  <a:schemeClr val="tx1"/>
                </a:solidFill>
                <a:prstDash val="solid"/>
                <a:round/>
              </a:ln>
              <a:effectLst/>
            </c:spPr>
          </c:errBars>
          <c:cat>
            <c:strRef>
              <c:f>' 2021 Harvest Corn! '!$AM$112:$AM$115</c:f>
              <c:strCache>
                <c:ptCount val="4"/>
                <c:pt idx="0">
                  <c:v>Conventional</c:v>
                </c:pt>
                <c:pt idx="1">
                  <c:v>Conventnional+NUI</c:v>
                </c:pt>
                <c:pt idx="2">
                  <c:v>Diverse</c:v>
                </c:pt>
                <c:pt idx="3">
                  <c:v>Diverse+NUI</c:v>
                </c:pt>
              </c:strCache>
            </c:strRef>
          </c:cat>
          <c:val>
            <c:numRef>
              <c:f>' 2021 Harvest Corn! '!$AN$112:$AN$115</c:f>
              <c:numCache>
                <c:formatCode>General</c:formatCode>
                <c:ptCount val="4"/>
                <c:pt idx="0">
                  <c:v>5.1058083420105556</c:v>
                </c:pt>
                <c:pt idx="1">
                  <c:v>5.108929881130555</c:v>
                </c:pt>
                <c:pt idx="2">
                  <c:v>4.8898360072666653</c:v>
                </c:pt>
                <c:pt idx="3">
                  <c:v>5.1820500050416669</c:v>
                </c:pt>
              </c:numCache>
            </c:numRef>
          </c:val>
          <c:extLst>
            <c:ext xmlns:c16="http://schemas.microsoft.com/office/drawing/2014/chart" uri="{C3380CC4-5D6E-409C-BE32-E72D297353CC}">
              <c16:uniqueId val="{00000008-F08B-7A44-81D4-6A267A79547C}"/>
            </c:ext>
          </c:extLst>
        </c:ser>
        <c:ser>
          <c:idx val="1"/>
          <c:order val="1"/>
          <c:tx>
            <c:strRef>
              <c:f>' 2021 Harvest Corn! '!$AP$111</c:f>
              <c:strCache>
                <c:ptCount val="1"/>
                <c:pt idx="0">
                  <c:v>0N tons C/ha of Grain</c:v>
                </c:pt>
              </c:strCache>
            </c:strRef>
          </c:tx>
          <c:spPr>
            <a:solidFill>
              <a:schemeClr val="accent3"/>
            </a:solidFill>
            <a:ln>
              <a:noFill/>
            </a:ln>
            <a:effectLst/>
          </c:spPr>
          <c:invertIfNegative val="0"/>
          <c:errBars>
            <c:errBarType val="both"/>
            <c:errValType val="cust"/>
            <c:noEndCap val="0"/>
            <c:plus>
              <c:numRef>
                <c:f>' 2021 Harvest Corn! '!$AQ$112:$AQ$115</c:f>
                <c:numCache>
                  <c:formatCode>General</c:formatCode>
                  <c:ptCount val="4"/>
                  <c:pt idx="0">
                    <c:v>0.88368897155816994</c:v>
                  </c:pt>
                  <c:pt idx="1">
                    <c:v>0.68325799050084446</c:v>
                  </c:pt>
                  <c:pt idx="2">
                    <c:v>0.18014169822583506</c:v>
                  </c:pt>
                  <c:pt idx="3">
                    <c:v>1.5624799757194676</c:v>
                  </c:pt>
                </c:numCache>
              </c:numRef>
            </c:plus>
            <c:minus>
              <c:numRef>
                <c:f>' 2021 Harvest Corn! '!$AQ$112:$AQ$115</c:f>
                <c:numCache>
                  <c:formatCode>General</c:formatCode>
                  <c:ptCount val="4"/>
                  <c:pt idx="0">
                    <c:v>0.88368897155816994</c:v>
                  </c:pt>
                  <c:pt idx="1">
                    <c:v>0.68325799050084446</c:v>
                  </c:pt>
                  <c:pt idx="2">
                    <c:v>0.18014169822583506</c:v>
                  </c:pt>
                  <c:pt idx="3">
                    <c:v>1.5624799757194676</c:v>
                  </c:pt>
                </c:numCache>
              </c:numRef>
            </c:minus>
            <c:spPr>
              <a:solidFill>
                <a:schemeClr val="tx1"/>
              </a:solidFill>
              <a:ln w="6350" cap="flat" cmpd="sng" algn="ctr">
                <a:solidFill>
                  <a:schemeClr val="tx1"/>
                </a:solidFill>
                <a:prstDash val="solid"/>
                <a:round/>
              </a:ln>
              <a:effectLst/>
            </c:spPr>
          </c:errBars>
          <c:cat>
            <c:strRef>
              <c:f>' 2021 Harvest Corn! '!$AM$112:$AM$115</c:f>
              <c:strCache>
                <c:ptCount val="4"/>
                <c:pt idx="0">
                  <c:v>Conventional</c:v>
                </c:pt>
                <c:pt idx="1">
                  <c:v>Conventnional+NUI</c:v>
                </c:pt>
                <c:pt idx="2">
                  <c:v>Diverse</c:v>
                </c:pt>
                <c:pt idx="3">
                  <c:v>Diverse+NUI</c:v>
                </c:pt>
              </c:strCache>
            </c:strRef>
          </c:cat>
          <c:val>
            <c:numRef>
              <c:f>' 2021 Harvest Corn! '!$AP$112:$AP$115</c:f>
              <c:numCache>
                <c:formatCode>General</c:formatCode>
                <c:ptCount val="4"/>
                <c:pt idx="0">
                  <c:v>4.2549810652</c:v>
                </c:pt>
                <c:pt idx="1">
                  <c:v>3.6829371168666669</c:v>
                </c:pt>
                <c:pt idx="2">
                  <c:v>2.4050856353333332</c:v>
                </c:pt>
                <c:pt idx="3">
                  <c:v>3.6725372551666666</c:v>
                </c:pt>
              </c:numCache>
            </c:numRef>
          </c:val>
          <c:extLst>
            <c:ext xmlns:c16="http://schemas.microsoft.com/office/drawing/2014/chart" uri="{C3380CC4-5D6E-409C-BE32-E72D297353CC}">
              <c16:uniqueId val="{00000005-F08B-7A44-81D4-6A267A79547C}"/>
            </c:ext>
          </c:extLst>
        </c:ser>
        <c:dLbls>
          <c:showLegendKey val="0"/>
          <c:showVal val="0"/>
          <c:showCatName val="0"/>
          <c:showSerName val="0"/>
          <c:showPercent val="0"/>
          <c:showBubbleSize val="0"/>
        </c:dLbls>
        <c:gapWidth val="219"/>
        <c:axId val="1958608256"/>
        <c:axId val="1149367199"/>
      </c:barChart>
      <c:catAx>
        <c:axId val="1958608256"/>
        <c:scaling>
          <c:orientation val="minMax"/>
        </c:scaling>
        <c:delete val="0"/>
        <c:axPos val="b"/>
        <c:numFmt formatCode="General" sourceLinked="1"/>
        <c:majorTickMark val="none"/>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149367199"/>
        <c:crosses val="autoZero"/>
        <c:auto val="1"/>
        <c:lblAlgn val="ctr"/>
        <c:lblOffset val="100"/>
        <c:noMultiLvlLbl val="0"/>
      </c:catAx>
      <c:valAx>
        <c:axId val="1149367199"/>
        <c:scaling>
          <c:orientation val="minMax"/>
        </c:scaling>
        <c:delete val="0"/>
        <c:axPos val="l"/>
        <c:numFmt formatCode="General" sourceLinked="1"/>
        <c:majorTickMark val="none"/>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958608256"/>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solidFill>
      <a:prstDash val="solid"/>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800" b="1" i="0" u="none" strike="noStrike" kern="1200" baseline="0">
                <a:solidFill>
                  <a:schemeClr val="tx1"/>
                </a:solidFill>
                <a:latin typeface="+mn-lt"/>
                <a:ea typeface="+mn-ea"/>
                <a:cs typeface="+mn-cs"/>
              </a:defRPr>
            </a:pPr>
            <a:r>
              <a:rPr lang="en-US" sz="2800"/>
              <a:t>tons</a:t>
            </a:r>
            <a:r>
              <a:rPr lang="en-US" sz="2800" baseline="0"/>
              <a:t> N/ha in Grain</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2"/>
          <c:order val="0"/>
          <c:tx>
            <c:strRef>
              <c:f>' 2021 Harvest Corn! '!$AN$118</c:f>
              <c:strCache>
                <c:ptCount val="1"/>
                <c:pt idx="0">
                  <c:v>Fertilized tons N/ha of Grain</c:v>
                </c:pt>
              </c:strCache>
            </c:strRef>
          </c:tx>
          <c:spPr>
            <a:solidFill>
              <a:schemeClr val="accent3">
                <a:shade val="65000"/>
              </a:schemeClr>
            </a:solidFill>
            <a:ln>
              <a:noFill/>
            </a:ln>
            <a:effectLst/>
          </c:spPr>
          <c:invertIfNegative val="0"/>
          <c:errBars>
            <c:errBarType val="both"/>
            <c:errValType val="cust"/>
            <c:noEndCap val="0"/>
            <c:plus>
              <c:numRef>
                <c:f>' 2021 Harvest Corn! '!$AO$119:$AO$122</c:f>
                <c:numCache>
                  <c:formatCode>General</c:formatCode>
                  <c:ptCount val="4"/>
                  <c:pt idx="0">
                    <c:v>9.4561410842755218E-3</c:v>
                  </c:pt>
                  <c:pt idx="1">
                    <c:v>1.8414092793398458E-2</c:v>
                  </c:pt>
                  <c:pt idx="2">
                    <c:v>1.0282533372156039E-2</c:v>
                  </c:pt>
                  <c:pt idx="3">
                    <c:v>2.1959347249219663E-2</c:v>
                  </c:pt>
                </c:numCache>
              </c:numRef>
            </c:plus>
            <c:minus>
              <c:numRef>
                <c:f>' 2021 Harvest Corn! '!$AO$119:$AO$122</c:f>
                <c:numCache>
                  <c:formatCode>General</c:formatCode>
                  <c:ptCount val="4"/>
                  <c:pt idx="0">
                    <c:v>9.4561410842755218E-3</c:v>
                  </c:pt>
                  <c:pt idx="1">
                    <c:v>1.8414092793398458E-2</c:v>
                  </c:pt>
                  <c:pt idx="2">
                    <c:v>1.0282533372156039E-2</c:v>
                  </c:pt>
                  <c:pt idx="3">
                    <c:v>2.1959347249219663E-2</c:v>
                  </c:pt>
                </c:numCache>
              </c:numRef>
            </c:minus>
            <c:spPr>
              <a:solidFill>
                <a:schemeClr val="tx1"/>
              </a:solidFill>
              <a:ln w="6350" cap="flat" cmpd="sng" algn="ctr">
                <a:solidFill>
                  <a:schemeClr val="tx1"/>
                </a:solidFill>
                <a:prstDash val="solid"/>
                <a:round/>
              </a:ln>
              <a:effectLst/>
            </c:spPr>
          </c:errBars>
          <c:cat>
            <c:strRef>
              <c:f>' 2021 Harvest Corn! '!$AM$119:$AM$122</c:f>
              <c:strCache>
                <c:ptCount val="4"/>
                <c:pt idx="0">
                  <c:v>Conventional</c:v>
                </c:pt>
                <c:pt idx="1">
                  <c:v>Conventnional+NUI</c:v>
                </c:pt>
                <c:pt idx="2">
                  <c:v>Diverse</c:v>
                </c:pt>
                <c:pt idx="3">
                  <c:v>Diverse+NUI</c:v>
                </c:pt>
              </c:strCache>
            </c:strRef>
          </c:cat>
          <c:val>
            <c:numRef>
              <c:f>' 2021 Harvest Corn! '!$AN$119:$AN$122</c:f>
              <c:numCache>
                <c:formatCode>General</c:formatCode>
                <c:ptCount val="4"/>
                <c:pt idx="0">
                  <c:v>0.15275828037388889</c:v>
                </c:pt>
                <c:pt idx="1">
                  <c:v>0.15724331007777778</c:v>
                </c:pt>
                <c:pt idx="2">
                  <c:v>0.14104981105277778</c:v>
                </c:pt>
                <c:pt idx="3">
                  <c:v>0.15456994558333331</c:v>
                </c:pt>
              </c:numCache>
            </c:numRef>
          </c:val>
          <c:extLst>
            <c:ext xmlns:c16="http://schemas.microsoft.com/office/drawing/2014/chart" uri="{C3380CC4-5D6E-409C-BE32-E72D297353CC}">
              <c16:uniqueId val="{00000000-50C5-8A44-BD61-72FCCBA0B909}"/>
            </c:ext>
          </c:extLst>
        </c:ser>
        <c:ser>
          <c:idx val="1"/>
          <c:order val="1"/>
          <c:tx>
            <c:strRef>
              <c:f>' 2021 Harvest Corn! '!$AP$118</c:f>
              <c:strCache>
                <c:ptCount val="1"/>
                <c:pt idx="0">
                  <c:v>0N tons N/ha of Grain</c:v>
                </c:pt>
              </c:strCache>
            </c:strRef>
          </c:tx>
          <c:spPr>
            <a:solidFill>
              <a:schemeClr val="accent3"/>
            </a:solidFill>
            <a:ln>
              <a:noFill/>
            </a:ln>
            <a:effectLst/>
          </c:spPr>
          <c:invertIfNegative val="0"/>
          <c:errBars>
            <c:errBarType val="both"/>
            <c:errValType val="cust"/>
            <c:noEndCap val="0"/>
            <c:plus>
              <c:numRef>
                <c:f>' 2021 Harvest Corn! '!$AQ$119:$AQ$122</c:f>
                <c:numCache>
                  <c:formatCode>General</c:formatCode>
                  <c:ptCount val="4"/>
                  <c:pt idx="0">
                    <c:v>3.3806077241374168E-2</c:v>
                  </c:pt>
                  <c:pt idx="1">
                    <c:v>1.2439509359016316E-2</c:v>
                  </c:pt>
                  <c:pt idx="2">
                    <c:v>6.1468656508083244E-3</c:v>
                  </c:pt>
                  <c:pt idx="3">
                    <c:v>8.8633090335487372E-2</c:v>
                  </c:pt>
                </c:numCache>
              </c:numRef>
            </c:plus>
            <c:minus>
              <c:numRef>
                <c:f>' 2021 Harvest Corn! '!$AQ$119:$AQ$122</c:f>
                <c:numCache>
                  <c:formatCode>General</c:formatCode>
                  <c:ptCount val="4"/>
                  <c:pt idx="0">
                    <c:v>3.3806077241374168E-2</c:v>
                  </c:pt>
                  <c:pt idx="1">
                    <c:v>1.2439509359016316E-2</c:v>
                  </c:pt>
                  <c:pt idx="2">
                    <c:v>6.1468656508083244E-3</c:v>
                  </c:pt>
                  <c:pt idx="3">
                    <c:v>8.8633090335487372E-2</c:v>
                  </c:pt>
                </c:numCache>
              </c:numRef>
            </c:minus>
            <c:spPr>
              <a:solidFill>
                <a:schemeClr val="tx1"/>
              </a:solidFill>
              <a:ln w="6350" cap="flat" cmpd="sng" algn="ctr">
                <a:solidFill>
                  <a:schemeClr val="tx1"/>
                </a:solidFill>
                <a:prstDash val="solid"/>
                <a:round/>
              </a:ln>
              <a:effectLst/>
            </c:spPr>
          </c:errBars>
          <c:cat>
            <c:strRef>
              <c:f>' 2021 Harvest Corn! '!$AM$119:$AM$122</c:f>
              <c:strCache>
                <c:ptCount val="4"/>
                <c:pt idx="0">
                  <c:v>Conventional</c:v>
                </c:pt>
                <c:pt idx="1">
                  <c:v>Conventnional+NUI</c:v>
                </c:pt>
                <c:pt idx="2">
                  <c:v>Diverse</c:v>
                </c:pt>
                <c:pt idx="3">
                  <c:v>Diverse+NUI</c:v>
                </c:pt>
              </c:strCache>
            </c:strRef>
          </c:cat>
          <c:val>
            <c:numRef>
              <c:f>' 2021 Harvest Corn! '!$AP$119:$AP$122</c:f>
              <c:numCache>
                <c:formatCode>General</c:formatCode>
                <c:ptCount val="4"/>
                <c:pt idx="0">
                  <c:v>0.11419405249999999</c:v>
                </c:pt>
                <c:pt idx="1">
                  <c:v>9.4003258599999986E-2</c:v>
                </c:pt>
                <c:pt idx="2">
                  <c:v>6.4223337766666652E-2</c:v>
                </c:pt>
                <c:pt idx="3">
                  <c:v>0.11511899778333333</c:v>
                </c:pt>
              </c:numCache>
            </c:numRef>
          </c:val>
          <c:extLst>
            <c:ext xmlns:c16="http://schemas.microsoft.com/office/drawing/2014/chart" uri="{C3380CC4-5D6E-409C-BE32-E72D297353CC}">
              <c16:uniqueId val="{00000002-50C5-8A44-BD61-72FCCBA0B909}"/>
            </c:ext>
          </c:extLst>
        </c:ser>
        <c:dLbls>
          <c:showLegendKey val="0"/>
          <c:showVal val="0"/>
          <c:showCatName val="0"/>
          <c:showSerName val="0"/>
          <c:showPercent val="0"/>
          <c:showBubbleSize val="0"/>
        </c:dLbls>
        <c:gapWidth val="219"/>
        <c:axId val="1958608256"/>
        <c:axId val="1149367199"/>
      </c:barChart>
      <c:catAx>
        <c:axId val="1958608256"/>
        <c:scaling>
          <c:orientation val="minMax"/>
        </c:scaling>
        <c:delete val="0"/>
        <c:axPos val="b"/>
        <c:numFmt formatCode="General" sourceLinked="1"/>
        <c:majorTickMark val="none"/>
        <c:minorTickMark val="none"/>
        <c:tickLblPos val="nextTo"/>
        <c:spPr>
          <a:noFill/>
          <a:ln w="9525"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149367199"/>
        <c:crosses val="autoZero"/>
        <c:auto val="1"/>
        <c:lblAlgn val="ctr"/>
        <c:lblOffset val="100"/>
        <c:noMultiLvlLbl val="0"/>
      </c:catAx>
      <c:valAx>
        <c:axId val="1149367199"/>
        <c:scaling>
          <c:orientation val="minMax"/>
        </c:scaling>
        <c:delete val="0"/>
        <c:axPos val="l"/>
        <c:numFmt formatCode="General" sourceLinked="1"/>
        <c:majorTickMark val="none"/>
        <c:minorTickMark val="none"/>
        <c:tickLblPos val="nextTo"/>
        <c:spPr>
          <a:noFill/>
          <a:ln w="6350" cap="flat" cmpd="sng" algn="ctr">
            <a:solidFill>
              <a:schemeClr val="tx1"/>
            </a:solidFill>
            <a:prstDash val="solid"/>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1958608256"/>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solidFill>
      <a:prstDash val="solid"/>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3600" b="0" i="0" u="none" strike="noStrike" kern="1200" spc="0" baseline="0">
                <a:solidFill>
                  <a:schemeClr val="tx1">
                    <a:lumMod val="65000"/>
                    <a:lumOff val="35000"/>
                  </a:schemeClr>
                </a:solidFill>
                <a:latin typeface="+mn-lt"/>
                <a:ea typeface="+mn-ea"/>
                <a:cs typeface="+mn-cs"/>
              </a:defRPr>
            </a:pPr>
            <a:r>
              <a:rPr lang="en-US" sz="3600">
                <a:solidFill>
                  <a:schemeClr val="tx1"/>
                </a:solidFill>
              </a:rPr>
              <a:t>Corn</a:t>
            </a:r>
            <a:r>
              <a:rPr lang="en-US" sz="3600" baseline="0">
                <a:solidFill>
                  <a:schemeClr val="tx1"/>
                </a:solidFill>
              </a:rPr>
              <a:t> Biomass Growth Rate</a:t>
            </a:r>
            <a:endParaRPr lang="en-US" sz="3600">
              <a:solidFill>
                <a:schemeClr val="tx1"/>
              </a:solidFill>
            </a:endParaRPr>
          </a:p>
        </c:rich>
      </c:tx>
      <c:overlay val="0"/>
      <c:spPr>
        <a:noFill/>
        <a:ln>
          <a:noFill/>
        </a:ln>
        <a:effectLst/>
      </c:spPr>
      <c:txPr>
        <a:bodyPr rot="0" spcFirstLastPara="1" vertOverflow="ellipsis" vert="horz" wrap="square" anchor="ctr" anchorCtr="1"/>
        <a:lstStyle/>
        <a:p>
          <a:pPr>
            <a:defRPr sz="3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393110550975956E-2"/>
          <c:y val="0.10877266343711044"/>
          <c:w val="0.93707608262795794"/>
          <c:h val="0.80294242027361806"/>
        </c:manualLayout>
      </c:layout>
      <c:barChart>
        <c:barDir val="col"/>
        <c:grouping val="clustered"/>
        <c:varyColors val="0"/>
        <c:ser>
          <c:idx val="0"/>
          <c:order val="0"/>
          <c:tx>
            <c:strRef>
              <c:f>'Corn Growth Rate'!$B$2</c:f>
              <c:strCache>
                <c:ptCount val="1"/>
                <c:pt idx="0">
                  <c:v>V6 Biomass</c:v>
                </c:pt>
              </c:strCache>
            </c:strRef>
          </c:tx>
          <c:spPr>
            <a:solidFill>
              <a:schemeClr val="dk1">
                <a:tint val="88500"/>
              </a:schemeClr>
            </a:solidFill>
            <a:ln>
              <a:noFill/>
            </a:ln>
            <a:effectLst/>
          </c:spPr>
          <c:invertIfNegative val="0"/>
          <c:errBars>
            <c:errBarType val="both"/>
            <c:errValType val="cust"/>
            <c:noEndCap val="0"/>
            <c:plus>
              <c:numRef>
                <c:f>'Corn Growth Rate'!$E$3:$E$10</c:f>
                <c:numCache>
                  <c:formatCode>General</c:formatCode>
                  <c:ptCount val="8"/>
                  <c:pt idx="0">
                    <c:v>0.10549501812881969</c:v>
                  </c:pt>
                  <c:pt idx="1">
                    <c:v>3.4656416072640701E-2</c:v>
                  </c:pt>
                  <c:pt idx="2">
                    <c:v>0.21881324725665022</c:v>
                  </c:pt>
                  <c:pt idx="3">
                    <c:v>7.4534051110884875E-2</c:v>
                  </c:pt>
                  <c:pt idx="4">
                    <c:v>0.15606729001459557</c:v>
                  </c:pt>
                  <c:pt idx="5">
                    <c:v>7.7706124758605735E-2</c:v>
                  </c:pt>
                  <c:pt idx="6">
                    <c:v>0.17733649155630649</c:v>
                  </c:pt>
                  <c:pt idx="7">
                    <c:v>0.14390298841580809</c:v>
                  </c:pt>
                </c:numCache>
              </c:numRef>
            </c:plus>
            <c:minus>
              <c:numRef>
                <c:f>'Corn Growth Rate'!$E$3:$E$10</c:f>
                <c:numCache>
                  <c:formatCode>General</c:formatCode>
                  <c:ptCount val="8"/>
                  <c:pt idx="0">
                    <c:v>0.10549501812881969</c:v>
                  </c:pt>
                  <c:pt idx="1">
                    <c:v>3.4656416072640701E-2</c:v>
                  </c:pt>
                  <c:pt idx="2">
                    <c:v>0.21881324725665022</c:v>
                  </c:pt>
                  <c:pt idx="3">
                    <c:v>7.4534051110884875E-2</c:v>
                  </c:pt>
                  <c:pt idx="4">
                    <c:v>0.15606729001459557</c:v>
                  </c:pt>
                  <c:pt idx="5">
                    <c:v>7.7706124758605735E-2</c:v>
                  </c:pt>
                  <c:pt idx="6">
                    <c:v>0.17733649155630649</c:v>
                  </c:pt>
                  <c:pt idx="7">
                    <c:v>0.14390298841580809</c:v>
                  </c:pt>
                </c:numCache>
              </c:numRef>
            </c:minus>
            <c:spPr>
              <a:noFill/>
              <a:ln w="38100" cap="flat" cmpd="sng" algn="ctr">
                <a:solidFill>
                  <a:schemeClr val="tx1"/>
                </a:solidFill>
                <a:round/>
              </a:ln>
              <a:effectLst/>
            </c:spPr>
          </c:errBars>
          <c:cat>
            <c:strRef>
              <c:f>'Corn Growth Rate'!$A$3:$A$10</c:f>
              <c:strCache>
                <c:ptCount val="8"/>
                <c:pt idx="0">
                  <c:v>Conventional</c:v>
                </c:pt>
                <c:pt idx="1">
                  <c:v>Conventional (0N)</c:v>
                </c:pt>
                <c:pt idx="2">
                  <c:v>Conventnional+NUI</c:v>
                </c:pt>
                <c:pt idx="3">
                  <c:v>Conventnional+NUI (0N)</c:v>
                </c:pt>
                <c:pt idx="4">
                  <c:v>Diverse</c:v>
                </c:pt>
                <c:pt idx="5">
                  <c:v>Diverse (0N)</c:v>
                </c:pt>
                <c:pt idx="6">
                  <c:v>Diverse+NUI</c:v>
                </c:pt>
                <c:pt idx="7">
                  <c:v>Diverse+NUI (0N)</c:v>
                </c:pt>
              </c:strCache>
            </c:strRef>
          </c:cat>
          <c:val>
            <c:numRef>
              <c:f>'Corn Growth Rate'!$B$3:$B$10</c:f>
              <c:numCache>
                <c:formatCode>General</c:formatCode>
                <c:ptCount val="8"/>
                <c:pt idx="0">
                  <c:v>1.5043874999999998</c:v>
                </c:pt>
                <c:pt idx="1">
                  <c:v>1.08185</c:v>
                </c:pt>
                <c:pt idx="2">
                  <c:v>1.4539800000000001</c:v>
                </c:pt>
                <c:pt idx="3">
                  <c:v>1.15577</c:v>
                </c:pt>
                <c:pt idx="4">
                  <c:v>1.3496816666666667</c:v>
                </c:pt>
                <c:pt idx="5">
                  <c:v>0.99060499999999996</c:v>
                </c:pt>
                <c:pt idx="6">
                  <c:v>1.4209066666666665</c:v>
                </c:pt>
                <c:pt idx="7">
                  <c:v>0.97366499999999989</c:v>
                </c:pt>
              </c:numCache>
            </c:numRef>
          </c:val>
          <c:extLst>
            <c:ext xmlns:c16="http://schemas.microsoft.com/office/drawing/2014/chart" uri="{C3380CC4-5D6E-409C-BE32-E72D297353CC}">
              <c16:uniqueId val="{00000007-E003-6743-B8D8-E455317F2C63}"/>
            </c:ext>
          </c:extLst>
        </c:ser>
        <c:ser>
          <c:idx val="2"/>
          <c:order val="1"/>
          <c:tx>
            <c:strRef>
              <c:f>'Corn Growth Rate'!$C$2</c:f>
              <c:strCache>
                <c:ptCount val="1"/>
                <c:pt idx="0">
                  <c:v>VT Biomass</c:v>
                </c:pt>
              </c:strCache>
            </c:strRef>
          </c:tx>
          <c:spPr>
            <a:solidFill>
              <a:schemeClr val="dk1">
                <a:tint val="75000"/>
              </a:schemeClr>
            </a:solidFill>
            <a:ln>
              <a:noFill/>
            </a:ln>
            <a:effectLst/>
          </c:spPr>
          <c:invertIfNegative val="0"/>
          <c:errBars>
            <c:errBarType val="both"/>
            <c:errValType val="cust"/>
            <c:noEndCap val="0"/>
            <c:plus>
              <c:numRef>
                <c:f>'Corn Growth Rate'!$F$3:$F$10</c:f>
                <c:numCache>
                  <c:formatCode>General</c:formatCode>
                  <c:ptCount val="8"/>
                  <c:pt idx="0">
                    <c:v>0.42311997701204301</c:v>
                  </c:pt>
                  <c:pt idx="1">
                    <c:v>0.51978432472544123</c:v>
                  </c:pt>
                  <c:pt idx="2">
                    <c:v>0.44140244282909641</c:v>
                  </c:pt>
                  <c:pt idx="3">
                    <c:v>0.56998152024949522</c:v>
                  </c:pt>
                  <c:pt idx="4">
                    <c:v>0.49070190432824917</c:v>
                  </c:pt>
                  <c:pt idx="5">
                    <c:v>0.39100994786827775</c:v>
                  </c:pt>
                  <c:pt idx="6">
                    <c:v>0.47627182470407031</c:v>
                  </c:pt>
                  <c:pt idx="7">
                    <c:v>1.3357107580832228</c:v>
                  </c:pt>
                </c:numCache>
              </c:numRef>
            </c:plus>
            <c:minus>
              <c:numRef>
                <c:f>'Corn Growth Rate'!$F$3:$F$10</c:f>
                <c:numCache>
                  <c:formatCode>General</c:formatCode>
                  <c:ptCount val="8"/>
                  <c:pt idx="0">
                    <c:v>0.42311997701204301</c:v>
                  </c:pt>
                  <c:pt idx="1">
                    <c:v>0.51978432472544123</c:v>
                  </c:pt>
                  <c:pt idx="2">
                    <c:v>0.44140244282909641</c:v>
                  </c:pt>
                  <c:pt idx="3">
                    <c:v>0.56998152024949522</c:v>
                  </c:pt>
                  <c:pt idx="4">
                    <c:v>0.49070190432824917</c:v>
                  </c:pt>
                  <c:pt idx="5">
                    <c:v>0.39100994786827775</c:v>
                  </c:pt>
                  <c:pt idx="6">
                    <c:v>0.47627182470407031</c:v>
                  </c:pt>
                  <c:pt idx="7">
                    <c:v>1.3357107580832228</c:v>
                  </c:pt>
                </c:numCache>
              </c:numRef>
            </c:minus>
            <c:spPr>
              <a:noFill/>
              <a:ln w="38100" cap="flat" cmpd="sng" algn="ctr">
                <a:solidFill>
                  <a:schemeClr val="tx1"/>
                </a:solidFill>
                <a:round/>
              </a:ln>
              <a:effectLst/>
            </c:spPr>
          </c:errBars>
          <c:cat>
            <c:strRef>
              <c:f>'Corn Growth Rate'!$A$3:$A$10</c:f>
              <c:strCache>
                <c:ptCount val="8"/>
                <c:pt idx="0">
                  <c:v>Conventional</c:v>
                </c:pt>
                <c:pt idx="1">
                  <c:v>Conventional (0N)</c:v>
                </c:pt>
                <c:pt idx="2">
                  <c:v>Conventnional+NUI</c:v>
                </c:pt>
                <c:pt idx="3">
                  <c:v>Conventnional+NUI (0N)</c:v>
                </c:pt>
                <c:pt idx="4">
                  <c:v>Diverse</c:v>
                </c:pt>
                <c:pt idx="5">
                  <c:v>Diverse (0N)</c:v>
                </c:pt>
                <c:pt idx="6">
                  <c:v>Diverse+NUI</c:v>
                </c:pt>
                <c:pt idx="7">
                  <c:v>Diverse+NUI (0N)</c:v>
                </c:pt>
              </c:strCache>
            </c:strRef>
          </c:cat>
          <c:val>
            <c:numRef>
              <c:f>'Corn Growth Rate'!$C$3:$C$10</c:f>
              <c:numCache>
                <c:formatCode>General</c:formatCode>
                <c:ptCount val="8"/>
                <c:pt idx="0">
                  <c:v>5.287407303703703</c:v>
                </c:pt>
                <c:pt idx="1">
                  <c:v>5.227243477777777</c:v>
                </c:pt>
                <c:pt idx="2">
                  <c:v>6.0843092592592587</c:v>
                </c:pt>
                <c:pt idx="3">
                  <c:v>5.1287444444444441</c:v>
                </c:pt>
                <c:pt idx="4">
                  <c:v>4.5616089537037032</c:v>
                </c:pt>
                <c:pt idx="5">
                  <c:v>3.7006131111111107</c:v>
                </c:pt>
                <c:pt idx="6">
                  <c:v>4.4753527777777773</c:v>
                </c:pt>
                <c:pt idx="7">
                  <c:v>4.2298277777777775</c:v>
                </c:pt>
              </c:numCache>
            </c:numRef>
          </c:val>
          <c:extLst>
            <c:ext xmlns:c16="http://schemas.microsoft.com/office/drawing/2014/chart" uri="{C3380CC4-5D6E-409C-BE32-E72D297353CC}">
              <c16:uniqueId val="{00000009-E003-6743-B8D8-E455317F2C63}"/>
            </c:ext>
          </c:extLst>
        </c:ser>
        <c:ser>
          <c:idx val="3"/>
          <c:order val="2"/>
          <c:tx>
            <c:strRef>
              <c:f>'Corn Growth Rate'!$D$2</c:f>
              <c:strCache>
                <c:ptCount val="1"/>
                <c:pt idx="0">
                  <c:v>R6 Biomass</c:v>
                </c:pt>
              </c:strCache>
            </c:strRef>
          </c:tx>
          <c:spPr>
            <a:solidFill>
              <a:schemeClr val="dk1">
                <a:tint val="98500"/>
              </a:schemeClr>
            </a:solidFill>
            <a:ln>
              <a:noFill/>
            </a:ln>
            <a:effectLst/>
          </c:spPr>
          <c:invertIfNegative val="0"/>
          <c:errBars>
            <c:errBarType val="both"/>
            <c:errValType val="cust"/>
            <c:noEndCap val="0"/>
            <c:plus>
              <c:numRef>
                <c:f>'Corn Growth Rate'!$G$3:$G$10</c:f>
                <c:numCache>
                  <c:formatCode>General</c:formatCode>
                  <c:ptCount val="8"/>
                  <c:pt idx="0">
                    <c:v>0.5764822479244851</c:v>
                  </c:pt>
                  <c:pt idx="1">
                    <c:v>1.5030551814923871</c:v>
                  </c:pt>
                  <c:pt idx="2">
                    <c:v>0.17346019821997319</c:v>
                  </c:pt>
                  <c:pt idx="3">
                    <c:v>1.237483361504307</c:v>
                  </c:pt>
                  <c:pt idx="4">
                    <c:v>0.4081335786442658</c:v>
                  </c:pt>
                  <c:pt idx="5">
                    <c:v>0.55818708341611856</c:v>
                  </c:pt>
                  <c:pt idx="6">
                    <c:v>0.41449389039358686</c:v>
                  </c:pt>
                  <c:pt idx="7">
                    <c:v>1.0109758801661781</c:v>
                  </c:pt>
                </c:numCache>
              </c:numRef>
            </c:plus>
            <c:minus>
              <c:numRef>
                <c:f>'Corn Growth Rate'!$G$3:$G$10</c:f>
                <c:numCache>
                  <c:formatCode>General</c:formatCode>
                  <c:ptCount val="8"/>
                  <c:pt idx="0">
                    <c:v>0.5764822479244851</c:v>
                  </c:pt>
                  <c:pt idx="1">
                    <c:v>1.5030551814923871</c:v>
                  </c:pt>
                  <c:pt idx="2">
                    <c:v>0.17346019821997319</c:v>
                  </c:pt>
                  <c:pt idx="3">
                    <c:v>1.237483361504307</c:v>
                  </c:pt>
                  <c:pt idx="4">
                    <c:v>0.4081335786442658</c:v>
                  </c:pt>
                  <c:pt idx="5">
                    <c:v>0.55818708341611856</c:v>
                  </c:pt>
                  <c:pt idx="6">
                    <c:v>0.41449389039358686</c:v>
                  </c:pt>
                  <c:pt idx="7">
                    <c:v>1.0109758801661781</c:v>
                  </c:pt>
                </c:numCache>
              </c:numRef>
            </c:minus>
            <c:spPr>
              <a:noFill/>
              <a:ln w="38100" cap="flat" cmpd="sng" algn="ctr">
                <a:solidFill>
                  <a:schemeClr val="bg2">
                    <a:lumMod val="50000"/>
                  </a:schemeClr>
                </a:solidFill>
                <a:round/>
              </a:ln>
              <a:effectLst/>
            </c:spPr>
          </c:errBars>
          <c:cat>
            <c:strRef>
              <c:f>'Corn Growth Rate'!$A$3:$A$10</c:f>
              <c:strCache>
                <c:ptCount val="8"/>
                <c:pt idx="0">
                  <c:v>Conventional</c:v>
                </c:pt>
                <c:pt idx="1">
                  <c:v>Conventional (0N)</c:v>
                </c:pt>
                <c:pt idx="2">
                  <c:v>Conventnional+NUI</c:v>
                </c:pt>
                <c:pt idx="3">
                  <c:v>Conventnional+NUI (0N)</c:v>
                </c:pt>
                <c:pt idx="4">
                  <c:v>Diverse</c:v>
                </c:pt>
                <c:pt idx="5">
                  <c:v>Diverse (0N)</c:v>
                </c:pt>
                <c:pt idx="6">
                  <c:v>Diverse+NUI</c:v>
                </c:pt>
                <c:pt idx="7">
                  <c:v>Diverse+NUI (0N)</c:v>
                </c:pt>
              </c:strCache>
            </c:strRef>
          </c:cat>
          <c:val>
            <c:numRef>
              <c:f>'Corn Growth Rate'!$D$3:$D$10</c:f>
              <c:numCache>
                <c:formatCode>General</c:formatCode>
                <c:ptCount val="8"/>
                <c:pt idx="0">
                  <c:v>5.7350287037037022</c:v>
                </c:pt>
                <c:pt idx="1">
                  <c:v>4.8917166666666656</c:v>
                </c:pt>
                <c:pt idx="2">
                  <c:v>5.8830379629629617</c:v>
                </c:pt>
                <c:pt idx="3">
                  <c:v>4.8575999999999988</c:v>
                </c:pt>
                <c:pt idx="4">
                  <c:v>5.8930898148148128</c:v>
                </c:pt>
                <c:pt idx="5">
                  <c:v>3.921244444444445</c:v>
                </c:pt>
                <c:pt idx="6">
                  <c:v>5.9677333333333316</c:v>
                </c:pt>
                <c:pt idx="7">
                  <c:v>5.0473499999999989</c:v>
                </c:pt>
              </c:numCache>
            </c:numRef>
          </c:val>
          <c:extLst>
            <c:ext xmlns:c16="http://schemas.microsoft.com/office/drawing/2014/chart" uri="{C3380CC4-5D6E-409C-BE32-E72D297353CC}">
              <c16:uniqueId val="{0000000A-E003-6743-B8D8-E455317F2C63}"/>
            </c:ext>
          </c:extLst>
        </c:ser>
        <c:dLbls>
          <c:showLegendKey val="0"/>
          <c:showVal val="0"/>
          <c:showCatName val="0"/>
          <c:showSerName val="0"/>
          <c:showPercent val="0"/>
          <c:showBubbleSize val="0"/>
        </c:dLbls>
        <c:gapWidth val="150"/>
        <c:axId val="1582926416"/>
        <c:axId val="966070176"/>
      </c:barChart>
      <c:catAx>
        <c:axId val="158292641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400" b="0" i="0" u="none" strike="noStrike" kern="1200" baseline="0">
                <a:solidFill>
                  <a:schemeClr val="tx1"/>
                </a:solidFill>
                <a:latin typeface="+mn-lt"/>
                <a:ea typeface="+mn-ea"/>
                <a:cs typeface="+mn-cs"/>
              </a:defRPr>
            </a:pPr>
            <a:endParaRPr lang="en-US"/>
          </a:p>
        </c:txPr>
        <c:crossAx val="966070176"/>
        <c:crosses val="autoZero"/>
        <c:auto val="1"/>
        <c:lblAlgn val="ctr"/>
        <c:lblOffset val="100"/>
        <c:noMultiLvlLbl val="0"/>
      </c:catAx>
      <c:valAx>
        <c:axId val="966070176"/>
        <c:scaling>
          <c:orientation val="minMax"/>
        </c:scaling>
        <c:delete val="0"/>
        <c:axPos val="l"/>
        <c:title>
          <c:tx>
            <c:rich>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r>
                  <a:rPr lang="en-US" sz="2800">
                    <a:solidFill>
                      <a:schemeClr val="tx1"/>
                    </a:solidFill>
                  </a:rPr>
                  <a:t>Corn</a:t>
                </a:r>
                <a:r>
                  <a:rPr lang="en-US" sz="2800" baseline="0">
                    <a:solidFill>
                      <a:schemeClr val="tx1"/>
                    </a:solidFill>
                  </a:rPr>
                  <a:t> Biomass (tons/ha)</a:t>
                </a:r>
                <a:endParaRPr lang="en-US" sz="2800">
                  <a:solidFill>
                    <a:schemeClr val="tx1"/>
                  </a:solidFill>
                </a:endParaRPr>
              </a:p>
            </c:rich>
          </c:tx>
          <c:layout>
            <c:manualLayout>
              <c:xMode val="edge"/>
              <c:yMode val="edge"/>
              <c:x val="8.5158406135293855E-3"/>
              <c:y val="0.32332595984070345"/>
            </c:manualLayout>
          </c:layout>
          <c:overlay val="0"/>
          <c:spPr>
            <a:noFill/>
            <a:ln>
              <a:noFill/>
            </a:ln>
            <a:effectLst/>
          </c:spPr>
          <c:txPr>
            <a:bodyPr rot="-54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crossAx val="1582926416"/>
        <c:crosses val="autoZero"/>
        <c:crossBetween val="between"/>
      </c:valAx>
      <c:spPr>
        <a:noFill/>
        <a:ln>
          <a:noFill/>
        </a:ln>
        <a:effectLst/>
      </c:spPr>
    </c:plotArea>
    <c:legend>
      <c:legendPos val="b"/>
      <c:layout>
        <c:manualLayout>
          <c:xMode val="edge"/>
          <c:yMode val="edge"/>
          <c:x val="9.3969509188583725E-2"/>
          <c:y val="0.10774350064176508"/>
          <c:w val="0.87255623057097864"/>
          <c:h val="6.7354802071042816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r>
              <a:rPr lang="en-US" sz="2000">
                <a:solidFill>
                  <a:schemeClr val="tx1"/>
                </a:solidFill>
              </a:rPr>
              <a:t> DIVERSE FIELD (PLOT 3)</a:t>
            </a:r>
          </a:p>
        </c:rich>
      </c:tx>
      <c:layout>
        <c:manualLayout>
          <c:xMode val="edge"/>
          <c:yMode val="edge"/>
          <c:x val="0.52581455653886644"/>
          <c:y val="3.8849642026871314E-2"/>
        </c:manualLayout>
      </c:layout>
      <c:overlay val="0"/>
      <c:spPr>
        <a:noFill/>
        <a:ln>
          <a:noFill/>
        </a:ln>
        <a:effectLst/>
      </c:spPr>
      <c:txPr>
        <a:bodyPr rot="0" spcFirstLastPara="1" vertOverflow="ellipsis" vert="horz" wrap="square" anchor="ctr" anchorCtr="1"/>
        <a:lstStyle/>
        <a:p>
          <a:pPr>
            <a:defRPr sz="2000" b="1" i="0" u="none" strike="noStrike" kern="1200"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2-DE22-AD4C-9F25-5A318D87A46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3-9319-BA42-8E2F-BA64D85B376D}"/>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1-DE22-AD4C-9F25-5A318D87A46E}"/>
              </c:ext>
            </c:extLst>
          </c:dPt>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'2021 Harvest CC'!$AO$4:$AQ$4</c:f>
              <c:strCache>
                <c:ptCount val="3"/>
                <c:pt idx="0">
                  <c:v>Rye </c:v>
                </c:pt>
                <c:pt idx="1">
                  <c:v>Clover</c:v>
                </c:pt>
                <c:pt idx="2">
                  <c:v>Weeds</c:v>
                </c:pt>
              </c:strCache>
            </c:strRef>
          </c:cat>
          <c:val>
            <c:numRef>
              <c:f>'2021 Harvest CC'!$AO$5:$AQ$5</c:f>
              <c:numCache>
                <c:formatCode>General</c:formatCode>
                <c:ptCount val="3"/>
                <c:pt idx="0">
                  <c:v>0.23299999999999998</c:v>
                </c:pt>
                <c:pt idx="1">
                  <c:v>9.3333333333333324E-3</c:v>
                </c:pt>
                <c:pt idx="2">
                  <c:v>4.0222222222222229E-2</c:v>
                </c:pt>
              </c:numCache>
            </c:numRef>
          </c:val>
          <c:extLst>
            <c:ext xmlns:c16="http://schemas.microsoft.com/office/drawing/2014/chart" uri="{C3380CC4-5D6E-409C-BE32-E72D297353CC}">
              <c16:uniqueId val="{00000000-DE22-AD4C-9F25-5A318D87A46E}"/>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en-US" sz="2000">
                <a:solidFill>
                  <a:schemeClr val="tx1"/>
                </a:solidFill>
              </a:rPr>
              <a:t>Diverse-0N (Plot 3-0N)</a:t>
            </a:r>
          </a:p>
        </c:rich>
      </c:tx>
      <c:layout>
        <c:manualLayout>
          <c:xMode val="edge"/>
          <c:yMode val="edge"/>
          <c:x val="0.64877057161310026"/>
          <c:y val="3.8837103366143245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en-US"/>
        </a:p>
      </c:txPr>
    </c:title>
    <c:autoTitleDeleted val="0"/>
    <c:plotArea>
      <c:layout>
        <c:manualLayout>
          <c:layoutTarget val="inner"/>
          <c:xMode val="edge"/>
          <c:yMode val="edge"/>
          <c:x val="6.5802875123928767E-2"/>
          <c:y val="0.13007018494372458"/>
          <c:w val="0.75573503908176809"/>
          <c:h val="0.7950913764889157"/>
        </c:manualLayout>
      </c:layout>
      <c:pieChart>
        <c:varyColors val="1"/>
        <c:ser>
          <c:idx val="0"/>
          <c:order val="0"/>
          <c:tx>
            <c:strRef>
              <c:f>'2021 Harvest CC'!$BC$4</c:f>
              <c:strCache>
                <c:ptCount val="1"/>
                <c:pt idx="0">
                  <c:v>3-0N</c:v>
                </c:pt>
              </c:strCache>
            </c:strRef>
          </c:tx>
          <c:dPt>
            <c:idx val="0"/>
            <c:bubble3D val="0"/>
            <c:spPr>
              <a:solidFill>
                <a:schemeClr val="accent6">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CB61-DD44-804D-938A5476FA11}"/>
              </c:ext>
            </c:extLst>
          </c:dPt>
          <c:dPt>
            <c:idx val="1"/>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B61-DD44-804D-938A5476FA11}"/>
              </c:ext>
            </c:extLst>
          </c:dPt>
          <c:dPt>
            <c:idx val="2"/>
            <c:bubble3D val="0"/>
            <c:spPr>
              <a:solidFill>
                <a:schemeClr val="accent6">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B61-DD44-804D-938A5476FA11}"/>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CB61-DD44-804D-938A5476FA11}"/>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CB61-DD44-804D-938A5476FA11}"/>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B61-DD44-804D-938A5476FA11}"/>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'2021 Harvest CC'!$BB$5:$BB$7</c:f>
              <c:strCache>
                <c:ptCount val="3"/>
                <c:pt idx="0">
                  <c:v>Rye</c:v>
                </c:pt>
                <c:pt idx="1">
                  <c:v>Clover</c:v>
                </c:pt>
                <c:pt idx="2">
                  <c:v>Weeds</c:v>
                </c:pt>
              </c:strCache>
            </c:strRef>
          </c:cat>
          <c:val>
            <c:numRef>
              <c:f>'2021 Harvest CC'!$BC$5:$BC$7</c:f>
              <c:numCache>
                <c:formatCode>General</c:formatCode>
                <c:ptCount val="3"/>
                <c:pt idx="0">
                  <c:v>0.10999999999999999</c:v>
                </c:pt>
                <c:pt idx="1">
                  <c:v>7.0000000000000001E-3</c:v>
                </c:pt>
                <c:pt idx="2">
                  <c:v>0</c:v>
                </c:pt>
              </c:numCache>
            </c:numRef>
          </c:val>
          <c:extLst>
            <c:ext xmlns:c16="http://schemas.microsoft.com/office/drawing/2014/chart" uri="{C3380CC4-5D6E-409C-BE32-E72D297353CC}">
              <c16:uniqueId val="{00000001-CB61-DD44-804D-938A5476FA11}"/>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en-US" sz="2000">
                <a:solidFill>
                  <a:schemeClr val="tx1"/>
                </a:solidFill>
              </a:rPr>
              <a:t>Diverse+NUI (Plot 4)</a:t>
            </a:r>
          </a:p>
        </c:rich>
      </c:tx>
      <c:layout>
        <c:manualLayout>
          <c:xMode val="edge"/>
          <c:yMode val="edge"/>
          <c:x val="0.57235958264713671"/>
          <c:y val="3.9406530518578321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A97-F540-8019-238EDF376DB4}"/>
              </c:ext>
            </c:extLst>
          </c:dPt>
          <c:dPt>
            <c:idx val="1"/>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A97-F540-8019-238EDF376DB4}"/>
              </c:ext>
            </c:extLst>
          </c:dPt>
          <c:dPt>
            <c:idx val="2"/>
            <c:bubble3D val="0"/>
            <c:spPr>
              <a:solidFill>
                <a:schemeClr val="accent6">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A97-F540-8019-238EDF376DB4}"/>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0A97-F540-8019-238EDF376DB4}"/>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0A97-F540-8019-238EDF376DB4}"/>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A97-F540-8019-238EDF376DB4}"/>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'2021 Harvest CC'!$BE$5:$BE$7</c:f>
              <c:strCache>
                <c:ptCount val="3"/>
                <c:pt idx="0">
                  <c:v>Rye</c:v>
                </c:pt>
                <c:pt idx="1">
                  <c:v>Clover</c:v>
                </c:pt>
                <c:pt idx="2">
                  <c:v>Weeds</c:v>
                </c:pt>
              </c:strCache>
            </c:strRef>
          </c:cat>
          <c:val>
            <c:numRef>
              <c:f>'2021 Harvest CC'!$BF$5:$BF$7</c:f>
              <c:numCache>
                <c:formatCode>General</c:formatCode>
                <c:ptCount val="3"/>
                <c:pt idx="0">
                  <c:v>0.2638888888888889</c:v>
                </c:pt>
                <c:pt idx="1">
                  <c:v>2.9111111111111112E-2</c:v>
                </c:pt>
                <c:pt idx="2">
                  <c:v>1.1000000000000003E-2</c:v>
                </c:pt>
              </c:numCache>
            </c:numRef>
          </c:val>
          <c:extLst>
            <c:ext xmlns:c16="http://schemas.microsoft.com/office/drawing/2014/chart" uri="{C3380CC4-5D6E-409C-BE32-E72D297353CC}">
              <c16:uniqueId val="{00000000-0A97-F540-8019-238EDF376DB4}"/>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r>
              <a:rPr lang="en-US" sz="2000">
                <a:solidFill>
                  <a:schemeClr val="tx1"/>
                </a:solidFill>
              </a:rPr>
              <a:t>Diverse+NUI-0N (Plot4-ON)</a:t>
            </a:r>
          </a:p>
        </c:rich>
      </c:tx>
      <c:layout>
        <c:manualLayout>
          <c:xMode val="edge"/>
          <c:yMode val="edge"/>
          <c:x val="0.55462676390336785"/>
          <c:y val="4.0702811021614993E-2"/>
        </c:manualLayout>
      </c:layout>
      <c:overlay val="0"/>
      <c:spPr>
        <a:noFill/>
        <a:ln>
          <a:noFill/>
        </a:ln>
        <a:effectLst/>
      </c:spPr>
      <c:txPr>
        <a:bodyPr rot="0" spcFirstLastPara="1" vertOverflow="ellipsis" vert="horz" wrap="square" anchor="ctr" anchorCtr="1"/>
        <a:lstStyle/>
        <a:p>
          <a:pPr>
            <a:defRPr sz="2000" b="1" i="0" u="none" strike="noStrike" kern="1200" cap="all"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F9C2-134F-B1BC-1961B91D4EE7}"/>
              </c:ext>
            </c:extLst>
          </c:dPt>
          <c:dPt>
            <c:idx val="1"/>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9C2-134F-B1BC-1961B91D4EE7}"/>
              </c:ext>
            </c:extLst>
          </c:dPt>
          <c:dPt>
            <c:idx val="2"/>
            <c:bubble3D val="0"/>
            <c:spPr>
              <a:solidFill>
                <a:schemeClr val="accent6">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F9C2-134F-B1BC-1961B91D4EE7}"/>
              </c:ext>
            </c:extLst>
          </c:dPt>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F9C2-134F-B1BC-1961B91D4EE7}"/>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F9C2-134F-B1BC-1961B91D4EE7}"/>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F9C2-134F-B1BC-1961B91D4EE7}"/>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spc="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'2021 Harvest CC'!$BH$5:$BH$7</c:f>
              <c:strCache>
                <c:ptCount val="3"/>
                <c:pt idx="0">
                  <c:v>Rye</c:v>
                </c:pt>
                <c:pt idx="1">
                  <c:v>Clover</c:v>
                </c:pt>
                <c:pt idx="2">
                  <c:v>Weeds</c:v>
                </c:pt>
              </c:strCache>
            </c:strRef>
          </c:cat>
          <c:val>
            <c:numRef>
              <c:f>'2021 Harvest CC'!$BI$5:$BI$7</c:f>
              <c:numCache>
                <c:formatCode>General</c:formatCode>
                <c:ptCount val="3"/>
                <c:pt idx="0">
                  <c:v>0.18899999999999997</c:v>
                </c:pt>
                <c:pt idx="1">
                  <c:v>1.6333333333333335E-2</c:v>
                </c:pt>
                <c:pt idx="2">
                  <c:v>1.6E-2</c:v>
                </c:pt>
              </c:numCache>
            </c:numRef>
          </c:val>
          <c:extLst>
            <c:ext xmlns:c16="http://schemas.microsoft.com/office/drawing/2014/chart" uri="{C3380CC4-5D6E-409C-BE32-E72D297353CC}">
              <c16:uniqueId val="{00000000-F9C2-134F-B1BC-1961B91D4EE7}"/>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YR2</a:t>
            </a:r>
            <a:r>
              <a:rPr lang="en-US" sz="2000" baseline="0"/>
              <a:t> Harvest Plant Sample</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'2021 Harvest CC'!$BE$11</c:f>
              <c:strCache>
                <c:ptCount val="1"/>
                <c:pt idx="0">
                  <c:v>Fertilized </c:v>
                </c:pt>
              </c:strCache>
            </c:strRef>
          </c:tx>
          <c:spPr>
            <a:solidFill>
              <a:schemeClr val="accent6">
                <a:shade val="76000"/>
              </a:schemeClr>
            </a:solidFill>
            <a:ln>
              <a:noFill/>
            </a:ln>
            <a:effectLst/>
          </c:spPr>
          <c:invertIfNegative val="0"/>
          <c:errBars>
            <c:errBarType val="both"/>
            <c:errValType val="cust"/>
            <c:noEndCap val="0"/>
            <c:plus>
              <c:numLit>
                <c:formatCode>General</c:formatCode>
                <c:ptCount val="1"/>
                <c:pt idx="0">
                  <c:v>0.23</c:v>
                </c:pt>
              </c:numLit>
            </c:plus>
            <c:minus>
              <c:numLit>
                <c:formatCode>General</c:formatCode>
                <c:ptCount val="1"/>
                <c:pt idx="0">
                  <c:v>0.23</c:v>
                </c:pt>
              </c:numLit>
            </c:minus>
            <c:spPr>
              <a:noFill/>
              <a:ln w="38100" cap="flat" cmpd="sng" algn="ctr">
                <a:solidFill>
                  <a:schemeClr val="tx1">
                    <a:lumMod val="65000"/>
                    <a:lumOff val="35000"/>
                  </a:schemeClr>
                </a:solidFill>
                <a:round/>
              </a:ln>
              <a:effectLst/>
            </c:spPr>
          </c:errBars>
          <c:cat>
            <c:strRef>
              <c:f>'2021 Harvest CC'!$BF$10:$BG$10</c:f>
              <c:strCache>
                <c:ptCount val="2"/>
                <c:pt idx="0">
                  <c:v>Diverse</c:v>
                </c:pt>
                <c:pt idx="1">
                  <c:v>Diverse+NUI</c:v>
                </c:pt>
              </c:strCache>
            </c:strRef>
          </c:cat>
          <c:val>
            <c:numRef>
              <c:f>'2021 Harvest CC'!$BF$11:$BG$11</c:f>
              <c:numCache>
                <c:formatCode>General</c:formatCode>
                <c:ptCount val="2"/>
                <c:pt idx="0">
                  <c:v>0.28255555555555556</c:v>
                </c:pt>
                <c:pt idx="1">
                  <c:v>0.30400000000000005</c:v>
                </c:pt>
              </c:numCache>
            </c:numRef>
          </c:val>
          <c:extLst>
            <c:ext xmlns:c16="http://schemas.microsoft.com/office/drawing/2014/chart" uri="{C3380CC4-5D6E-409C-BE32-E72D297353CC}">
              <c16:uniqueId val="{00000000-B034-F54F-BF9C-C9970E02EEDF}"/>
            </c:ext>
          </c:extLst>
        </c:ser>
        <c:ser>
          <c:idx val="1"/>
          <c:order val="1"/>
          <c:tx>
            <c:strRef>
              <c:f>'2021 Harvest CC'!$BE$12</c:f>
              <c:strCache>
                <c:ptCount val="1"/>
                <c:pt idx="0">
                  <c:v>0N</c:v>
                </c:pt>
              </c:strCache>
            </c:strRef>
          </c:tx>
          <c:spPr>
            <a:solidFill>
              <a:schemeClr val="accent6">
                <a:tint val="77000"/>
              </a:schemeClr>
            </a:solidFill>
            <a:ln>
              <a:noFill/>
            </a:ln>
            <a:effectLst/>
          </c:spPr>
          <c:invertIfNegative val="0"/>
          <c:errBars>
            <c:errBarType val="both"/>
            <c:errValType val="cust"/>
            <c:noEndCap val="0"/>
            <c:plus>
              <c:numLit>
                <c:formatCode>General</c:formatCode>
                <c:ptCount val="1"/>
                <c:pt idx="0">
                  <c:v>7.7499999999999999E-2</c:v>
                </c:pt>
              </c:numLit>
            </c:plus>
            <c:minus>
              <c:numLit>
                <c:formatCode>General</c:formatCode>
                <c:ptCount val="1"/>
                <c:pt idx="0">
                  <c:v>7.7499999999999999E-2</c:v>
                </c:pt>
              </c:numLit>
            </c:minus>
            <c:spPr>
              <a:noFill/>
              <a:ln w="38100" cap="flat" cmpd="sng" algn="ctr">
                <a:solidFill>
                  <a:schemeClr val="tx1">
                    <a:lumMod val="65000"/>
                    <a:lumOff val="35000"/>
                  </a:schemeClr>
                </a:solidFill>
                <a:round/>
              </a:ln>
              <a:effectLst/>
            </c:spPr>
          </c:errBars>
          <c:cat>
            <c:strRef>
              <c:f>'2021 Harvest CC'!$BF$10:$BG$10</c:f>
              <c:strCache>
                <c:ptCount val="2"/>
                <c:pt idx="0">
                  <c:v>Diverse</c:v>
                </c:pt>
                <c:pt idx="1">
                  <c:v>Diverse+NUI</c:v>
                </c:pt>
              </c:strCache>
            </c:strRef>
          </c:cat>
          <c:val>
            <c:numRef>
              <c:f>'2021 Harvest CC'!$BF$12:$BG$12</c:f>
              <c:numCache>
                <c:formatCode>General</c:formatCode>
                <c:ptCount val="2"/>
                <c:pt idx="0">
                  <c:v>0.11699999999999999</c:v>
                </c:pt>
                <c:pt idx="1">
                  <c:v>0.2213333333333333</c:v>
                </c:pt>
              </c:numCache>
            </c:numRef>
          </c:val>
          <c:extLst>
            <c:ext xmlns:c16="http://schemas.microsoft.com/office/drawing/2014/chart" uri="{C3380CC4-5D6E-409C-BE32-E72D297353CC}">
              <c16:uniqueId val="{00000001-B034-F54F-BF9C-C9970E02EEDF}"/>
            </c:ext>
          </c:extLst>
        </c:ser>
        <c:dLbls>
          <c:showLegendKey val="0"/>
          <c:showVal val="0"/>
          <c:showCatName val="0"/>
          <c:showSerName val="0"/>
          <c:showPercent val="0"/>
          <c:showBubbleSize val="0"/>
        </c:dLbls>
        <c:gapWidth val="222"/>
        <c:axId val="1256351247"/>
        <c:axId val="2129328671"/>
      </c:barChart>
      <c:catAx>
        <c:axId val="1256351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crossAx val="2129328671"/>
        <c:crosses val="autoZero"/>
        <c:auto val="1"/>
        <c:lblAlgn val="ctr"/>
        <c:lblOffset val="100"/>
        <c:noMultiLvlLbl val="0"/>
      </c:catAx>
      <c:valAx>
        <c:axId val="2129328671"/>
        <c:scaling>
          <c:orientation val="minMax"/>
        </c:scaling>
        <c:delete val="0"/>
        <c:axPos val="l"/>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Cover</a:t>
                </a:r>
                <a:r>
                  <a:rPr lang="en-US" sz="2000" baseline="0"/>
                  <a:t> Crop Biomass (tons/ha)</a:t>
                </a:r>
                <a:endParaRPr lang="en-US" sz="2000"/>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25635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Reversed" id="23">
  <a:schemeClr val="accent3"/>
</cs:colorStyle>
</file>

<file path=xl/charts/colors13.xml><?xml version="1.0" encoding="utf-8"?>
<cs:colorStyle xmlns:cs="http://schemas.microsoft.com/office/drawing/2012/chartStyle" xmlns:a="http://schemas.openxmlformats.org/drawingml/2006/main" meth="withinLinearReversed" id="23">
  <a:schemeClr val="accent3"/>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withinLinear" id="19">
  <a:schemeClr val="accent6"/>
</cs:colorStyle>
</file>

<file path=xl/charts/colors16.xml><?xml version="1.0" encoding="utf-8"?>
<cs:colorStyle xmlns:cs="http://schemas.microsoft.com/office/drawing/2012/chartStyle" xmlns:a="http://schemas.openxmlformats.org/drawingml/2006/main" meth="withinLinear" id="19">
  <a:schemeClr val="accent6"/>
</cs:colorStyle>
</file>

<file path=xl/charts/colors17.xml><?xml version="1.0" encoding="utf-8"?>
<cs:colorStyle xmlns:cs="http://schemas.microsoft.com/office/drawing/2012/chartStyle" xmlns:a="http://schemas.openxmlformats.org/drawingml/2006/main" meth="withinLinear" id="19">
  <a:schemeClr val="accent6"/>
</cs:colorStyle>
</file>

<file path=xl/charts/colors18.xml><?xml version="1.0" encoding="utf-8"?>
<cs:colorStyle xmlns:cs="http://schemas.microsoft.com/office/drawing/2012/chartStyle" xmlns:a="http://schemas.openxmlformats.org/drawingml/2006/main" meth="withinLinear" id="19">
  <a:schemeClr val="accent6"/>
</cs:colorStyle>
</file>

<file path=xl/charts/colors19.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5" Type="http://schemas.openxmlformats.org/officeDocument/2006/relationships/chart" Target="../charts/chart19.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9</xdr:col>
      <xdr:colOff>932234</xdr:colOff>
      <xdr:row>37</xdr:row>
      <xdr:rowOff>148617</xdr:rowOff>
    </xdr:from>
    <xdr:to>
      <xdr:col>11</xdr:col>
      <xdr:colOff>702553</xdr:colOff>
      <xdr:row>42</xdr:row>
      <xdr:rowOff>148617</xdr:rowOff>
    </xdr:to>
    <xdr:sp macro="" textlink="">
      <xdr:nvSpPr>
        <xdr:cNvPr id="2" name="TextBox 1">
          <a:extLst>
            <a:ext uri="{FF2B5EF4-FFF2-40B4-BE49-F238E27FC236}">
              <a16:creationId xmlns:a16="http://schemas.microsoft.com/office/drawing/2014/main" id="{F955202B-E483-02B0-0557-447FF75EC7DB}"/>
            </a:ext>
          </a:extLst>
        </xdr:cNvPr>
        <xdr:cNvSpPr txBox="1"/>
      </xdr:nvSpPr>
      <xdr:spPr>
        <a:xfrm>
          <a:off x="11470532" y="8565745"/>
          <a:ext cx="2310319" cy="1053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SAMPLE ID'S </a:t>
          </a:r>
          <a:r>
            <a:rPr lang="en-US" sz="1100" b="1" baseline="0"/>
            <a:t> </a:t>
          </a:r>
          <a:r>
            <a:rPr lang="en-US" sz="1100" baseline="0"/>
            <a:t>were not assinged to these raddishes because the whole raddishes where separated by (shoot vs. Root), given ID's and sent for analysis.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656353</xdr:colOff>
      <xdr:row>7</xdr:row>
      <xdr:rowOff>92513</xdr:rowOff>
    </xdr:from>
    <xdr:to>
      <xdr:col>35</xdr:col>
      <xdr:colOff>695476</xdr:colOff>
      <xdr:row>34</xdr:row>
      <xdr:rowOff>211667</xdr:rowOff>
    </xdr:to>
    <xdr:graphicFrame macro="">
      <xdr:nvGraphicFramePr>
        <xdr:cNvPr id="2" name="Chart 1">
          <a:extLst>
            <a:ext uri="{FF2B5EF4-FFF2-40B4-BE49-F238E27FC236}">
              <a16:creationId xmlns:a16="http://schemas.microsoft.com/office/drawing/2014/main" id="{FE2DA22A-0185-7A7B-B204-98DD6B290D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660400</xdr:colOff>
      <xdr:row>34</xdr:row>
      <xdr:rowOff>203200</xdr:rowOff>
    </xdr:from>
    <xdr:to>
      <xdr:col>30</xdr:col>
      <xdr:colOff>279400</xdr:colOff>
      <xdr:row>52</xdr:row>
      <xdr:rowOff>177800</xdr:rowOff>
    </xdr:to>
    <xdr:graphicFrame macro="">
      <xdr:nvGraphicFramePr>
        <xdr:cNvPr id="3" name="Chart 2">
          <a:extLst>
            <a:ext uri="{FF2B5EF4-FFF2-40B4-BE49-F238E27FC236}">
              <a16:creationId xmlns:a16="http://schemas.microsoft.com/office/drawing/2014/main" id="{3C9AC500-968B-67A4-B31E-27D2CB3F0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295275</xdr:colOff>
      <xdr:row>34</xdr:row>
      <xdr:rowOff>206375</xdr:rowOff>
    </xdr:from>
    <xdr:to>
      <xdr:col>35</xdr:col>
      <xdr:colOff>701675</xdr:colOff>
      <xdr:row>52</xdr:row>
      <xdr:rowOff>180975</xdr:rowOff>
    </xdr:to>
    <xdr:graphicFrame macro="">
      <xdr:nvGraphicFramePr>
        <xdr:cNvPr id="4" name="Chart 3">
          <a:extLst>
            <a:ext uri="{FF2B5EF4-FFF2-40B4-BE49-F238E27FC236}">
              <a16:creationId xmlns:a16="http://schemas.microsoft.com/office/drawing/2014/main" id="{7EA04908-D722-1E4D-81EF-05779F400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1439334</xdr:colOff>
      <xdr:row>0</xdr:row>
      <xdr:rowOff>33867</xdr:rowOff>
    </xdr:from>
    <xdr:to>
      <xdr:col>16</xdr:col>
      <xdr:colOff>965199</xdr:colOff>
      <xdr:row>2</xdr:row>
      <xdr:rowOff>101600</xdr:rowOff>
    </xdr:to>
    <xdr:sp macro="" textlink="">
      <xdr:nvSpPr>
        <xdr:cNvPr id="2" name="TextBox 1">
          <a:extLst>
            <a:ext uri="{FF2B5EF4-FFF2-40B4-BE49-F238E27FC236}">
              <a16:creationId xmlns:a16="http://schemas.microsoft.com/office/drawing/2014/main" id="{E2054969-3A6C-2C4C-90AE-B77828A2564B}"/>
            </a:ext>
          </a:extLst>
        </xdr:cNvPr>
        <xdr:cNvSpPr txBox="1"/>
      </xdr:nvSpPr>
      <xdr:spPr>
        <a:xfrm>
          <a:off x="13529734" y="33867"/>
          <a:ext cx="9313332" cy="677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 linear meters of corn was sampled in parts A &amp; B (1 Meter for sample A, 1 meter for sample B). The whole linear meter is weighed wet ("Whole Sample Wet Weight").</a:t>
          </a:r>
          <a:r>
            <a:rPr lang="en-US" sz="1200" baseline="0"/>
            <a:t> Three plants from each whole linear meter sample were randdomly chosen for shredding, weighing wet and drying.  These three plants randomly taken are known as the sample from then on. Yes, confusing I know. </a:t>
          </a:r>
          <a:endParaRPr lang="en-US" sz="1200"/>
        </a:p>
      </xdr:txBody>
    </xdr:sp>
    <xdr:clientData/>
  </xdr:twoCellAnchor>
  <xdr:twoCellAnchor>
    <xdr:from>
      <xdr:col>36</xdr:col>
      <xdr:colOff>46767</xdr:colOff>
      <xdr:row>7</xdr:row>
      <xdr:rowOff>122075</xdr:rowOff>
    </xdr:from>
    <xdr:to>
      <xdr:col>52</xdr:col>
      <xdr:colOff>818444</xdr:colOff>
      <xdr:row>43</xdr:row>
      <xdr:rowOff>24485</xdr:rowOff>
    </xdr:to>
    <xdr:graphicFrame macro="">
      <xdr:nvGraphicFramePr>
        <xdr:cNvPr id="3" name="Chart 2">
          <a:extLst>
            <a:ext uri="{FF2B5EF4-FFF2-40B4-BE49-F238E27FC236}">
              <a16:creationId xmlns:a16="http://schemas.microsoft.com/office/drawing/2014/main" id="{54EE3184-9530-9C61-EE1D-A54F10A42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39687</xdr:colOff>
      <xdr:row>42</xdr:row>
      <xdr:rowOff>186133</xdr:rowOff>
    </xdr:from>
    <xdr:to>
      <xdr:col>43</xdr:col>
      <xdr:colOff>833436</xdr:colOff>
      <xdr:row>67</xdr:row>
      <xdr:rowOff>79374</xdr:rowOff>
    </xdr:to>
    <xdr:graphicFrame macro="">
      <xdr:nvGraphicFramePr>
        <xdr:cNvPr id="4" name="Chart 3">
          <a:extLst>
            <a:ext uri="{FF2B5EF4-FFF2-40B4-BE49-F238E27FC236}">
              <a16:creationId xmlns:a16="http://schemas.microsoft.com/office/drawing/2014/main" id="{772F9CFD-54C5-855A-F91E-DF4DFF740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44</xdr:col>
      <xdr:colOff>19844</xdr:colOff>
      <xdr:row>42</xdr:row>
      <xdr:rowOff>178594</xdr:rowOff>
    </xdr:from>
    <xdr:to>
      <xdr:col>53</xdr:col>
      <xdr:colOff>19843</xdr:colOff>
      <xdr:row>67</xdr:row>
      <xdr:rowOff>71835</xdr:rowOff>
    </xdr:to>
    <xdr:graphicFrame macro="">
      <xdr:nvGraphicFramePr>
        <xdr:cNvPr id="5" name="Chart 4">
          <a:extLst>
            <a:ext uri="{FF2B5EF4-FFF2-40B4-BE49-F238E27FC236}">
              <a16:creationId xmlns:a16="http://schemas.microsoft.com/office/drawing/2014/main" id="{407A33B5-B09E-BA4E-B33F-74ABD29ED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18677</xdr:colOff>
      <xdr:row>0</xdr:row>
      <xdr:rowOff>18675</xdr:rowOff>
    </xdr:from>
    <xdr:to>
      <xdr:col>10</xdr:col>
      <xdr:colOff>466912</xdr:colOff>
      <xdr:row>0</xdr:row>
      <xdr:rowOff>691029</xdr:rowOff>
    </xdr:to>
    <xdr:sp macro="" textlink="">
      <xdr:nvSpPr>
        <xdr:cNvPr id="2" name="TextBox 1">
          <a:extLst>
            <a:ext uri="{FF2B5EF4-FFF2-40B4-BE49-F238E27FC236}">
              <a16:creationId xmlns:a16="http://schemas.microsoft.com/office/drawing/2014/main" id="{C42D4B1A-874F-23AB-AB4F-3F8305B0A396}"/>
            </a:ext>
          </a:extLst>
        </xdr:cNvPr>
        <xdr:cNvSpPr txBox="1"/>
      </xdr:nvSpPr>
      <xdr:spPr>
        <a:xfrm>
          <a:off x="2708089" y="18675"/>
          <a:ext cx="10253382" cy="672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2 linear meters of corn was sampled in parts A &amp; B (1 Meter for sample A, 1 meter for sample B). The whole linear meter is weighed wet ("Whole Sample Wet Weight"),</a:t>
          </a:r>
          <a:r>
            <a:rPr lang="en-US" sz="1200" baseline="0"/>
            <a:t> all cobs were removed and dried in individual bags ("grain bags").  Three plants from each whole linear meter sample were randdomly chosen for shredding, weighing wet and drying.  These three plants randomly taken are known as the sample from then on. Yes, confusing I know. </a:t>
          </a:r>
          <a:endParaRPr lang="en-US" sz="1200"/>
        </a:p>
      </xdr:txBody>
    </xdr:sp>
    <xdr:clientData/>
  </xdr:twoCellAnchor>
  <xdr:twoCellAnchor>
    <xdr:from>
      <xdr:col>14</xdr:col>
      <xdr:colOff>50800</xdr:colOff>
      <xdr:row>93</xdr:row>
      <xdr:rowOff>16933</xdr:rowOff>
    </xdr:from>
    <xdr:to>
      <xdr:col>14</xdr:col>
      <xdr:colOff>2336800</xdr:colOff>
      <xdr:row>117</xdr:row>
      <xdr:rowOff>0</xdr:rowOff>
    </xdr:to>
    <xdr:sp macro="" textlink="">
      <xdr:nvSpPr>
        <xdr:cNvPr id="3" name="Chevron 2">
          <a:extLst>
            <a:ext uri="{FF2B5EF4-FFF2-40B4-BE49-F238E27FC236}">
              <a16:creationId xmlns:a16="http://schemas.microsoft.com/office/drawing/2014/main" id="{61F6F8B1-FA6E-3B12-AE48-A96C7C6EFF7F}"/>
            </a:ext>
          </a:extLst>
        </xdr:cNvPr>
        <xdr:cNvSpPr/>
      </xdr:nvSpPr>
      <xdr:spPr>
        <a:xfrm>
          <a:off x="29565600" y="20489333"/>
          <a:ext cx="2286000" cy="4859867"/>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28</xdr:col>
      <xdr:colOff>25401</xdr:colOff>
      <xdr:row>92</xdr:row>
      <xdr:rowOff>135466</xdr:rowOff>
    </xdr:from>
    <xdr:to>
      <xdr:col>29</xdr:col>
      <xdr:colOff>0</xdr:colOff>
      <xdr:row>115</xdr:row>
      <xdr:rowOff>101600</xdr:rowOff>
    </xdr:to>
    <xdr:sp macro="" textlink="">
      <xdr:nvSpPr>
        <xdr:cNvPr id="4" name="Chevron 3">
          <a:extLst>
            <a:ext uri="{FF2B5EF4-FFF2-40B4-BE49-F238E27FC236}">
              <a16:creationId xmlns:a16="http://schemas.microsoft.com/office/drawing/2014/main" id="{89BED201-03A7-C740-9CB9-44976B311B1F}"/>
            </a:ext>
          </a:extLst>
        </xdr:cNvPr>
        <xdr:cNvSpPr/>
      </xdr:nvSpPr>
      <xdr:spPr>
        <a:xfrm>
          <a:off x="62153801" y="20353866"/>
          <a:ext cx="4089399" cy="4690534"/>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36</xdr:col>
      <xdr:colOff>556684</xdr:colOff>
      <xdr:row>91</xdr:row>
      <xdr:rowOff>162278</xdr:rowOff>
    </xdr:from>
    <xdr:to>
      <xdr:col>37</xdr:col>
      <xdr:colOff>1352550</xdr:colOff>
      <xdr:row>114</xdr:row>
      <xdr:rowOff>0</xdr:rowOff>
    </xdr:to>
    <xdr:sp macro="" textlink="">
      <xdr:nvSpPr>
        <xdr:cNvPr id="5" name="Chevron 4">
          <a:extLst>
            <a:ext uri="{FF2B5EF4-FFF2-40B4-BE49-F238E27FC236}">
              <a16:creationId xmlns:a16="http://schemas.microsoft.com/office/drawing/2014/main" id="{59D40A40-D12D-264D-A3A9-1ADB3DB97674}"/>
            </a:ext>
          </a:extLst>
        </xdr:cNvPr>
        <xdr:cNvSpPr/>
      </xdr:nvSpPr>
      <xdr:spPr>
        <a:xfrm>
          <a:off x="76407434" y="19021778"/>
          <a:ext cx="2224616" cy="4346222"/>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15</xdr:col>
      <xdr:colOff>1210732</xdr:colOff>
      <xdr:row>55</xdr:row>
      <xdr:rowOff>50800</xdr:rowOff>
    </xdr:from>
    <xdr:to>
      <xdr:col>17</xdr:col>
      <xdr:colOff>1320799</xdr:colOff>
      <xdr:row>63</xdr:row>
      <xdr:rowOff>50799</xdr:rowOff>
    </xdr:to>
    <xdr:sp macro="" textlink="">
      <xdr:nvSpPr>
        <xdr:cNvPr id="6" name="Chevron 5">
          <a:extLst>
            <a:ext uri="{FF2B5EF4-FFF2-40B4-BE49-F238E27FC236}">
              <a16:creationId xmlns:a16="http://schemas.microsoft.com/office/drawing/2014/main" id="{5F6560ED-5BF6-8E4A-B2F0-5E4986456DCD}"/>
            </a:ext>
          </a:extLst>
        </xdr:cNvPr>
        <xdr:cNvSpPr/>
      </xdr:nvSpPr>
      <xdr:spPr>
        <a:xfrm rot="5400000">
          <a:off x="32990366" y="11578166"/>
          <a:ext cx="1625599" cy="2650067"/>
        </a:xfrm>
        <a:prstGeom prst="chevron">
          <a:avLst>
            <a:gd name="adj" fmla="val 50000"/>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660400</xdr:colOff>
      <xdr:row>0</xdr:row>
      <xdr:rowOff>127000</xdr:rowOff>
    </xdr:from>
    <xdr:to>
      <xdr:col>10</xdr:col>
      <xdr:colOff>1854200</xdr:colOff>
      <xdr:row>0</xdr:row>
      <xdr:rowOff>685800</xdr:rowOff>
    </xdr:to>
    <xdr:sp macro="" textlink="">
      <xdr:nvSpPr>
        <xdr:cNvPr id="7" name="Chevron 6">
          <a:extLst>
            <a:ext uri="{FF2B5EF4-FFF2-40B4-BE49-F238E27FC236}">
              <a16:creationId xmlns:a16="http://schemas.microsoft.com/office/drawing/2014/main" id="{9B266572-F0AC-594B-950F-0A2237374539}"/>
            </a:ext>
          </a:extLst>
        </xdr:cNvPr>
        <xdr:cNvSpPr/>
      </xdr:nvSpPr>
      <xdr:spPr>
        <a:xfrm rot="5400000">
          <a:off x="19342100" y="-190500"/>
          <a:ext cx="558800" cy="1193800"/>
        </a:xfrm>
        <a:prstGeom prst="chevron">
          <a:avLst/>
        </a:prstGeom>
        <a:solidFill>
          <a:schemeClr val="accent4"/>
        </a:solidFill>
        <a:ln>
          <a:solidFill>
            <a:schemeClr val="accent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812800</xdr:colOff>
      <xdr:row>0</xdr:row>
      <xdr:rowOff>279400</xdr:rowOff>
    </xdr:from>
    <xdr:to>
      <xdr:col>10</xdr:col>
      <xdr:colOff>1879600</xdr:colOff>
      <xdr:row>1</xdr:row>
      <xdr:rowOff>50800</xdr:rowOff>
    </xdr:to>
    <xdr:sp macro="" textlink="">
      <xdr:nvSpPr>
        <xdr:cNvPr id="8" name="TextBox 7">
          <a:extLst>
            <a:ext uri="{FF2B5EF4-FFF2-40B4-BE49-F238E27FC236}">
              <a16:creationId xmlns:a16="http://schemas.microsoft.com/office/drawing/2014/main" id="{696E567E-6540-8990-6224-DEEB590423AC}"/>
            </a:ext>
          </a:extLst>
        </xdr:cNvPr>
        <xdr:cNvSpPr txBox="1"/>
      </xdr:nvSpPr>
      <xdr:spPr>
        <a:xfrm>
          <a:off x="19177000" y="279400"/>
          <a:ext cx="1066800" cy="5588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cap="none" spc="0">
              <a:ln w="0"/>
              <a:solidFill>
                <a:schemeClr val="tx1"/>
              </a:solidFill>
              <a:effectLst>
                <a:outerShdw blurRad="38100" dist="19050" dir="2700000" algn="tl" rotWithShape="0">
                  <a:schemeClr val="dk1">
                    <a:alpha val="40000"/>
                  </a:schemeClr>
                </a:outerShdw>
              </a:effectLst>
            </a:rPr>
            <a:t>GRAIN</a:t>
          </a:r>
        </a:p>
      </xdr:txBody>
    </xdr:sp>
    <xdr:clientData/>
  </xdr:twoCellAnchor>
  <xdr:twoCellAnchor>
    <xdr:from>
      <xdr:col>16</xdr:col>
      <xdr:colOff>793595</xdr:colOff>
      <xdr:row>59</xdr:row>
      <xdr:rowOff>190205</xdr:rowOff>
    </xdr:from>
    <xdr:to>
      <xdr:col>17</xdr:col>
      <xdr:colOff>1128823</xdr:colOff>
      <xdr:row>62</xdr:row>
      <xdr:rowOff>101600</xdr:rowOff>
    </xdr:to>
    <xdr:sp macro="" textlink="">
      <xdr:nvSpPr>
        <xdr:cNvPr id="9" name="TextBox 8">
          <a:extLst>
            <a:ext uri="{FF2B5EF4-FFF2-40B4-BE49-F238E27FC236}">
              <a16:creationId xmlns:a16="http://schemas.microsoft.com/office/drawing/2014/main" id="{2E24D5E1-1CE3-8140-8251-D20595E724ED}"/>
            </a:ext>
          </a:extLst>
        </xdr:cNvPr>
        <xdr:cNvSpPr txBox="1"/>
      </xdr:nvSpPr>
      <xdr:spPr>
        <a:xfrm>
          <a:off x="33432595" y="13042605"/>
          <a:ext cx="1503628" cy="52099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0"/>
              <a:solidFill>
                <a:schemeClr val="tx1"/>
              </a:solidFill>
              <a:effectLst>
                <a:outerShdw blurRad="38100" dist="19050" dir="2700000" algn="tl" rotWithShape="0">
                  <a:schemeClr val="dk1">
                    <a:alpha val="40000"/>
                  </a:schemeClr>
                </a:outerShdw>
              </a:effectLst>
            </a:rPr>
            <a:t>GRAIN</a:t>
          </a:r>
        </a:p>
      </xdr:txBody>
    </xdr:sp>
    <xdr:clientData/>
  </xdr:twoCellAnchor>
  <xdr:twoCellAnchor>
    <xdr:from>
      <xdr:col>15</xdr:col>
      <xdr:colOff>56445</xdr:colOff>
      <xdr:row>4</xdr:row>
      <xdr:rowOff>177800</xdr:rowOff>
    </xdr:from>
    <xdr:to>
      <xdr:col>15</xdr:col>
      <xdr:colOff>2108200</xdr:colOff>
      <xdr:row>12</xdr:row>
      <xdr:rowOff>177800</xdr:rowOff>
    </xdr:to>
    <xdr:sp macro="" textlink="">
      <xdr:nvSpPr>
        <xdr:cNvPr id="10" name="Chevron 9">
          <a:extLst>
            <a:ext uri="{FF2B5EF4-FFF2-40B4-BE49-F238E27FC236}">
              <a16:creationId xmlns:a16="http://schemas.microsoft.com/office/drawing/2014/main" id="{3FC492A8-7A12-4C67-F9C7-74333B3015D5}"/>
            </a:ext>
          </a:extLst>
        </xdr:cNvPr>
        <xdr:cNvSpPr/>
      </xdr:nvSpPr>
      <xdr:spPr>
        <a:xfrm>
          <a:off x="30053845" y="1854200"/>
          <a:ext cx="2051755" cy="1625600"/>
        </a:xfrm>
        <a:prstGeom prst="chevron">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43</xdr:col>
      <xdr:colOff>1303828</xdr:colOff>
      <xdr:row>90</xdr:row>
      <xdr:rowOff>437056</xdr:rowOff>
    </xdr:from>
    <xdr:to>
      <xdr:col>64</xdr:col>
      <xdr:colOff>304800</xdr:colOff>
      <xdr:row>154</xdr:row>
      <xdr:rowOff>127000</xdr:rowOff>
    </xdr:to>
    <xdr:graphicFrame macro="">
      <xdr:nvGraphicFramePr>
        <xdr:cNvPr id="17" name="Chart 16">
          <a:extLst>
            <a:ext uri="{FF2B5EF4-FFF2-40B4-BE49-F238E27FC236}">
              <a16:creationId xmlns:a16="http://schemas.microsoft.com/office/drawing/2014/main" id="{150CE5A1-C468-60BA-3337-5CF1D2CAA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1038225</xdr:colOff>
      <xdr:row>0</xdr:row>
      <xdr:rowOff>239168</xdr:rowOff>
    </xdr:from>
    <xdr:to>
      <xdr:col>69</xdr:col>
      <xdr:colOff>38100</xdr:colOff>
      <xdr:row>32</xdr:row>
      <xdr:rowOff>15875</xdr:rowOff>
    </xdr:to>
    <xdr:graphicFrame macro="">
      <xdr:nvGraphicFramePr>
        <xdr:cNvPr id="18" name="Chart 17">
          <a:extLst>
            <a:ext uri="{FF2B5EF4-FFF2-40B4-BE49-F238E27FC236}">
              <a16:creationId xmlns:a16="http://schemas.microsoft.com/office/drawing/2014/main" id="{01210E88-3579-7B52-912C-E6B3AF9EF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2283772</xdr:colOff>
      <xdr:row>179</xdr:row>
      <xdr:rowOff>165768</xdr:rowOff>
    </xdr:from>
    <xdr:to>
      <xdr:col>11</xdr:col>
      <xdr:colOff>2484298</xdr:colOff>
      <xdr:row>209</xdr:row>
      <xdr:rowOff>22280</xdr:rowOff>
    </xdr:to>
    <xdr:graphicFrame macro="">
      <xdr:nvGraphicFramePr>
        <xdr:cNvPr id="11" name="Chart 10">
          <a:extLst>
            <a:ext uri="{FF2B5EF4-FFF2-40B4-BE49-F238E27FC236}">
              <a16:creationId xmlns:a16="http://schemas.microsoft.com/office/drawing/2014/main" id="{52A96D8B-E461-A14A-6A09-6A5DDE7DD1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45</xdr:col>
      <xdr:colOff>1266825</xdr:colOff>
      <xdr:row>32</xdr:row>
      <xdr:rowOff>184150</xdr:rowOff>
    </xdr:from>
    <xdr:to>
      <xdr:col>55</xdr:col>
      <xdr:colOff>431800</xdr:colOff>
      <xdr:row>62</xdr:row>
      <xdr:rowOff>146050</xdr:rowOff>
    </xdr:to>
    <xdr:graphicFrame macro="">
      <xdr:nvGraphicFramePr>
        <xdr:cNvPr id="13" name="Chart 12">
          <a:extLst>
            <a:ext uri="{FF2B5EF4-FFF2-40B4-BE49-F238E27FC236}">
              <a16:creationId xmlns:a16="http://schemas.microsoft.com/office/drawing/2014/main" id="{3364FB63-DB04-BA7E-8EC6-85D7FC009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52</xdr:col>
      <xdr:colOff>50800</xdr:colOff>
      <xdr:row>31</xdr:row>
      <xdr:rowOff>101600</xdr:rowOff>
    </xdr:from>
    <xdr:to>
      <xdr:col>65</xdr:col>
      <xdr:colOff>279400</xdr:colOff>
      <xdr:row>61</xdr:row>
      <xdr:rowOff>63500</xdr:rowOff>
    </xdr:to>
    <xdr:graphicFrame macro="">
      <xdr:nvGraphicFramePr>
        <xdr:cNvPr id="14" name="Chart 13">
          <a:extLst>
            <a:ext uri="{FF2B5EF4-FFF2-40B4-BE49-F238E27FC236}">
              <a16:creationId xmlns:a16="http://schemas.microsoft.com/office/drawing/2014/main" id="{C71461F2-2893-D942-9722-6706B202F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1282097</xdr:colOff>
      <xdr:row>154</xdr:row>
      <xdr:rowOff>125184</xdr:rowOff>
    </xdr:from>
    <xdr:to>
      <xdr:col>51</xdr:col>
      <xdr:colOff>423334</xdr:colOff>
      <xdr:row>187</xdr:row>
      <xdr:rowOff>181427</xdr:rowOff>
    </xdr:to>
    <xdr:graphicFrame macro="">
      <xdr:nvGraphicFramePr>
        <xdr:cNvPr id="15" name="Chart 14">
          <a:extLst>
            <a:ext uri="{FF2B5EF4-FFF2-40B4-BE49-F238E27FC236}">
              <a16:creationId xmlns:a16="http://schemas.microsoft.com/office/drawing/2014/main" id="{2855CEE2-9CD9-5FBB-F1B8-5FD0922BA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51</xdr:col>
      <xdr:colOff>423333</xdr:colOff>
      <xdr:row>154</xdr:row>
      <xdr:rowOff>120952</xdr:rowOff>
    </xdr:from>
    <xdr:to>
      <xdr:col>64</xdr:col>
      <xdr:colOff>272143</xdr:colOff>
      <xdr:row>187</xdr:row>
      <xdr:rowOff>177195</xdr:rowOff>
    </xdr:to>
    <xdr:graphicFrame macro="">
      <xdr:nvGraphicFramePr>
        <xdr:cNvPr id="16" name="Chart 15">
          <a:extLst>
            <a:ext uri="{FF2B5EF4-FFF2-40B4-BE49-F238E27FC236}">
              <a16:creationId xmlns:a16="http://schemas.microsoft.com/office/drawing/2014/main" id="{D3357F43-47AC-FC4F-9567-DC4D3EA183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1291167</xdr:colOff>
      <xdr:row>13</xdr:row>
      <xdr:rowOff>132291</xdr:rowOff>
    </xdr:from>
    <xdr:to>
      <xdr:col>27</xdr:col>
      <xdr:colOff>254000</xdr:colOff>
      <xdr:row>58</xdr:row>
      <xdr:rowOff>153457</xdr:rowOff>
    </xdr:to>
    <xdr:graphicFrame macro="">
      <xdr:nvGraphicFramePr>
        <xdr:cNvPr id="2" name="Chart 1">
          <a:extLst>
            <a:ext uri="{FF2B5EF4-FFF2-40B4-BE49-F238E27FC236}">
              <a16:creationId xmlns:a16="http://schemas.microsoft.com/office/drawing/2014/main" id="{02F5465E-5641-9FDA-D38A-2A970B9AC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36</xdr:col>
      <xdr:colOff>169698</xdr:colOff>
      <xdr:row>10</xdr:row>
      <xdr:rowOff>49590</xdr:rowOff>
    </xdr:from>
    <xdr:to>
      <xdr:col>42</xdr:col>
      <xdr:colOff>1740064</xdr:colOff>
      <xdr:row>50</xdr:row>
      <xdr:rowOff>60475</xdr:rowOff>
    </xdr:to>
    <xdr:graphicFrame macro="">
      <xdr:nvGraphicFramePr>
        <xdr:cNvPr id="3" name="Chart 2">
          <a:extLst>
            <a:ext uri="{FF2B5EF4-FFF2-40B4-BE49-F238E27FC236}">
              <a16:creationId xmlns:a16="http://schemas.microsoft.com/office/drawing/2014/main" id="{03640D57-EB83-DE0B-C9A5-81483805A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40</xdr:col>
      <xdr:colOff>1330477</xdr:colOff>
      <xdr:row>35</xdr:row>
      <xdr:rowOff>20158</xdr:rowOff>
    </xdr:from>
    <xdr:ext cx="1673174" cy="655692"/>
    <xdr:sp macro="" textlink="">
      <xdr:nvSpPr>
        <xdr:cNvPr id="4" name="TextBox 3">
          <a:extLst>
            <a:ext uri="{FF2B5EF4-FFF2-40B4-BE49-F238E27FC236}">
              <a16:creationId xmlns:a16="http://schemas.microsoft.com/office/drawing/2014/main" id="{FA19EF36-15AC-F706-5DAE-D1E9949A7B9E}"/>
            </a:ext>
          </a:extLst>
        </xdr:cNvPr>
        <xdr:cNvSpPr txBox="1"/>
      </xdr:nvSpPr>
      <xdr:spPr>
        <a:xfrm>
          <a:off x="49792064" y="7478888"/>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0.23 tons/ha (+/- 0.17)</a:t>
          </a:r>
        </a:p>
      </xdr:txBody>
    </xdr:sp>
    <xdr:clientData/>
  </xdr:oneCellAnchor>
  <xdr:oneCellAnchor>
    <xdr:from>
      <xdr:col>39</xdr:col>
      <xdr:colOff>353988</xdr:colOff>
      <xdr:row>18</xdr:row>
      <xdr:rowOff>91925</xdr:rowOff>
    </xdr:from>
    <xdr:ext cx="1673174" cy="655692"/>
    <xdr:sp macro="" textlink="">
      <xdr:nvSpPr>
        <xdr:cNvPr id="5" name="TextBox 4">
          <a:extLst>
            <a:ext uri="{FF2B5EF4-FFF2-40B4-BE49-F238E27FC236}">
              <a16:creationId xmlns:a16="http://schemas.microsoft.com/office/drawing/2014/main" id="{E52E5115-DE3B-AF45-B9E6-4CB487D4DEE4}"/>
            </a:ext>
          </a:extLst>
        </xdr:cNvPr>
        <xdr:cNvSpPr txBox="1"/>
      </xdr:nvSpPr>
      <xdr:spPr>
        <a:xfrm>
          <a:off x="47989067" y="4022877"/>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0.04 tons/ha (+/- 0.09)</a:t>
          </a:r>
        </a:p>
      </xdr:txBody>
    </xdr:sp>
    <xdr:clientData/>
  </xdr:oneCellAnchor>
  <xdr:oneCellAnchor>
    <xdr:from>
      <xdr:col>38</xdr:col>
      <xdr:colOff>324960</xdr:colOff>
      <xdr:row>22</xdr:row>
      <xdr:rowOff>163688</xdr:rowOff>
    </xdr:from>
    <xdr:ext cx="1673174" cy="655692"/>
    <xdr:sp macro="" textlink="">
      <xdr:nvSpPr>
        <xdr:cNvPr id="6" name="TextBox 5">
          <a:extLst>
            <a:ext uri="{FF2B5EF4-FFF2-40B4-BE49-F238E27FC236}">
              <a16:creationId xmlns:a16="http://schemas.microsoft.com/office/drawing/2014/main" id="{2C38602B-BBB1-0046-901D-5E053B368EE1}"/>
            </a:ext>
          </a:extLst>
        </xdr:cNvPr>
        <xdr:cNvSpPr txBox="1"/>
      </xdr:nvSpPr>
      <xdr:spPr>
        <a:xfrm>
          <a:off x="46831150" y="4900990"/>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0.009 tons/ha (+/- 0.02)</a:t>
          </a:r>
        </a:p>
      </xdr:txBody>
    </xdr:sp>
    <xdr:clientData/>
  </xdr:oneCellAnchor>
  <xdr:twoCellAnchor>
    <xdr:from>
      <xdr:col>42</xdr:col>
      <xdr:colOff>866551</xdr:colOff>
      <xdr:row>10</xdr:row>
      <xdr:rowOff>78454</xdr:rowOff>
    </xdr:from>
    <xdr:to>
      <xdr:col>49</xdr:col>
      <xdr:colOff>744499</xdr:colOff>
      <xdr:row>50</xdr:row>
      <xdr:rowOff>89340</xdr:rowOff>
    </xdr:to>
    <xdr:graphicFrame macro="">
      <xdr:nvGraphicFramePr>
        <xdr:cNvPr id="7" name="Chart 6">
          <a:extLst>
            <a:ext uri="{FF2B5EF4-FFF2-40B4-BE49-F238E27FC236}">
              <a16:creationId xmlns:a16="http://schemas.microsoft.com/office/drawing/2014/main" id="{FDB9AC69-172D-7360-FB9D-603099D2E2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44</xdr:col>
      <xdr:colOff>374146</xdr:colOff>
      <xdr:row>17</xdr:row>
      <xdr:rowOff>152400</xdr:rowOff>
    </xdr:from>
    <xdr:ext cx="1673174" cy="655692"/>
    <xdr:sp macro="" textlink="">
      <xdr:nvSpPr>
        <xdr:cNvPr id="8" name="TextBox 7">
          <a:extLst>
            <a:ext uri="{FF2B5EF4-FFF2-40B4-BE49-F238E27FC236}">
              <a16:creationId xmlns:a16="http://schemas.microsoft.com/office/drawing/2014/main" id="{4649B2E4-4CA8-A54D-80B3-98A7DFF44D0B}"/>
            </a:ext>
          </a:extLst>
        </xdr:cNvPr>
        <xdr:cNvSpPr txBox="1"/>
      </xdr:nvSpPr>
      <xdr:spPr>
        <a:xfrm>
          <a:off x="57342717" y="3881765"/>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0.007 tons/ha (+/- 0.004)</a:t>
          </a:r>
        </a:p>
      </xdr:txBody>
    </xdr:sp>
    <xdr:clientData/>
  </xdr:oneCellAnchor>
  <xdr:oneCellAnchor>
    <xdr:from>
      <xdr:col>45</xdr:col>
      <xdr:colOff>587022</xdr:colOff>
      <xdr:row>37</xdr:row>
      <xdr:rowOff>2419</xdr:rowOff>
    </xdr:from>
    <xdr:ext cx="1673174" cy="655692"/>
    <xdr:sp macro="" textlink="">
      <xdr:nvSpPr>
        <xdr:cNvPr id="9" name="TextBox 8">
          <a:extLst>
            <a:ext uri="{FF2B5EF4-FFF2-40B4-BE49-F238E27FC236}">
              <a16:creationId xmlns:a16="http://schemas.microsoft.com/office/drawing/2014/main" id="{EDF9562B-146D-BC44-886F-4F75068C3E3D}"/>
            </a:ext>
          </a:extLst>
        </xdr:cNvPr>
        <xdr:cNvSpPr txBox="1"/>
      </xdr:nvSpPr>
      <xdr:spPr>
        <a:xfrm>
          <a:off x="58382101" y="7864324"/>
          <a:ext cx="1673174" cy="6556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0.11 tons/ha (+/- 0.09)</a:t>
          </a:r>
        </a:p>
      </xdr:txBody>
    </xdr:sp>
    <xdr:clientData/>
  </xdr:oneCellAnchor>
  <xdr:twoCellAnchor>
    <xdr:from>
      <xdr:col>36</xdr:col>
      <xdr:colOff>282222</xdr:colOff>
      <xdr:row>50</xdr:row>
      <xdr:rowOff>69748</xdr:rowOff>
    </xdr:from>
    <xdr:to>
      <xdr:col>42</xdr:col>
      <xdr:colOff>1894920</xdr:colOff>
      <xdr:row>91</xdr:row>
      <xdr:rowOff>80635</xdr:rowOff>
    </xdr:to>
    <xdr:graphicFrame macro="">
      <xdr:nvGraphicFramePr>
        <xdr:cNvPr id="10" name="Chart 9">
          <a:extLst>
            <a:ext uri="{FF2B5EF4-FFF2-40B4-BE49-F238E27FC236}">
              <a16:creationId xmlns:a16="http://schemas.microsoft.com/office/drawing/2014/main" id="{6D4D62A4-EBEF-44BB-1132-769FA8096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866551</xdr:colOff>
      <xdr:row>50</xdr:row>
      <xdr:rowOff>78452</xdr:rowOff>
    </xdr:from>
    <xdr:to>
      <xdr:col>49</xdr:col>
      <xdr:colOff>744499</xdr:colOff>
      <xdr:row>91</xdr:row>
      <xdr:rowOff>129656</xdr:rowOff>
    </xdr:to>
    <xdr:graphicFrame macro="">
      <xdr:nvGraphicFramePr>
        <xdr:cNvPr id="11" name="Chart 10">
          <a:extLst>
            <a:ext uri="{FF2B5EF4-FFF2-40B4-BE49-F238E27FC236}">
              <a16:creationId xmlns:a16="http://schemas.microsoft.com/office/drawing/2014/main" id="{C4C45585-9A62-15EA-A7DA-AA429BB5E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50</xdr:col>
      <xdr:colOff>9916</xdr:colOff>
      <xdr:row>21</xdr:row>
      <xdr:rowOff>22009</xdr:rowOff>
    </xdr:from>
    <xdr:to>
      <xdr:col>61</xdr:col>
      <xdr:colOff>705294</xdr:colOff>
      <xdr:row>64</xdr:row>
      <xdr:rowOff>75506</xdr:rowOff>
    </xdr:to>
    <xdr:graphicFrame macro="">
      <xdr:nvGraphicFramePr>
        <xdr:cNvPr id="15" name="Chart 14">
          <a:extLst>
            <a:ext uri="{FF2B5EF4-FFF2-40B4-BE49-F238E27FC236}">
              <a16:creationId xmlns:a16="http://schemas.microsoft.com/office/drawing/2014/main" id="{3C3F0DDB-8C98-4226-396B-79B1AFEA2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0.49746</cdr:x>
      <cdr:y>0.6465</cdr:y>
    </cdr:from>
    <cdr:to>
      <cdr:x>0.68052</cdr:x>
      <cdr:y>0.73524</cdr:y>
    </cdr:to>
    <cdr:sp macro="" textlink="">
      <cdr:nvSpPr>
        <cdr:cNvPr id="2" name="TextBox 3">
          <a:extLst xmlns:a="http://schemas.openxmlformats.org/drawingml/2006/main">
            <a:ext uri="{FF2B5EF4-FFF2-40B4-BE49-F238E27FC236}">
              <a16:creationId xmlns:a16="http://schemas.microsoft.com/office/drawing/2014/main" id="{FA19EF36-15AC-F706-5DAE-D1E9949A7B9E}"/>
            </a:ext>
          </a:extLst>
        </cdr:cNvPr>
        <cdr:cNvSpPr txBox="1"/>
      </cdr:nvSpPr>
      <cdr:spPr>
        <a:xfrm xmlns:a="http://schemas.openxmlformats.org/drawingml/2006/main">
          <a:off x="4552773" y="5415584"/>
          <a:ext cx="1675388" cy="74334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0.26 tons/ha (+/- 0.25)</a:t>
          </a:r>
        </a:p>
      </cdr:txBody>
    </cdr:sp>
  </cdr:relSizeAnchor>
  <cdr:relSizeAnchor xmlns:cdr="http://schemas.openxmlformats.org/drawingml/2006/chartDrawing">
    <cdr:from>
      <cdr:x>0.25445</cdr:x>
      <cdr:y>0.23468</cdr:y>
    </cdr:from>
    <cdr:to>
      <cdr:x>0.43751</cdr:x>
      <cdr:y>0.31296</cdr:y>
    </cdr:to>
    <cdr:sp macro="" textlink="">
      <cdr:nvSpPr>
        <cdr:cNvPr id="3" name="TextBox 3">
          <a:extLst xmlns:a="http://schemas.openxmlformats.org/drawingml/2006/main">
            <a:ext uri="{FF2B5EF4-FFF2-40B4-BE49-F238E27FC236}">
              <a16:creationId xmlns:a16="http://schemas.microsoft.com/office/drawing/2014/main" id="{83FDBD5B-B248-22FC-7087-93B4B0120211}"/>
            </a:ext>
          </a:extLst>
        </cdr:cNvPr>
        <cdr:cNvSpPr txBox="1"/>
      </cdr:nvSpPr>
      <cdr:spPr>
        <a:xfrm xmlns:a="http://schemas.openxmlformats.org/drawingml/2006/main">
          <a:off x="2328738" y="1965879"/>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0.029 tons/ha (+/- 0.04)</a:t>
          </a:r>
        </a:p>
      </cdr:txBody>
    </cdr:sp>
  </cdr:relSizeAnchor>
  <cdr:relSizeAnchor xmlns:cdr="http://schemas.openxmlformats.org/drawingml/2006/chartDrawing">
    <cdr:from>
      <cdr:x>0.38</cdr:x>
      <cdr:y>0.14564</cdr:y>
    </cdr:from>
    <cdr:to>
      <cdr:x>0.56306</cdr:x>
      <cdr:y>0.22392</cdr:y>
    </cdr:to>
    <cdr:sp macro="" textlink="">
      <cdr:nvSpPr>
        <cdr:cNvPr id="4" name="TextBox 3">
          <a:extLst xmlns:a="http://schemas.openxmlformats.org/drawingml/2006/main">
            <a:ext uri="{FF2B5EF4-FFF2-40B4-BE49-F238E27FC236}">
              <a16:creationId xmlns:a16="http://schemas.microsoft.com/office/drawing/2014/main" id="{DE300B17-4879-8397-B006-25311D4A761C}"/>
            </a:ext>
          </a:extLst>
        </cdr:cNvPr>
        <cdr:cNvSpPr txBox="1"/>
      </cdr:nvSpPr>
      <cdr:spPr>
        <a:xfrm xmlns:a="http://schemas.openxmlformats.org/drawingml/2006/main">
          <a:off x="3477784" y="1220005"/>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0.011 tons/ha (+/- 0.02)</a:t>
          </a:r>
        </a:p>
      </cdr:txBody>
    </cdr:sp>
  </cdr:relSizeAnchor>
</c:userShapes>
</file>

<file path=xl/drawings/drawing8.xml><?xml version="1.0" encoding="utf-8"?>
<c:userShapes xmlns:c="http://schemas.openxmlformats.org/drawingml/2006/chart">
  <cdr:relSizeAnchor xmlns:cdr="http://schemas.openxmlformats.org/drawingml/2006/chartDrawing">
    <cdr:from>
      <cdr:x>0.50958</cdr:x>
      <cdr:y>0.62873</cdr:y>
    </cdr:from>
    <cdr:to>
      <cdr:x>0.70518</cdr:x>
      <cdr:y>0.70663</cdr:y>
    </cdr:to>
    <cdr:sp macro="" textlink="">
      <cdr:nvSpPr>
        <cdr:cNvPr id="2" name="TextBox 3">
          <a:extLst xmlns:a="http://schemas.openxmlformats.org/drawingml/2006/main">
            <a:ext uri="{FF2B5EF4-FFF2-40B4-BE49-F238E27FC236}">
              <a16:creationId xmlns:a16="http://schemas.microsoft.com/office/drawing/2014/main" id="{E26BB5B8-E8C7-D460-0447-7317B01FB7BE}"/>
            </a:ext>
          </a:extLst>
        </cdr:cNvPr>
        <cdr:cNvSpPr txBox="1"/>
      </cdr:nvSpPr>
      <cdr:spPr>
        <a:xfrm xmlns:a="http://schemas.openxmlformats.org/drawingml/2006/main">
          <a:off x="4364769" y="5292069"/>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0.19 tons/ha (+/- 0.05)</a:t>
          </a:r>
        </a:p>
      </cdr:txBody>
    </cdr:sp>
  </cdr:relSizeAnchor>
  <cdr:relSizeAnchor xmlns:cdr="http://schemas.openxmlformats.org/drawingml/2006/chartDrawing">
    <cdr:from>
      <cdr:x>0.19421</cdr:x>
      <cdr:y>0.24553</cdr:y>
    </cdr:from>
    <cdr:to>
      <cdr:x>0.38981</cdr:x>
      <cdr:y>0.32343</cdr:y>
    </cdr:to>
    <cdr:sp macro="" textlink="">
      <cdr:nvSpPr>
        <cdr:cNvPr id="3" name="TextBox 3">
          <a:extLst xmlns:a="http://schemas.openxmlformats.org/drawingml/2006/main">
            <a:ext uri="{FF2B5EF4-FFF2-40B4-BE49-F238E27FC236}">
              <a16:creationId xmlns:a16="http://schemas.microsoft.com/office/drawing/2014/main" id="{A99846C1-54B4-E982-375F-73EC2479DC8D}"/>
            </a:ext>
          </a:extLst>
        </cdr:cNvPr>
        <cdr:cNvSpPr txBox="1"/>
      </cdr:nvSpPr>
      <cdr:spPr>
        <a:xfrm xmlns:a="http://schemas.openxmlformats.org/drawingml/2006/main">
          <a:off x="1663498" y="2066673"/>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0.16 tons/ha (+/- 0.02)</a:t>
          </a:r>
        </a:p>
      </cdr:txBody>
    </cdr:sp>
  </cdr:relSizeAnchor>
  <cdr:relSizeAnchor xmlns:cdr="http://schemas.openxmlformats.org/drawingml/2006/chartDrawing">
    <cdr:from>
      <cdr:x>0.32601</cdr:x>
      <cdr:y>0.16889</cdr:y>
    </cdr:from>
    <cdr:to>
      <cdr:x>0.5216</cdr:x>
      <cdr:y>0.24679</cdr:y>
    </cdr:to>
    <cdr:sp macro="" textlink="">
      <cdr:nvSpPr>
        <cdr:cNvPr id="4" name="TextBox 3">
          <a:extLst xmlns:a="http://schemas.openxmlformats.org/drawingml/2006/main">
            <a:ext uri="{FF2B5EF4-FFF2-40B4-BE49-F238E27FC236}">
              <a16:creationId xmlns:a16="http://schemas.microsoft.com/office/drawing/2014/main" id="{66EB508C-A73D-A1AA-9E66-E2C176F0C39D}"/>
            </a:ext>
          </a:extLst>
        </cdr:cNvPr>
        <cdr:cNvSpPr txBox="1"/>
      </cdr:nvSpPr>
      <cdr:spPr>
        <a:xfrm xmlns:a="http://schemas.openxmlformats.org/drawingml/2006/main">
          <a:off x="2792388" y="1421594"/>
          <a:ext cx="1675388" cy="655692"/>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800"/>
            <a:t>0.16 tons/ha (+/- 0.02)</a:t>
          </a:r>
        </a:p>
      </cdr:txBody>
    </cdr:sp>
  </cdr:relSizeAnchor>
</c:userShape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8</v>
    <v>1</v>
  </rv>
  <rv s="1">
    <v>0</v>
    <v>8</v>
    <v>48</v>
    <v>5</v>
  </rv>
</rvData>
</file>

<file path=xl/richData/rdrichvaluestructure.xml><?xml version="1.0" encoding="utf-8"?>
<rvStructures xmlns="http://schemas.microsoft.com/office/spreadsheetml/2017/richdata" count="2">
  <s t="_error">
    <k n="errorType" t="i"/>
    <k n="propagated" t="b"/>
  </s>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1F2CB2E-2811-D347-AAF6-1C97C32AA1D3}" name="Table4" displayName="Table4" ref="A1:E85" totalsRowShown="0" headerRowDxfId="126" dataDxfId="125">
  <autoFilter ref="A1:E85" xr:uid="{F1F2CB2E-2811-D347-AAF6-1C97C32AA1D3}"/>
  <tableColumns count="5">
    <tableColumn id="1" xr3:uid="{DE85C5C8-B57F-E244-84E1-47E3E1437830}" name="Sample ID" dataDxfId="124"/>
    <tableColumn id="2" xr3:uid="{E65C11C6-6965-3D41-B281-FC2A7D6F0F63}" name="Year" dataDxfId="123"/>
    <tableColumn id="3" xr3:uid="{DA857AB3-973C-C84C-A3AE-86D0E4F81C5C}" name="Crop " dataDxfId="122"/>
    <tableColumn id="4" xr3:uid="{AD8CCFC9-BBF6-4E41-AB56-D324777196E5}" name="Plot" dataDxfId="121"/>
    <tableColumn id="5" xr3:uid="{6C748484-06B3-5740-82A3-75B210A9E0AA}" name="&lt;- GRAIN" dataDxfId="120" dataCellStyle="Accent4"/>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530079-D6C5-CC45-A68C-B136F71F576B}" name="Table5" displayName="Table5" ref="F1:J281" totalsRowShown="0" headerRowDxfId="119" dataDxfId="118">
  <autoFilter ref="F1:J281" xr:uid="{41530079-D6C5-CC45-A68C-B136F71F576B}"/>
  <tableColumns count="5">
    <tableColumn id="1" xr3:uid="{9D5B64A1-11CB-8D41-89B6-D2CB42F04B41}" name="CC &amp; RESIDUE -&gt;" dataDxfId="117"/>
    <tableColumn id="2" xr3:uid="{ED292BF9-73DB-A14D-8B27-91DB345971E6}" name="Sample ID" dataDxfId="116"/>
    <tableColumn id="3" xr3:uid="{9DE8200E-29D4-E04B-8C88-78F457A4B088}" name="Year" dataDxfId="115"/>
    <tableColumn id="4" xr3:uid="{56D963E9-3379-B04A-AD56-9A0C03749CF8}" name="Crop " dataDxfId="114"/>
    <tableColumn id="5" xr3:uid="{31BC926A-D4C3-E34F-A8B5-40661018905B}" name="Plot" dataDxfId="11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4425FB-3070-6741-8F34-709B0F2470CF}" name="Table3" displayName="Table3" ref="A5:S15" totalsRowCount="1" headerRowDxfId="112" dataCellStyle="20% - Accent6">
  <autoFilter ref="A5:S14" xr:uid="{604425FB-3070-6741-8F34-709B0F2470CF}"/>
  <tableColumns count="19">
    <tableColumn id="1" xr3:uid="{35762CFF-F244-134F-BCC8-AD5131E62AA4}" name="Year  " dataDxfId="111" totalsRowDxfId="110" dataCellStyle="20% - Accent6" totalsRowCellStyle="20% - Accent6"/>
    <tableColumn id="2" xr3:uid="{F83DAC9B-DC9B-D84F-9E15-28C7CB27F275}" name="Collection date" dataDxfId="109" totalsRowDxfId="108" dataCellStyle="20% - Accent6" totalsRowCellStyle="20% - Accent6"/>
    <tableColumn id="3" xr3:uid="{59E9D095-FB96-0646-A862-BBE948791D7D}" name="DOY" dataDxfId="107" totalsRowDxfId="106" dataCellStyle="20% - Accent6" totalsRowCellStyle="20% - Accent6"/>
    <tableColumn id="4" xr3:uid="{C25C2753-DCDF-5B47-828D-BAE736C569ED}" name="Sample ID # " dataDxfId="105" totalsRowDxfId="104" dataCellStyle="20% - Accent6" totalsRowCellStyle="20% - Accent6"/>
    <tableColumn id="5" xr3:uid="{328399FD-9BB8-214B-B561-15DE3B9E8EAA}" name="Plot #" dataDxfId="103" totalsRowDxfId="102" dataCellStyle="20% - Accent6" totalsRowCellStyle="20% - Accent6"/>
    <tableColumn id="6" xr3:uid="{16A644CF-C041-1B40-B17D-12ACCFC3F8C2}" name="Subplot #" dataDxfId="101" totalsRowDxfId="100" dataCellStyle="20% - Accent6" totalsRowCellStyle="20% - Accent6"/>
    <tableColumn id="7" xr3:uid="{2016050E-AA97-3D4F-BF8E-361C18D4D534}" name="Wet Weight (g)" dataDxfId="99" totalsRowDxfId="98" dataCellStyle="20% - Accent6" totalsRowCellStyle="20% - Accent6"/>
    <tableColumn id="8" xr3:uid="{0159A77B-CCC2-1749-9A60-F3E136D30EEB}" name="Wet -Bag Weight (g) " dataDxfId="97" totalsRowDxfId="96" dataCellStyle="20% - Accent6" totalsRowCellStyle="Accent6">
      <calculatedColumnFormula>Table3[[#This Row],[Wet Weight (g)]]-55.8</calculatedColumnFormula>
    </tableColumn>
    <tableColumn id="9" xr3:uid="{AC72226B-5420-7E43-9D28-880D9660343B}" name="Dry Weight (g) " dataDxfId="95" totalsRowDxfId="94" dataCellStyle="20% - Accent6" totalsRowCellStyle="Accent6"/>
    <tableColumn id="10" xr3:uid="{63AE5329-3F50-ED46-AA98-54FCBAE7AB7C}" name="Dry - Bag (g)" dataDxfId="93" totalsRowDxfId="92" dataCellStyle="20% - Accent6" totalsRowCellStyle="Accent6">
      <calculatedColumnFormula>Table3[[#This Row],[Dry Weight (g) ]]-55.8</calculatedColumnFormula>
    </tableColumn>
    <tableColumn id="11" xr3:uid="{F3AD5DD1-0845-5840-A79C-07CD1A88B1D2}" name="Fresh Yield (kg/ha)" dataDxfId="91" totalsRowDxfId="90" dataCellStyle="20% - Accent6" totalsRowCellStyle="Accent6">
      <calculatedColumnFormula>(Table3[[#This Row],[Wet Weight (g)]]/1000)/0.0001</calculatedColumnFormula>
    </tableColumn>
    <tableColumn id="12" xr3:uid="{002A4ED9-BFD7-A54F-8DF7-1868454A306B}" name="Dry Yield (kg/ha)" dataDxfId="89" totalsRowDxfId="88" dataCellStyle="20% - Accent6" totalsRowCellStyle="Accent6">
      <calculatedColumnFormula>(Table3[[#This Row],[Dry Weight (g) ]]/1000)/0.0001</calculatedColumnFormula>
    </tableColumn>
    <tableColumn id="15" xr3:uid="{2903E78E-1EA9-3246-A8C1-76C3626261A7}" name="Dry Yield (tones/ha)" dataDxfId="87" totalsRowDxfId="86" dataCellStyle="20% - Accent6" totalsRowCellStyle="Accent6">
      <calculatedColumnFormula>Table3[[#This Row],[Dry Yield (kg/ha)]]/1000</calculatedColumnFormula>
    </tableColumn>
    <tableColumn id="13" xr3:uid="{686C0226-C8AE-354F-A294-0FA0CE03B4F1}" name="% Moisture" dataDxfId="85" totalsRowDxfId="84" dataCellStyle="20% - Accent6" totalsRowCellStyle="Accent6">
      <calculatedColumnFormula>((Table3[[#This Row],[Wet -Bag Weight (g) ]]-Table3[[#This Row],[Dry - Bag (g)]])/Table3[[#This Row],[Wet -Bag Weight (g) ]])*100</calculatedColumnFormula>
    </tableColumn>
    <tableColumn id="14" xr3:uid="{4A182F76-5EB6-864B-8775-C0D13A6B8B9E}" name="Yield @ 15% Moisture" totalsRowFunction="custom" dataDxfId="83" totalsRowDxfId="82" dataCellStyle="20% - Accent6" totalsRowCellStyle="Accent6">
      <calculatedColumnFormula>Table3[[#This Row],[Dry Yield (kg/ha)]]*1.155</calculatedColumnFormula>
      <totalsRowFormula>(AVERAGE(Table3[Yield @ 15% Moisture]))/1000</totalsRowFormula>
    </tableColumn>
    <tableColumn id="16" xr3:uid="{8D9D4A0D-81E8-2A40-8779-F1CA0F5EF241}" name="%C" dataDxfId="81" totalsRowDxfId="80" dataCellStyle="20% - Accent6" totalsRowCellStyle="Accent6"/>
    <tableColumn id="17" xr3:uid="{6F28B59B-643D-B245-8147-E493ACD10112}" name="tons C/ha of CC" dataDxfId="79" totalsRowDxfId="78" dataCellStyle="20% - Accent6" totalsRowCellStyle="Accent6">
      <calculatedColumnFormula>Table3[[#This Row],[Dry Yield (tones/ha)]]*(P6/100)</calculatedColumnFormula>
    </tableColumn>
    <tableColumn id="18" xr3:uid="{9421F109-79F8-C44D-9167-39DE8B460C2F}" name="%N" dataDxfId="77" totalsRowDxfId="76" dataCellStyle="20% - Accent6" totalsRowCellStyle="Accent6"/>
    <tableColumn id="19" xr3:uid="{48CF52A2-FB15-894C-9182-EC7A7D2009CA}" name="tons N/ha of CC" dataDxfId="75" totalsRowDxfId="74" dataCellStyle="20% - Accent6" totalsRowCellStyle="Accent6">
      <calculatedColumnFormula>Table3[[#This Row],[Dry Yield (tones/ha)]]*(Table3[[#This Row],[%N]]/100)</calculatedColumnFormula>
    </tableColumn>
  </tableColumns>
  <tableStyleInfo name="TableStyleMedium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1C7154-5538-CB4C-96B1-F8E9D016D090}" name="Table7" displayName="Table7" ref="A4:U52" totalsRowShown="0" headerRowDxfId="73" dataDxfId="72">
  <autoFilter ref="A4:U52" xr:uid="{F21C7154-5538-CB4C-96B1-F8E9D016D090}"/>
  <tableColumns count="21">
    <tableColumn id="1" xr3:uid="{F3FE9BB9-AE43-CE45-8FF3-A5F33E4D4B6D}" name="Year  " dataDxfId="71"/>
    <tableColumn id="2" xr3:uid="{1076B388-EA7E-8944-A21E-11CC57A0E0A9}" name="Collection date" dataDxfId="70"/>
    <tableColumn id="3" xr3:uid="{46BE64E1-2757-E741-8B87-7C01690D65F3}" name="DOY" dataDxfId="69"/>
    <tableColumn id="4" xr3:uid="{78E4FFE6-EE94-C94A-BEDD-0F7B7B748ED9}" name="Sample ID # " dataDxfId="68"/>
    <tableColumn id="5" xr3:uid="{945DE015-1A6E-D246-A251-AC376EEF5D7A}" name="Plot #" dataDxfId="67"/>
    <tableColumn id="6" xr3:uid="{7206A3B3-5DBE-9B49-9E4A-25B4F1F61256}" name="Subplot #" dataDxfId="66"/>
    <tableColumn id="7" xr3:uid="{D9B2F63C-106E-7649-BB0D-BD0D9FF0A951}" name="Sample Wet Weight (g)" dataDxfId="65"/>
    <tableColumn id="8" xr3:uid="{21F42FEA-BC49-9445-992D-67ABF00E5155}" name="Wet - Bag Weight (g) " dataDxfId="64">
      <calculatedColumnFormula>Table7[[#This Row],[Sample Wet Weight (g)]]-55.8</calculatedColumnFormula>
    </tableColumn>
    <tableColumn id="9" xr3:uid="{134025F9-039B-574E-9184-27A7AA757A21}" name="Sample Dry Weight (g) " dataDxfId="63"/>
    <tableColumn id="10" xr3:uid="{B1D6B80A-FC92-1148-9900-442796BC187E}" name="Dry - Bag Weight (g) " dataDxfId="62">
      <calculatedColumnFormula>Table7[[#This Row],[Sample Dry Weight (g) ]]-55.8</calculatedColumnFormula>
    </tableColumn>
    <tableColumn id="11" xr3:uid="{46D9ADD3-F574-694D-9A08-9852B9C3162A}" name="Redry (post Mold Weight) (g) " dataDxfId="61"/>
    <tableColumn id="12" xr3:uid="{8DEA36A8-3C98-4046-8F34-989585D602B3}" name="Moisture Content (%) " dataDxfId="60">
      <calculatedColumnFormula>((Table7[[#This Row],[Wet - Bag Weight (g) ]]-Table7[[#This Row],[Redry (post Mold Weight) (g) ]])/Table7[[#This Row],[Wet - Bag Weight (g) ]])*100</calculatedColumnFormula>
    </tableColumn>
    <tableColumn id="13" xr3:uid="{A422AEEE-CF6D-7D44-80C9-1940DE8B4290}" name="Yield (kg/ha)" dataDxfId="59">
      <calculatedColumnFormula>(Table7[[#This Row],[Redry (post Mold Weight) (g) ]]/1000)/0.0001</calculatedColumnFormula>
    </tableColumn>
    <tableColumn id="14" xr3:uid="{50AE6ADC-3249-5940-B651-9F628370D4C6}" name="Yield @ 15% Moisture (kg/ha)" dataDxfId="58">
      <calculatedColumnFormula>Table7[[#This Row],[Yield (kg/ha)]]*1.155</calculatedColumnFormula>
    </tableColumn>
    <tableColumn id="17" xr3:uid="{5C0DD76E-7E36-D248-8624-E08EE7E38C4E}" name="Yield @ 15% Moisture (tons/ha)2" dataDxfId="57">
      <calculatedColumnFormula>Table7[[#This Row],[Yield @ 15% Moisture (kg/ha)]]/1000</calculatedColumnFormula>
    </tableColumn>
    <tableColumn id="15" xr3:uid="{A3D22BD0-43B5-4642-B9B5-FB74C04BE073}" name="Dry Yield (tons/ha)" dataDxfId="56">
      <calculatedColumnFormula>Table7[[#This Row],[Yield (kg/ha)]]/1000</calculatedColumnFormula>
    </tableColumn>
    <tableColumn id="18" xr3:uid="{F38FC25F-852D-0642-9840-263C616C6A1C}" name="%C" dataDxfId="55"/>
    <tableColumn id="16" xr3:uid="{A914E87A-FED7-1E4A-B4BA-E96FFDAE3E38}" name="tons C/ha in V6 Corn" dataDxfId="54" dataCellStyle="40% - Accent6">
      <calculatedColumnFormula>Table7[[#This Row],[Dry Yield (tons/ha)]]*(Table7[[#This Row],[%C]]/100)</calculatedColumnFormula>
    </tableColumn>
    <tableColumn id="19" xr3:uid="{50ADD89E-BFA7-554A-B74F-D0CF9B990EA9}" name="%N" dataDxfId="53"/>
    <tableColumn id="20" xr3:uid="{3FD262D7-138E-7C44-A3EB-AFFE15990936}" name="tons N/ha in V6 Corn" dataDxfId="52">
      <calculatedColumnFormula>Table7[[#This Row],[Dry Yield (tons/ha)]]*(Table7[[#This Row],[%N]]/100)</calculatedColumnFormula>
    </tableColumn>
    <tableColumn id="21" xr3:uid="{02E0772E-0E32-FB45-BA54-553FAF3C4CC2}" name="kg N /ha " dataDxfId="51">
      <calculatedColumnFormula>Table7[[#This Row],[Yield (kg/ha)]]*(Table7[[#This Row],[%N]]/100)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11C0DB6-E52D-574A-AAAA-C6D42DE891D6}" name="Table8" displayName="Table8" ref="A2:O87" totalsRowShown="0" headerRowDxfId="50" dataDxfId="49">
  <autoFilter ref="A2:O87" xr:uid="{811C0DB6-E52D-574A-AAAA-C6D42DE891D6}"/>
  <tableColumns count="15">
    <tableColumn id="1" xr3:uid="{9E2C442B-DB62-EE42-B329-7B250CA69B77}" name="Year  " dataDxfId="48"/>
    <tableColumn id="2" xr3:uid="{57FC9E3E-4F0B-2C4A-A109-900D16358C56}" name="Collection DOY" dataDxfId="47"/>
    <tableColumn id="4" xr3:uid="{8A8442FB-03CF-C649-8183-184F8518C72D}" name="Plot " dataDxfId="46"/>
    <tableColumn id="5" xr3:uid="{514132C2-199C-6E46-ACFE-609016056787}" name="Subplot" dataDxfId="45"/>
    <tableColumn id="6" xr3:uid="{1DAFDC2D-5247-2B4F-90EC-17BA053FEF5C}" name="Part" dataDxfId="44"/>
    <tableColumn id="7" xr3:uid="{02E857A1-BD0A-F047-8E94-BA235F82C038}" name="# of Plants" dataDxfId="43"/>
    <tableColumn id="10" xr3:uid="{06A35B66-4771-654B-B1A7-3658FDE7EE79}" name="Whole Sample Wet Weight (g)" dataDxfId="42"/>
    <tableColumn id="11" xr3:uid="{8AFE3735-3A92-B946-A37A-E35E9635B2EE}" name="Wet Weight of 3 plants (g) " dataDxfId="41"/>
    <tableColumn id="12" xr3:uid="{2ADD7676-D139-E642-A020-EE8CD6F67C24}" name="Wet - Bag Weight (g) " dataDxfId="40">
      <calculatedColumnFormula>Table8[[#This Row],[Wet Weight of 3 plants (g) ]]-55.8</calculatedColumnFormula>
    </tableColumn>
    <tableColumn id="3" xr3:uid="{BC722493-44F0-0E44-B64E-891BA3229EDE}" name="Wet weight of 1m2 of corn" dataDxfId="39" dataCellStyle="40% - Accent6">
      <calculatedColumnFormula>Table8[[#This Row],[Wet - Bag Weight (g) ]]/3</calculatedColumnFormula>
    </tableColumn>
    <tableColumn id="13" xr3:uid="{7A093C47-56C3-5E43-9FB3-E36F716008FF}" name="DRY Sample Weight (g) (3 Plants) " dataDxfId="38"/>
    <tableColumn id="14" xr3:uid="{58639805-6429-4846-B453-553204BD204A}" name="DRY Sample - Bag Weight (g) " dataDxfId="37">
      <calculatedColumnFormula>Table8[[#This Row],[DRY Sample Weight (g) (3 Plants) ]]-55.8</calculatedColumnFormula>
    </tableColumn>
    <tableColumn id="15" xr3:uid="{12931B09-688F-CD43-8252-D3D82605CA26}" name="Moisture Loss (g) " dataDxfId="36">
      <calculatedColumnFormula>I3-L3</calculatedColumnFormula>
    </tableColumn>
    <tableColumn id="9" xr3:uid="{683DB0FE-6876-294E-925A-16D4A5F447CF}" name="Dry Weight of 1m2 of Corn" dataDxfId="35">
      <calculatedColumnFormula>(Table8[[#This Row],[DRY Sample - Bag Weight (g) ]]/3)*Table8[[#This Row],['# of Plants]]</calculatedColumnFormula>
    </tableColumn>
    <tableColumn id="8" xr3:uid="{76358038-4958-AC4C-9139-C7F250327640}" name="Dry Stover Weight + COB" dataDxfId="34">
      <calculatedColumnFormula>Table8[[#This Row],[Dry Weight of 1m2 of Corn]]+J93</calculatedColumnFormula>
    </tableColumn>
  </tableColumns>
  <tableStyleInfo name="TableStyleMedium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EBE6695-DF81-614F-BFB7-111DFFE06FA0}" name="Table9" displayName="Table9" ref="P92:AB143" totalsRowShown="0" headerRowDxfId="33" dataDxfId="32" headerRowCellStyle="Accent4" dataCellStyle="20% - Accent4">
  <autoFilter ref="P92:AB143" xr:uid="{4EBE6695-DF81-614F-BFB7-111DFFE06FA0}"/>
  <tableColumns count="13">
    <tableColumn id="1" xr3:uid="{D5BAF8CC-5B4B-BD4E-9ED2-7371C44D69CD}" name="Plot " dataDxfId="31" dataCellStyle="20% - Accent4"/>
    <tableColumn id="2" xr3:uid="{9E3EB9BE-9429-864C-9996-C58351F911CC}" name="Subplot" dataDxfId="30" dataCellStyle="20% - Accent4"/>
    <tableColumn id="3" xr3:uid="{A1A9569A-D03F-1243-A651-F5E2E63FEFDA}" name="SAMPLE ID" dataDxfId="29" dataCellStyle="20% - Accent4"/>
    <tableColumn id="4" xr3:uid="{011512D4-EE28-974C-A867-2B8F4AA5610A}" name="Wet Cob Weight (g) " dataDxfId="28" dataCellStyle="20% - Accent4"/>
    <tableColumn id="6" xr3:uid="{BA1CEA20-15A8-FB4F-BF0E-E99BF86197DA}" name="Dried Grain Weight (g) " dataDxfId="27" dataCellStyle="20% - Accent4"/>
    <tableColumn id="7" xr3:uid="{47C0145F-A4E3-D344-A1A5-280A88806564}" name="Moisture Loss (g) " dataDxfId="26" dataCellStyle="20% - Accent4">
      <calculatedColumnFormula>Table9[[#This Row],[Wet Cob Weight (g) ]]-Table9[[#This Row],[Dried Grain Weight (g) ]]</calculatedColumnFormula>
    </tableColumn>
    <tableColumn id="8" xr3:uid="{85B6A0E1-51D6-BA4A-91C1-B78E2DC7133E}" name="% Moisture " dataDxfId="25" dataCellStyle="20% - Accent4">
      <calculatedColumnFormula>(Table9[[#This Row],[Moisture Loss (g) ]]/Table9[[#This Row],[Wet Cob Weight (g) ]])*100</calculatedColumnFormula>
    </tableColumn>
    <tableColumn id="9" xr3:uid="{2538A014-C78B-7342-8193-3EF072B8F45D}" name="Yield (kg/ha)" dataDxfId="24" dataCellStyle="20% - Accent4">
      <calculatedColumnFormula>((Table9[[#This Row],[Dried Grain Weight (g) ]]/1000)/0.0001)/2</calculatedColumnFormula>
    </tableColumn>
    <tableColumn id="10" xr3:uid="{3888638A-02C0-7A49-B21C-EA5001924EA4}" name="Yield (KG/HA) Corrected to 15.5% Moisture" dataDxfId="23" dataCellStyle="20% - Accent4">
      <calculatedColumnFormula>Table9[[#This Row],[Yield (kg/ha)]]*1.155</calculatedColumnFormula>
    </tableColumn>
    <tableColumn id="12" xr3:uid="{ACE2E910-1F95-4E4F-9312-F0CA18BCF3A1}" name="Yield (tons/ha)" dataDxfId="22" dataCellStyle="20% - Accent4"/>
    <tableColumn id="13" xr3:uid="{47A462AD-E7AB-7F48-B6D9-5F525E1F0C29}" name="Yield (tons/ha) Corrected to 15.5% Moisture" dataDxfId="21" dataCellStyle="20% - Accent4"/>
    <tableColumn id="5" xr3:uid="{3D13AAED-FE8A-6744-9253-973071D77E21}" name="% C " dataDxfId="20" dataCellStyle="20% - Accent4"/>
    <tableColumn id="11" xr3:uid="{2FBCA830-8926-3440-A281-F6482AF42D05}" name="% N" dataDxfId="19" dataCellStyle="20% - Accent4"/>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9C15439-38A3-F84A-9FE8-4F31B360FA41}" name="Table911" displayName="Table911" ref="Q2:AG50" totalsRowShown="0" headerRowDxfId="18" dataDxfId="17" headerRowCellStyle="Accent6" dataCellStyle="20% - Accent6">
  <autoFilter ref="Q2:AG50" xr:uid="{49C15439-38A3-F84A-9FE8-4F31B360FA41}"/>
  <tableColumns count="17">
    <tableColumn id="1" xr3:uid="{BCEBD03F-D0B1-C34B-8A08-45308FE37443}" name="Plot " dataDxfId="16" dataCellStyle="20% - Accent6"/>
    <tableColumn id="2" xr3:uid="{A88C8AC3-3300-1F4B-A748-F93417166AD7}" name="Subplot" dataDxfId="15" dataCellStyle="20% - Accent6"/>
    <tableColumn id="3" xr3:uid="{EB318F23-90AF-914B-989B-176CD01A67A4}" name="SAMPLE ID" dataDxfId="14" dataCellStyle="20% - Accent6"/>
    <tableColumn id="5" xr3:uid="{B2974FC8-D697-F340-B24E-60C215435FF0}" name="Biomass Wet Weight (g/m2)" dataDxfId="13" dataCellStyle="20% - Accent6"/>
    <tableColumn id="6" xr3:uid="{A1D2F083-CB79-E94D-B2C2-129B8C47C3CB}" name="Dry Sample Weight (g/m2) " dataDxfId="12" dataCellStyle="20% - Accent6"/>
    <tableColumn id="7" xr3:uid="{37B5E26B-D15F-2F44-93E9-822923B2F842}" name="Moisture loss (g)" dataDxfId="11" dataCellStyle="20% - Accent6">
      <calculatedColumnFormula>Table911[[#This Row],[Biomass Wet Weight (g/m2)]]-Table911[[#This Row],[Dry Sample Weight (g/m2) ]]</calculatedColumnFormula>
    </tableColumn>
    <tableColumn id="8" xr3:uid="{DFD25410-10A1-4348-8B03-A2ABAD83A3DA}" name="% Moisture" dataDxfId="10" dataCellStyle="20% - Accent6">
      <calculatedColumnFormula>(Table911[[#This Row],[Moisture loss (g)]]/Table911[[#This Row],[Biomass Wet Weight (g/m2)]])*100</calculatedColumnFormula>
    </tableColumn>
    <tableColumn id="9" xr3:uid="{3BC846C6-5683-0E40-BDDF-C7B625F3EFE6}" name="Dry Yield (kg/ha)" dataDxfId="9" dataCellStyle="20% - Accent6">
      <calculatedColumnFormula>Table911[[#This Row],[Dry Sample Weight (g/m2) ]]*(10000/1000)</calculatedColumnFormula>
    </tableColumn>
    <tableColumn id="10" xr3:uid="{31AE0D47-A4D8-7E40-AF60-A5B0E42CEE9A}" name="Yield (kg/ha) Corrected to 15% M" dataDxfId="8" dataCellStyle="40% - Accent6">
      <calculatedColumnFormula>Table911[[#This Row],[Dry Yield (kg/ha)]]*1.155</calculatedColumnFormula>
    </tableColumn>
    <tableColumn id="4" xr3:uid="{3584CAC9-BAF8-084F-A5DC-3CF7FC32ADFD}" name="Dry Yield (tons/ha)" dataDxfId="7" dataCellStyle="40% - Accent6">
      <calculatedColumnFormula>Table911[[#This Row],[Dry Yield (kg/ha)]]/1000</calculatedColumnFormula>
    </tableColumn>
    <tableColumn id="11" xr3:uid="{85A1F217-7836-8743-9BBF-7E8CE56D5DF6}" name="Yield (tons/ha) Corrected to 15% Moisture" dataDxfId="6" dataCellStyle="20% - Accent6">
      <calculatedColumnFormula>Table911[[#This Row],[Dry Yield (tons/ha)]]*1.15</calculatedColumnFormula>
    </tableColumn>
    <tableColumn id="12" xr3:uid="{294367FC-52C9-6642-B129-907FDFABF4B4}" name="%C  (Dry)" dataDxfId="5" dataCellStyle="20% - Accent6"/>
    <tableColumn id="15" xr3:uid="{02A78451-E5E0-474E-8128-062CFADA6FDF}" name="tons C/ha in Corn" dataDxfId="4" dataCellStyle="40% - Accent6">
      <calculatedColumnFormula>Table911[[#This Row],[Dry Yield (tons/ha)]]*(Table911[[#This Row],[%C  (Dry)]]/100)</calculatedColumnFormula>
    </tableColumn>
    <tableColumn id="13" xr3:uid="{E6F62FA5-F351-E846-877C-331CD3660838}" name="%N (Dry)" dataDxfId="3" dataCellStyle="20% - Accent6"/>
    <tableColumn id="14" xr3:uid="{E1EFED2A-E588-B74F-AEC6-FAE4C088C630}" name="tons N/ha in Corn" dataDxfId="2" dataCellStyle="20% - Accent6">
      <calculatedColumnFormula>Table911[[#This Row],[Dry Yield (tons/ha)]]*(Table911[[#This Row],[%N (Dry)]]/100)</calculatedColumnFormula>
    </tableColumn>
    <tableColumn id="16" xr3:uid="{D886DC7A-25DC-2341-BD08-BC6464AC3259}" name="Kg N /ha of Corn" dataDxfId="1" dataCellStyle="20% - Accent6">
      <calculatedColumnFormula>Table911[[#This Row],[Yield (kg/ha) Corrected to 15% M]]*(Table911[[#This Row],[%N (Dry)]]/100)</calculatedColumnFormula>
    </tableColumn>
    <tableColumn id="17" xr3:uid="{D3A10057-1A25-6447-B34C-7CFEC41BC1D6}" name="Column1" dataDxfId="0" dataCellStyle="20% - Accent6">
      <calculatedColumnFormula>AVERAGE(AF3:AF11)</calculatedColumnFormula>
    </tableColumn>
  </tableColumns>
  <tableStyleInfo name="TableStyleMedium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040B-C8DB-A245-8273-5F7476A91B21}">
  <dimension ref="A1:AC22"/>
  <sheetViews>
    <sheetView workbookViewId="0">
      <selection activeCell="G30" sqref="G30"/>
    </sheetView>
  </sheetViews>
  <sheetFormatPr defaultColWidth="11" defaultRowHeight="15.5"/>
  <cols>
    <col min="1" max="1" width="30.58203125" customWidth="1"/>
    <col min="3" max="3" width="52.83203125" customWidth="1"/>
    <col min="4" max="4" width="21.33203125" customWidth="1"/>
    <col min="7" max="7" width="17.83203125" customWidth="1"/>
    <col min="8" max="8" width="16.08203125" customWidth="1"/>
    <col min="9" max="9" width="19.5" customWidth="1"/>
    <col min="10" max="10" width="34.83203125" customWidth="1"/>
    <col min="11" max="11" width="18.33203125" customWidth="1"/>
  </cols>
  <sheetData>
    <row r="1" spans="1:29">
      <c r="A1" t="s">
        <v>0</v>
      </c>
      <c r="C1" t="s">
        <v>1</v>
      </c>
    </row>
    <row r="2" spans="1:29">
      <c r="A2" s="1" t="s">
        <v>2</v>
      </c>
      <c r="B2" s="1"/>
      <c r="C2" s="1"/>
      <c r="E2" s="2" t="s">
        <v>3</v>
      </c>
      <c r="F2" s="2"/>
      <c r="G2" s="2"/>
      <c r="H2" s="2"/>
    </row>
    <row r="3" spans="1:29">
      <c r="A3" s="1" t="s">
        <v>4</v>
      </c>
      <c r="B3" s="1"/>
      <c r="C3" s="1"/>
      <c r="E3" s="2"/>
      <c r="F3" s="2"/>
      <c r="G3" s="2"/>
      <c r="H3" s="2"/>
    </row>
    <row r="4" spans="1:29">
      <c r="A4" s="1" t="s">
        <v>5</v>
      </c>
      <c r="B4" s="1"/>
      <c r="C4" s="1"/>
      <c r="E4" s="2"/>
      <c r="F4" s="2"/>
      <c r="G4" s="2"/>
      <c r="H4" s="2"/>
    </row>
    <row r="5" spans="1:29">
      <c r="A5" s="1" t="s">
        <v>6</v>
      </c>
      <c r="B5" s="1"/>
      <c r="C5" s="1"/>
      <c r="E5" s="2"/>
      <c r="F5" s="2"/>
      <c r="G5" s="2"/>
      <c r="H5" s="2"/>
    </row>
    <row r="6" spans="1:29">
      <c r="A6" s="1" t="s">
        <v>7</v>
      </c>
      <c r="B6" s="1"/>
      <c r="C6" s="1"/>
      <c r="E6" s="2"/>
      <c r="F6" s="2"/>
      <c r="G6" s="2"/>
      <c r="H6" s="2"/>
    </row>
    <row r="7" spans="1:29">
      <c r="A7" s="1" t="s">
        <v>8</v>
      </c>
      <c r="B7" s="1"/>
      <c r="C7" s="1"/>
      <c r="E7" s="2"/>
      <c r="F7" s="2"/>
      <c r="G7" s="2"/>
      <c r="H7" s="2"/>
    </row>
    <row r="8" spans="1:29">
      <c r="A8" s="1" t="s">
        <v>9</v>
      </c>
      <c r="B8" s="1"/>
      <c r="C8" s="1"/>
      <c r="E8" s="2"/>
      <c r="F8" s="2"/>
      <c r="G8" s="2"/>
      <c r="H8" s="2"/>
    </row>
    <row r="9" spans="1:29">
      <c r="A9" s="1" t="s">
        <v>10</v>
      </c>
      <c r="B9" s="1"/>
      <c r="C9" s="1"/>
      <c r="E9" s="2"/>
      <c r="F9" s="2"/>
      <c r="G9" s="2"/>
      <c r="H9" s="2"/>
    </row>
    <row r="10" spans="1:29">
      <c r="A10" s="1" t="s">
        <v>11</v>
      </c>
      <c r="B10" s="1" t="s">
        <v>12</v>
      </c>
      <c r="C10" s="1"/>
      <c r="E10" s="2"/>
      <c r="F10" s="2"/>
      <c r="G10" s="2"/>
      <c r="H10" s="2"/>
    </row>
    <row r="12" spans="1:29">
      <c r="A12" s="3" t="s">
        <v>13</v>
      </c>
      <c r="B12" s="3"/>
      <c r="C12" s="3"/>
      <c r="D12" s="3"/>
      <c r="E12" s="3" t="s">
        <v>14</v>
      </c>
      <c r="F12" s="3"/>
      <c r="G12" s="3"/>
      <c r="H12" s="3"/>
      <c r="I12" s="3"/>
      <c r="J12" s="3"/>
      <c r="K12" s="3"/>
      <c r="L12" s="3"/>
      <c r="M12" s="3"/>
      <c r="N12" s="3"/>
      <c r="O12" s="3"/>
      <c r="P12" s="3"/>
      <c r="Q12" s="3"/>
      <c r="R12" s="3"/>
      <c r="S12" s="3"/>
      <c r="T12" s="3"/>
      <c r="U12" s="3"/>
      <c r="V12" s="3"/>
      <c r="W12" s="3"/>
      <c r="X12" s="3"/>
      <c r="Y12" s="3"/>
      <c r="Z12" s="3"/>
      <c r="AA12" s="3"/>
      <c r="AB12" s="3"/>
      <c r="AC12" s="3"/>
    </row>
    <row r="13" spans="1:29">
      <c r="A13" s="4" t="s">
        <v>15</v>
      </c>
      <c r="B13" s="4" t="s">
        <v>16</v>
      </c>
      <c r="C13" s="4" t="s">
        <v>17</v>
      </c>
      <c r="D13" s="4" t="s">
        <v>18</v>
      </c>
      <c r="E13" s="4" t="s">
        <v>19</v>
      </c>
      <c r="F13" s="4" t="s">
        <v>20</v>
      </c>
      <c r="G13" s="4" t="s">
        <v>21</v>
      </c>
      <c r="H13" s="4" t="s">
        <v>22</v>
      </c>
      <c r="I13" s="4" t="s">
        <v>23</v>
      </c>
      <c r="J13" s="4" t="s">
        <v>24</v>
      </c>
      <c r="K13" s="4" t="s">
        <v>25</v>
      </c>
      <c r="L13" s="4"/>
      <c r="M13" s="4"/>
      <c r="N13" s="4"/>
      <c r="O13" s="4"/>
      <c r="P13" s="4"/>
      <c r="Q13" s="4"/>
      <c r="R13" s="4"/>
      <c r="S13" s="4"/>
      <c r="T13" s="4"/>
      <c r="U13" s="4"/>
      <c r="V13" s="4"/>
      <c r="W13" s="4"/>
      <c r="X13" s="4"/>
      <c r="Y13" s="4"/>
      <c r="Z13" s="4"/>
      <c r="AA13" s="4"/>
      <c r="AB13" s="4"/>
      <c r="AC13" s="4"/>
    </row>
    <row r="14" spans="1:29">
      <c r="A14" s="5">
        <v>44041</v>
      </c>
      <c r="B14" s="6">
        <v>211</v>
      </c>
      <c r="C14" s="7" t="s">
        <v>26</v>
      </c>
      <c r="D14" s="6" t="s">
        <v>27</v>
      </c>
      <c r="E14" s="8" t="s">
        <v>28</v>
      </c>
      <c r="F14" s="9" t="s">
        <v>28</v>
      </c>
      <c r="G14" s="8" t="s">
        <v>28</v>
      </c>
      <c r="H14" s="9" t="s">
        <v>28</v>
      </c>
      <c r="I14" s="8" t="s">
        <v>28</v>
      </c>
      <c r="J14" s="11" t="s">
        <v>29</v>
      </c>
      <c r="K14" s="7" t="s">
        <v>30</v>
      </c>
      <c r="L14" s="7"/>
      <c r="M14" s="7"/>
      <c r="N14" s="7"/>
      <c r="O14" s="7"/>
      <c r="P14" s="7"/>
      <c r="Q14" s="7"/>
      <c r="R14" s="7"/>
      <c r="S14" s="7"/>
      <c r="T14" s="7"/>
      <c r="U14" s="7"/>
      <c r="V14" s="7"/>
      <c r="W14" s="7"/>
      <c r="X14" s="7"/>
      <c r="Y14" s="7"/>
      <c r="Z14" s="7"/>
      <c r="AA14" s="7"/>
      <c r="AB14" s="7"/>
      <c r="AC14" s="7"/>
    </row>
    <row r="15" spans="1:29">
      <c r="A15" s="5">
        <v>44091</v>
      </c>
      <c r="B15" s="6">
        <v>261</v>
      </c>
      <c r="C15" s="7" t="s">
        <v>26</v>
      </c>
      <c r="D15" s="6" t="s">
        <v>27</v>
      </c>
      <c r="E15" s="8" t="s">
        <v>28</v>
      </c>
      <c r="F15" s="9" t="s">
        <v>28</v>
      </c>
      <c r="G15" s="8" t="s">
        <v>28</v>
      </c>
      <c r="H15" s="9" t="s">
        <v>28</v>
      </c>
      <c r="I15" s="8" t="s">
        <v>28</v>
      </c>
      <c r="J15" s="11" t="s">
        <v>29</v>
      </c>
      <c r="K15" s="7" t="s">
        <v>31</v>
      </c>
      <c r="L15" s="7"/>
      <c r="M15" s="7"/>
      <c r="N15" s="7"/>
      <c r="O15" s="7"/>
      <c r="P15" s="7"/>
      <c r="Q15" s="7"/>
      <c r="R15" s="7"/>
      <c r="S15" s="7"/>
      <c r="T15" s="7"/>
      <c r="U15" s="7"/>
      <c r="V15" s="7"/>
      <c r="W15" s="7"/>
      <c r="X15" s="7"/>
      <c r="Y15" s="7"/>
      <c r="Z15" s="7"/>
      <c r="AA15" s="7"/>
      <c r="AB15" s="7"/>
      <c r="AC15" s="7"/>
    </row>
    <row r="16" spans="1:29">
      <c r="A16" s="5">
        <v>44144</v>
      </c>
      <c r="B16" s="6">
        <v>314</v>
      </c>
      <c r="C16" s="7" t="s">
        <v>32</v>
      </c>
      <c r="D16" s="6" t="s">
        <v>27</v>
      </c>
      <c r="E16" s="8" t="s">
        <v>28</v>
      </c>
      <c r="F16" s="9" t="s">
        <v>28</v>
      </c>
      <c r="G16" s="8" t="s">
        <v>28</v>
      </c>
      <c r="H16" s="9" t="s">
        <v>28</v>
      </c>
      <c r="I16" s="8" t="s">
        <v>28</v>
      </c>
      <c r="J16" s="11" t="s">
        <v>33</v>
      </c>
      <c r="K16" s="7" t="s">
        <v>34</v>
      </c>
      <c r="L16" s="7"/>
      <c r="M16" s="7"/>
      <c r="N16" s="7"/>
      <c r="O16" s="7"/>
      <c r="P16" s="7"/>
      <c r="Q16" s="7"/>
      <c r="R16" s="7"/>
      <c r="S16" s="7"/>
      <c r="T16" s="7"/>
      <c r="U16" s="7"/>
      <c r="V16" s="7"/>
      <c r="W16" s="7"/>
      <c r="X16" s="7"/>
      <c r="Y16" s="7"/>
      <c r="Z16" s="7"/>
      <c r="AA16" s="7"/>
      <c r="AB16" s="7"/>
      <c r="AC16" s="7"/>
    </row>
    <row r="17" spans="1:29">
      <c r="A17" s="5">
        <v>44146</v>
      </c>
      <c r="B17" s="6">
        <v>316</v>
      </c>
      <c r="C17" s="7" t="s">
        <v>32</v>
      </c>
      <c r="D17" s="6" t="s">
        <v>27</v>
      </c>
      <c r="E17" s="8" t="s">
        <v>28</v>
      </c>
      <c r="F17" s="9" t="s">
        <v>28</v>
      </c>
      <c r="G17" s="8" t="s">
        <v>28</v>
      </c>
      <c r="H17" s="9" t="s">
        <v>28</v>
      </c>
      <c r="I17" s="8" t="s">
        <v>28</v>
      </c>
      <c r="J17" s="11" t="s">
        <v>33</v>
      </c>
      <c r="K17" s="7" t="s">
        <v>35</v>
      </c>
      <c r="L17" s="7"/>
      <c r="M17" s="7"/>
      <c r="N17" s="7"/>
      <c r="O17" s="7"/>
      <c r="P17" s="7"/>
      <c r="Q17" s="7"/>
      <c r="R17" s="7"/>
      <c r="S17" s="7"/>
      <c r="T17" s="7"/>
      <c r="U17" s="7"/>
      <c r="V17" s="7"/>
      <c r="W17" s="7"/>
      <c r="X17" s="7"/>
      <c r="Y17" s="7"/>
      <c r="Z17" s="7"/>
      <c r="AA17" s="7"/>
      <c r="AB17" s="7"/>
      <c r="AC17" s="7"/>
    </row>
    <row r="18" spans="1:29">
      <c r="A18" s="5">
        <v>44326</v>
      </c>
      <c r="B18" s="6">
        <v>130</v>
      </c>
      <c r="C18" s="7" t="s">
        <v>32</v>
      </c>
      <c r="D18" s="6" t="s">
        <v>27</v>
      </c>
      <c r="E18" s="8" t="s">
        <v>28</v>
      </c>
      <c r="F18" s="9" t="s">
        <v>28</v>
      </c>
      <c r="G18" s="8" t="s">
        <v>28</v>
      </c>
      <c r="H18" s="9" t="s">
        <v>28</v>
      </c>
      <c r="I18" s="8"/>
      <c r="J18" s="11" t="s">
        <v>33</v>
      </c>
      <c r="K18" s="7" t="s">
        <v>36</v>
      </c>
      <c r="L18" s="7"/>
      <c r="M18" s="7"/>
      <c r="N18" s="7"/>
      <c r="O18" s="7"/>
      <c r="P18" s="7"/>
      <c r="Q18" s="7"/>
      <c r="R18" s="7"/>
      <c r="S18" s="7"/>
      <c r="T18" s="7"/>
      <c r="U18" s="7"/>
      <c r="V18" s="7"/>
      <c r="W18" s="7"/>
      <c r="X18" s="7"/>
      <c r="Y18" s="7"/>
      <c r="Z18" s="7"/>
      <c r="AA18" s="7"/>
      <c r="AB18" s="7"/>
      <c r="AC18" s="7"/>
    </row>
    <row r="19" spans="1:29">
      <c r="A19" s="12" t="s">
        <v>37</v>
      </c>
      <c r="B19" s="6">
        <v>174</v>
      </c>
      <c r="C19" s="7" t="s">
        <v>32</v>
      </c>
      <c r="D19" s="6" t="s">
        <v>27</v>
      </c>
      <c r="E19" s="8" t="s">
        <v>28</v>
      </c>
      <c r="F19" s="9" t="s">
        <v>28</v>
      </c>
      <c r="G19" s="8" t="s">
        <v>28</v>
      </c>
      <c r="H19" s="9" t="s">
        <v>28</v>
      </c>
      <c r="I19" s="8"/>
      <c r="J19" s="11" t="s">
        <v>33</v>
      </c>
      <c r="K19" s="13" t="s">
        <v>38</v>
      </c>
      <c r="L19" s="7"/>
      <c r="M19" s="7"/>
      <c r="N19" s="7"/>
      <c r="O19" s="7"/>
      <c r="P19" s="7"/>
      <c r="Q19" s="7"/>
      <c r="R19" s="7"/>
      <c r="S19" s="7"/>
      <c r="T19" s="7"/>
      <c r="U19" s="7"/>
      <c r="V19" s="7"/>
      <c r="W19" s="7"/>
      <c r="X19" s="7"/>
      <c r="Y19" s="7"/>
      <c r="Z19" s="7"/>
      <c r="AA19" s="7"/>
      <c r="AB19" s="7"/>
      <c r="AC19" s="7"/>
    </row>
    <row r="20" spans="1:29">
      <c r="A20" s="12" t="s">
        <v>39</v>
      </c>
      <c r="B20" s="6" t="s">
        <v>40</v>
      </c>
      <c r="C20" s="7" t="s">
        <v>41</v>
      </c>
      <c r="D20" s="6" t="s">
        <v>27</v>
      </c>
      <c r="E20" s="8" t="s">
        <v>28</v>
      </c>
      <c r="F20" s="9" t="s">
        <v>28</v>
      </c>
      <c r="G20" s="8" t="s">
        <v>28</v>
      </c>
      <c r="H20" s="9" t="s">
        <v>28</v>
      </c>
      <c r="I20" s="8"/>
      <c r="J20" s="11" t="s">
        <v>33</v>
      </c>
      <c r="K20" s="13" t="s">
        <v>42</v>
      </c>
      <c r="L20" s="7"/>
      <c r="M20" s="7"/>
      <c r="N20" s="7"/>
      <c r="O20" s="7"/>
      <c r="P20" s="7"/>
      <c r="Q20" s="7"/>
      <c r="R20" s="7"/>
      <c r="S20" s="7"/>
      <c r="T20" s="7"/>
      <c r="U20" s="7"/>
      <c r="V20" s="7"/>
      <c r="W20" s="7"/>
      <c r="X20" s="7"/>
      <c r="Y20" s="7"/>
      <c r="Z20" s="7"/>
      <c r="AA20" s="7"/>
      <c r="AB20" s="7"/>
      <c r="AC20" s="7"/>
    </row>
    <row r="21" spans="1:29">
      <c r="A21" s="12" t="s">
        <v>43</v>
      </c>
      <c r="B21" s="6" t="s">
        <v>44</v>
      </c>
      <c r="C21" s="7" t="s">
        <v>45</v>
      </c>
      <c r="D21" s="6" t="s">
        <v>27</v>
      </c>
      <c r="E21" s="8" t="s">
        <v>28</v>
      </c>
      <c r="F21" s="9" t="s">
        <v>28</v>
      </c>
      <c r="G21" s="8" t="s">
        <v>28</v>
      </c>
      <c r="H21" s="9" t="s">
        <v>28</v>
      </c>
      <c r="I21" s="10"/>
      <c r="J21" s="11" t="s">
        <v>33</v>
      </c>
      <c r="K21" s="13" t="s">
        <v>46</v>
      </c>
      <c r="L21" s="7"/>
      <c r="M21" s="7"/>
      <c r="N21" s="7"/>
      <c r="O21" s="7"/>
      <c r="P21" s="7"/>
      <c r="Q21" s="7"/>
      <c r="R21" s="7"/>
      <c r="S21" s="7"/>
      <c r="T21" s="7"/>
      <c r="U21" s="7"/>
      <c r="V21" s="7"/>
      <c r="W21" s="7"/>
      <c r="X21" s="7"/>
      <c r="Y21" s="7"/>
      <c r="Z21" s="7"/>
      <c r="AA21" s="7"/>
      <c r="AB21" s="7"/>
      <c r="AC21" s="7"/>
    </row>
    <row r="22" spans="1:29">
      <c r="A22" s="139" t="s">
        <v>47</v>
      </c>
      <c r="B22" s="4" t="s">
        <v>48</v>
      </c>
      <c r="C22" s="4"/>
      <c r="D22" s="4"/>
      <c r="E22" s="4"/>
      <c r="F2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FE6C-31DF-AE42-8D32-6B2C6E194545}">
  <dimension ref="A1:M592"/>
  <sheetViews>
    <sheetView zoomScale="75" workbookViewId="0">
      <selection activeCell="T79" sqref="T79"/>
    </sheetView>
  </sheetViews>
  <sheetFormatPr defaultColWidth="11" defaultRowHeight="15.5"/>
  <cols>
    <col min="1" max="1" width="13.5" customWidth="1"/>
    <col min="2" max="2" width="14.08203125" customWidth="1"/>
    <col min="3" max="3" width="17.33203125" customWidth="1"/>
    <col min="4" max="4" width="13.83203125" customWidth="1"/>
    <col min="5" max="5" width="17" customWidth="1"/>
    <col min="6" max="6" width="16.5" customWidth="1"/>
    <col min="7" max="7" width="14.33203125" customWidth="1"/>
    <col min="8" max="8" width="14.58203125" customWidth="1"/>
    <col min="9" max="9" width="21.33203125" customWidth="1"/>
    <col min="10" max="10" width="15" customWidth="1"/>
  </cols>
  <sheetData>
    <row r="1" spans="1:13">
      <c r="A1" s="14" t="s">
        <v>49</v>
      </c>
      <c r="B1" s="14" t="s">
        <v>50</v>
      </c>
      <c r="C1" s="14" t="s">
        <v>51</v>
      </c>
      <c r="D1" s="14" t="s">
        <v>52</v>
      </c>
      <c r="E1" s="14" t="s">
        <v>53</v>
      </c>
      <c r="F1" s="14" t="s">
        <v>54</v>
      </c>
      <c r="G1" s="14" t="s">
        <v>49</v>
      </c>
      <c r="H1" s="14" t="s">
        <v>50</v>
      </c>
      <c r="I1" s="14" t="s">
        <v>51</v>
      </c>
      <c r="J1" s="14" t="s">
        <v>52</v>
      </c>
      <c r="K1" s="14"/>
      <c r="L1" s="14"/>
      <c r="M1" s="14"/>
    </row>
    <row r="2" spans="1:13">
      <c r="A2" s="62" t="s">
        <v>55</v>
      </c>
      <c r="B2" s="14">
        <v>2020</v>
      </c>
      <c r="C2" s="14" t="s">
        <v>56</v>
      </c>
      <c r="D2" s="14" t="s">
        <v>57</v>
      </c>
      <c r="E2" s="68"/>
      <c r="F2" s="76"/>
      <c r="G2" s="14" t="s">
        <v>58</v>
      </c>
      <c r="H2" s="14">
        <v>2020</v>
      </c>
      <c r="I2" s="14" t="s">
        <v>56</v>
      </c>
      <c r="J2" s="14" t="s">
        <v>57</v>
      </c>
      <c r="K2" s="14"/>
    </row>
    <row r="3" spans="1:13">
      <c r="A3" s="62" t="s">
        <v>59</v>
      </c>
      <c r="B3" s="14">
        <v>2020</v>
      </c>
      <c r="C3" s="14" t="s">
        <v>56</v>
      </c>
      <c r="D3" s="14" t="s">
        <v>60</v>
      </c>
      <c r="E3" s="68"/>
      <c r="F3" s="76"/>
      <c r="G3" s="14" t="s">
        <v>61</v>
      </c>
      <c r="H3" s="14">
        <v>2020</v>
      </c>
      <c r="I3" s="14" t="s">
        <v>56</v>
      </c>
      <c r="J3" s="14" t="s">
        <v>60</v>
      </c>
      <c r="K3" s="14"/>
    </row>
    <row r="4" spans="1:13">
      <c r="A4" s="62" t="s">
        <v>62</v>
      </c>
      <c r="B4" s="14">
        <v>2020</v>
      </c>
      <c r="C4" s="14" t="s">
        <v>56</v>
      </c>
      <c r="D4" s="14" t="s">
        <v>63</v>
      </c>
      <c r="E4" s="68"/>
      <c r="F4" s="76"/>
      <c r="G4" s="14" t="s">
        <v>64</v>
      </c>
      <c r="H4" s="14">
        <v>2020</v>
      </c>
      <c r="I4" s="14" t="s">
        <v>56</v>
      </c>
      <c r="J4" s="14" t="s">
        <v>63</v>
      </c>
      <c r="K4" s="14"/>
    </row>
    <row r="5" spans="1:13">
      <c r="A5" s="62" t="s">
        <v>65</v>
      </c>
      <c r="B5" s="14">
        <v>2020</v>
      </c>
      <c r="C5" s="14" t="s">
        <v>56</v>
      </c>
      <c r="D5" s="14" t="s">
        <v>66</v>
      </c>
      <c r="E5" s="68"/>
      <c r="F5" s="76"/>
      <c r="G5" s="14" t="s">
        <v>67</v>
      </c>
      <c r="H5" s="14">
        <v>2020</v>
      </c>
      <c r="I5" s="14" t="s">
        <v>56</v>
      </c>
      <c r="J5" s="14" t="s">
        <v>66</v>
      </c>
      <c r="K5" s="14"/>
    </row>
    <row r="6" spans="1:13">
      <c r="A6" s="62" t="s">
        <v>68</v>
      </c>
      <c r="B6" s="14">
        <v>2020</v>
      </c>
      <c r="C6" s="14" t="s">
        <v>56</v>
      </c>
      <c r="D6" s="14" t="s">
        <v>69</v>
      </c>
      <c r="E6" s="68"/>
      <c r="F6" s="76"/>
      <c r="G6" s="14" t="s">
        <v>70</v>
      </c>
      <c r="H6" s="14">
        <v>2020</v>
      </c>
      <c r="I6" s="14" t="s">
        <v>56</v>
      </c>
      <c r="J6" s="14" t="s">
        <v>69</v>
      </c>
      <c r="K6" s="14"/>
    </row>
    <row r="7" spans="1:13">
      <c r="A7" s="62" t="s">
        <v>71</v>
      </c>
      <c r="B7" s="14">
        <v>2020</v>
      </c>
      <c r="C7" s="14" t="s">
        <v>56</v>
      </c>
      <c r="D7" s="14" t="s">
        <v>72</v>
      </c>
      <c r="E7" s="68"/>
      <c r="F7" s="76"/>
      <c r="G7" s="14" t="s">
        <v>73</v>
      </c>
      <c r="H7" s="14">
        <v>2020</v>
      </c>
      <c r="I7" s="14" t="s">
        <v>56</v>
      </c>
      <c r="J7" s="14" t="s">
        <v>72</v>
      </c>
      <c r="K7" s="14"/>
    </row>
    <row r="8" spans="1:13">
      <c r="A8" s="62" t="s">
        <v>74</v>
      </c>
      <c r="B8" s="14">
        <v>2020</v>
      </c>
      <c r="C8" s="14" t="s">
        <v>56</v>
      </c>
      <c r="D8" s="14" t="s">
        <v>75</v>
      </c>
      <c r="E8" s="68"/>
      <c r="F8" s="76"/>
      <c r="G8" s="14" t="s">
        <v>76</v>
      </c>
      <c r="H8" s="14">
        <v>2020</v>
      </c>
      <c r="I8" s="14" t="s">
        <v>56</v>
      </c>
      <c r="J8" s="14" t="s">
        <v>75</v>
      </c>
      <c r="K8" s="14"/>
    </row>
    <row r="9" spans="1:13">
      <c r="A9" s="62" t="s">
        <v>77</v>
      </c>
      <c r="B9" s="14">
        <v>2020</v>
      </c>
      <c r="C9" s="14" t="s">
        <v>56</v>
      </c>
      <c r="D9" s="14" t="s">
        <v>78</v>
      </c>
      <c r="E9" s="68"/>
      <c r="F9" s="76"/>
      <c r="G9" s="14" t="s">
        <v>79</v>
      </c>
      <c r="H9" s="14">
        <v>2020</v>
      </c>
      <c r="I9" s="14" t="s">
        <v>56</v>
      </c>
      <c r="J9" s="14" t="s">
        <v>78</v>
      </c>
      <c r="K9" s="14"/>
    </row>
    <row r="10" spans="1:13">
      <c r="A10" s="62" t="s">
        <v>80</v>
      </c>
      <c r="B10" s="14">
        <v>2020</v>
      </c>
      <c r="C10" s="14" t="s">
        <v>56</v>
      </c>
      <c r="D10" s="14" t="s">
        <v>81</v>
      </c>
      <c r="E10" s="68"/>
      <c r="F10" s="76"/>
      <c r="G10" s="14" t="s">
        <v>82</v>
      </c>
      <c r="H10" s="14">
        <v>2020</v>
      </c>
      <c r="I10" s="14" t="s">
        <v>56</v>
      </c>
      <c r="J10" s="14" t="s">
        <v>81</v>
      </c>
      <c r="K10" s="14"/>
    </row>
    <row r="11" spans="1:13">
      <c r="A11" s="62" t="s">
        <v>83</v>
      </c>
      <c r="B11" s="14">
        <v>2020</v>
      </c>
      <c r="C11" s="14" t="s">
        <v>56</v>
      </c>
      <c r="D11" s="14" t="s">
        <v>84</v>
      </c>
      <c r="E11" s="68"/>
      <c r="F11" s="76"/>
      <c r="G11" s="14" t="s">
        <v>85</v>
      </c>
      <c r="H11" s="14">
        <v>2020</v>
      </c>
      <c r="I11" s="14" t="s">
        <v>56</v>
      </c>
      <c r="J11" s="14" t="s">
        <v>84</v>
      </c>
      <c r="K11" s="14"/>
    </row>
    <row r="12" spans="1:13">
      <c r="A12" s="62" t="s">
        <v>86</v>
      </c>
      <c r="B12" s="14">
        <v>2020</v>
      </c>
      <c r="C12" s="14" t="s">
        <v>56</v>
      </c>
      <c r="D12" s="14" t="s">
        <v>87</v>
      </c>
      <c r="E12" s="68"/>
      <c r="F12" s="76"/>
      <c r="G12" s="14" t="s">
        <v>88</v>
      </c>
      <c r="H12" s="14">
        <v>2020</v>
      </c>
      <c r="I12" s="14" t="s">
        <v>56</v>
      </c>
      <c r="J12" s="14" t="s">
        <v>87</v>
      </c>
      <c r="K12" s="14"/>
    </row>
    <row r="13" spans="1:13">
      <c r="A13" s="62" t="s">
        <v>89</v>
      </c>
      <c r="B13" s="14">
        <v>2020</v>
      </c>
      <c r="C13" s="14" t="s">
        <v>56</v>
      </c>
      <c r="D13" s="14" t="s">
        <v>90</v>
      </c>
      <c r="E13" s="68"/>
      <c r="F13" s="76"/>
      <c r="G13" s="14" t="s">
        <v>91</v>
      </c>
      <c r="H13" s="14">
        <v>2020</v>
      </c>
      <c r="I13" s="14" t="s">
        <v>56</v>
      </c>
      <c r="J13" s="14" t="s">
        <v>90</v>
      </c>
      <c r="K13" s="14"/>
    </row>
    <row r="14" spans="1:13">
      <c r="A14" s="62" t="s">
        <v>92</v>
      </c>
      <c r="B14" s="14">
        <v>2020</v>
      </c>
      <c r="C14" s="14" t="s">
        <v>56</v>
      </c>
      <c r="D14" s="14" t="s">
        <v>93</v>
      </c>
      <c r="E14" s="68"/>
      <c r="F14" s="76"/>
      <c r="G14" s="14" t="s">
        <v>94</v>
      </c>
      <c r="H14" s="14">
        <v>2020</v>
      </c>
      <c r="I14" s="14" t="s">
        <v>56</v>
      </c>
      <c r="J14" s="14" t="s">
        <v>93</v>
      </c>
      <c r="K14" s="14"/>
    </row>
    <row r="15" spans="1:13">
      <c r="A15" s="62" t="s">
        <v>95</v>
      </c>
      <c r="B15" s="14">
        <v>2020</v>
      </c>
      <c r="C15" s="14" t="s">
        <v>56</v>
      </c>
      <c r="D15" s="14" t="s">
        <v>96</v>
      </c>
      <c r="E15" s="68"/>
      <c r="F15" s="76"/>
      <c r="G15" s="14" t="s">
        <v>97</v>
      </c>
      <c r="H15" s="14">
        <v>2020</v>
      </c>
      <c r="I15" s="14" t="s">
        <v>56</v>
      </c>
      <c r="J15" s="14" t="s">
        <v>96</v>
      </c>
      <c r="K15" s="14"/>
    </row>
    <row r="16" spans="1:13">
      <c r="A16" s="62" t="s">
        <v>98</v>
      </c>
      <c r="B16" s="14">
        <v>2020</v>
      </c>
      <c r="C16" s="14" t="s">
        <v>56</v>
      </c>
      <c r="D16" s="14" t="s">
        <v>99</v>
      </c>
      <c r="E16" s="68"/>
      <c r="F16" s="76"/>
      <c r="G16" s="14" t="s">
        <v>100</v>
      </c>
      <c r="H16" s="14">
        <v>2020</v>
      </c>
      <c r="I16" s="14" t="s">
        <v>56</v>
      </c>
      <c r="J16" s="14" t="s">
        <v>99</v>
      </c>
      <c r="K16" s="14"/>
    </row>
    <row r="17" spans="1:11">
      <c r="A17" s="62" t="s">
        <v>101</v>
      </c>
      <c r="B17" s="14">
        <v>2020</v>
      </c>
      <c r="C17" s="14" t="s">
        <v>56</v>
      </c>
      <c r="D17" s="14" t="s">
        <v>102</v>
      </c>
      <c r="E17" s="68"/>
      <c r="F17" s="76"/>
      <c r="G17" s="14" t="s">
        <v>103</v>
      </c>
      <c r="H17" s="14">
        <v>2020</v>
      </c>
      <c r="I17" s="14" t="s">
        <v>56</v>
      </c>
      <c r="J17" s="14" t="s">
        <v>102</v>
      </c>
      <c r="K17" s="14"/>
    </row>
    <row r="18" spans="1:11">
      <c r="A18" s="62" t="s">
        <v>104</v>
      </c>
      <c r="B18" s="14">
        <v>2020</v>
      </c>
      <c r="C18" s="14" t="s">
        <v>56</v>
      </c>
      <c r="D18" s="14" t="s">
        <v>105</v>
      </c>
      <c r="E18" s="68"/>
      <c r="F18" s="76"/>
      <c r="G18" s="14" t="s">
        <v>106</v>
      </c>
      <c r="H18" s="14">
        <v>2020</v>
      </c>
      <c r="I18" s="14" t="s">
        <v>56</v>
      </c>
      <c r="J18" s="14" t="s">
        <v>105</v>
      </c>
      <c r="K18" s="14"/>
    </row>
    <row r="19" spans="1:11">
      <c r="A19" s="62" t="s">
        <v>107</v>
      </c>
      <c r="B19" s="14">
        <v>2020</v>
      </c>
      <c r="C19" s="14" t="s">
        <v>56</v>
      </c>
      <c r="D19" s="14" t="s">
        <v>108</v>
      </c>
      <c r="E19" s="68"/>
      <c r="F19" s="76"/>
      <c r="G19" s="14" t="s">
        <v>109</v>
      </c>
      <c r="H19" s="14">
        <v>2020</v>
      </c>
      <c r="I19" s="14" t="s">
        <v>56</v>
      </c>
      <c r="J19" s="14" t="s">
        <v>108</v>
      </c>
      <c r="K19" s="14"/>
    </row>
    <row r="20" spans="1:11">
      <c r="A20" s="62" t="s">
        <v>110</v>
      </c>
      <c r="B20" s="14">
        <v>2020</v>
      </c>
      <c r="C20" s="14" t="s">
        <v>111</v>
      </c>
      <c r="D20" s="14" t="s">
        <v>112</v>
      </c>
      <c r="E20" s="68"/>
      <c r="F20" s="76"/>
      <c r="G20" s="14" t="s">
        <v>113</v>
      </c>
      <c r="H20" s="14">
        <v>2020</v>
      </c>
      <c r="I20" s="14" t="s">
        <v>111</v>
      </c>
      <c r="J20" s="14" t="s">
        <v>112</v>
      </c>
      <c r="K20" s="14"/>
    </row>
    <row r="21" spans="1:11">
      <c r="A21" s="62" t="s">
        <v>114</v>
      </c>
      <c r="B21" s="14">
        <v>2020</v>
      </c>
      <c r="C21" s="14" t="s">
        <v>111</v>
      </c>
      <c r="D21" s="14" t="s">
        <v>115</v>
      </c>
      <c r="E21" s="68"/>
      <c r="F21" s="76"/>
      <c r="G21" s="14" t="s">
        <v>116</v>
      </c>
      <c r="H21" s="14">
        <v>2020</v>
      </c>
      <c r="I21" s="14" t="s">
        <v>111</v>
      </c>
      <c r="J21" s="14" t="s">
        <v>115</v>
      </c>
      <c r="K21" s="14"/>
    </row>
    <row r="22" spans="1:11">
      <c r="A22" s="62" t="s">
        <v>117</v>
      </c>
      <c r="B22" s="14">
        <v>2020</v>
      </c>
      <c r="C22" s="14" t="s">
        <v>111</v>
      </c>
      <c r="D22" s="14" t="s">
        <v>118</v>
      </c>
      <c r="E22" s="68"/>
      <c r="F22" s="76"/>
      <c r="G22" s="14" t="s">
        <v>119</v>
      </c>
      <c r="H22" s="14">
        <v>2020</v>
      </c>
      <c r="I22" s="14" t="s">
        <v>111</v>
      </c>
      <c r="J22" s="14" t="s">
        <v>118</v>
      </c>
      <c r="K22" s="14"/>
    </row>
    <row r="23" spans="1:11">
      <c r="A23" s="62" t="s">
        <v>120</v>
      </c>
      <c r="B23" s="14">
        <v>2020</v>
      </c>
      <c r="C23" s="14" t="s">
        <v>111</v>
      </c>
      <c r="D23" s="14" t="s">
        <v>121</v>
      </c>
      <c r="E23" s="68"/>
      <c r="F23" s="76"/>
      <c r="G23" s="14" t="s">
        <v>122</v>
      </c>
      <c r="H23" s="14">
        <v>2020</v>
      </c>
      <c r="I23" s="14" t="s">
        <v>111</v>
      </c>
      <c r="J23" s="14" t="s">
        <v>121</v>
      </c>
      <c r="K23" s="14"/>
    </row>
    <row r="24" spans="1:11">
      <c r="A24" s="62" t="s">
        <v>123</v>
      </c>
      <c r="B24" s="14">
        <v>2020</v>
      </c>
      <c r="C24" s="14" t="s">
        <v>111</v>
      </c>
      <c r="D24" s="14" t="s">
        <v>124</v>
      </c>
      <c r="E24" s="68"/>
      <c r="F24" s="76"/>
      <c r="G24" s="14" t="s">
        <v>125</v>
      </c>
      <c r="H24" s="14">
        <v>2020</v>
      </c>
      <c r="I24" s="14" t="s">
        <v>111</v>
      </c>
      <c r="J24" s="14" t="s">
        <v>124</v>
      </c>
      <c r="K24" s="14"/>
    </row>
    <row r="25" spans="1:11">
      <c r="A25" s="62" t="s">
        <v>126</v>
      </c>
      <c r="B25" s="14">
        <v>2020</v>
      </c>
      <c r="C25" s="14" t="s">
        <v>111</v>
      </c>
      <c r="D25" s="14" t="s">
        <v>127</v>
      </c>
      <c r="E25" s="68"/>
      <c r="F25" s="76"/>
      <c r="G25" s="14" t="s">
        <v>128</v>
      </c>
      <c r="H25" s="14">
        <v>2020</v>
      </c>
      <c r="I25" s="14" t="s">
        <v>111</v>
      </c>
      <c r="J25" s="14" t="s">
        <v>127</v>
      </c>
      <c r="K25" s="14"/>
    </row>
    <row r="26" spans="1:11">
      <c r="A26" s="62" t="s">
        <v>129</v>
      </c>
      <c r="B26" s="14">
        <v>2020</v>
      </c>
      <c r="C26" s="14" t="s">
        <v>111</v>
      </c>
      <c r="D26" s="14" t="s">
        <v>130</v>
      </c>
      <c r="E26" s="68"/>
      <c r="F26" s="76"/>
      <c r="G26" s="14" t="s">
        <v>131</v>
      </c>
      <c r="H26" s="14">
        <v>2020</v>
      </c>
      <c r="I26" s="14" t="s">
        <v>111</v>
      </c>
      <c r="J26" s="14" t="s">
        <v>130</v>
      </c>
      <c r="K26" s="14"/>
    </row>
    <row r="27" spans="1:11">
      <c r="A27" s="62" t="s">
        <v>132</v>
      </c>
      <c r="B27" s="14">
        <v>2020</v>
      </c>
      <c r="C27" s="14" t="s">
        <v>111</v>
      </c>
      <c r="D27" s="14" t="s">
        <v>133</v>
      </c>
      <c r="E27" s="68"/>
      <c r="F27" s="76"/>
      <c r="G27" s="14" t="s">
        <v>134</v>
      </c>
      <c r="H27" s="14">
        <v>2020</v>
      </c>
      <c r="I27" s="14" t="s">
        <v>111</v>
      </c>
      <c r="J27" s="14" t="s">
        <v>133</v>
      </c>
      <c r="K27" s="14"/>
    </row>
    <row r="28" spans="1:11">
      <c r="A28" s="62" t="s">
        <v>135</v>
      </c>
      <c r="B28" s="14">
        <v>2020</v>
      </c>
      <c r="C28" s="14" t="s">
        <v>111</v>
      </c>
      <c r="D28" s="14" t="s">
        <v>136</v>
      </c>
      <c r="E28" s="68"/>
      <c r="F28" s="76"/>
      <c r="G28" s="14" t="s">
        <v>137</v>
      </c>
      <c r="H28" s="14">
        <v>2020</v>
      </c>
      <c r="I28" s="14" t="s">
        <v>111</v>
      </c>
      <c r="J28" s="14" t="s">
        <v>136</v>
      </c>
      <c r="K28" s="14"/>
    </row>
    <row r="29" spans="1:11">
      <c r="A29" s="62" t="s">
        <v>138</v>
      </c>
      <c r="B29" s="14">
        <v>2020</v>
      </c>
      <c r="C29" s="14" t="s">
        <v>111</v>
      </c>
      <c r="D29" s="14" t="s">
        <v>139</v>
      </c>
      <c r="E29" s="68"/>
      <c r="F29" s="76"/>
      <c r="G29" s="14" t="s">
        <v>140</v>
      </c>
      <c r="H29" s="14">
        <v>2020</v>
      </c>
      <c r="I29" s="14" t="s">
        <v>111</v>
      </c>
      <c r="J29" s="14" t="s">
        <v>139</v>
      </c>
      <c r="K29" s="14"/>
    </row>
    <row r="30" spans="1:11">
      <c r="A30" s="62" t="s">
        <v>141</v>
      </c>
      <c r="B30" s="14">
        <v>2020</v>
      </c>
      <c r="C30" s="14" t="s">
        <v>111</v>
      </c>
      <c r="D30" s="14" t="s">
        <v>142</v>
      </c>
      <c r="E30" s="68"/>
      <c r="F30" s="76"/>
      <c r="G30" s="14" t="s">
        <v>143</v>
      </c>
      <c r="H30" s="14">
        <v>2020</v>
      </c>
      <c r="I30" s="14" t="s">
        <v>111</v>
      </c>
      <c r="J30" s="14" t="s">
        <v>142</v>
      </c>
      <c r="K30" s="14"/>
    </row>
    <row r="31" spans="1:11">
      <c r="A31" s="62" t="s">
        <v>144</v>
      </c>
      <c r="B31" s="14">
        <v>2020</v>
      </c>
      <c r="C31" s="14" t="s">
        <v>111</v>
      </c>
      <c r="D31" s="14" t="s">
        <v>145</v>
      </c>
      <c r="E31" s="68"/>
      <c r="F31" s="76"/>
      <c r="G31" s="14" t="s">
        <v>146</v>
      </c>
      <c r="H31" s="14">
        <v>2020</v>
      </c>
      <c r="I31" s="14" t="s">
        <v>111</v>
      </c>
      <c r="J31" s="14" t="s">
        <v>145</v>
      </c>
      <c r="K31" s="14"/>
    </row>
    <row r="32" spans="1:11">
      <c r="A32" s="62" t="s">
        <v>147</v>
      </c>
      <c r="B32" s="14">
        <v>2020</v>
      </c>
      <c r="C32" s="14" t="s">
        <v>111</v>
      </c>
      <c r="D32" s="14" t="s">
        <v>148</v>
      </c>
      <c r="E32" s="68"/>
      <c r="F32" s="76"/>
      <c r="G32" s="14" t="s">
        <v>149</v>
      </c>
      <c r="H32" s="14">
        <v>2020</v>
      </c>
      <c r="I32" s="14" t="s">
        <v>111</v>
      </c>
      <c r="J32" s="14" t="s">
        <v>148</v>
      </c>
      <c r="K32" s="14"/>
    </row>
    <row r="33" spans="1:11">
      <c r="A33" s="62" t="s">
        <v>150</v>
      </c>
      <c r="B33" s="14">
        <v>2020</v>
      </c>
      <c r="C33" s="14" t="s">
        <v>111</v>
      </c>
      <c r="D33" s="14" t="s">
        <v>151</v>
      </c>
      <c r="E33" s="68"/>
      <c r="F33" s="76"/>
      <c r="G33" s="14" t="s">
        <v>152</v>
      </c>
      <c r="H33" s="14">
        <v>2020</v>
      </c>
      <c r="I33" s="14" t="s">
        <v>111</v>
      </c>
      <c r="J33" s="14" t="s">
        <v>151</v>
      </c>
      <c r="K33" s="14"/>
    </row>
    <row r="34" spans="1:11">
      <c r="A34" s="62" t="s">
        <v>153</v>
      </c>
      <c r="B34" s="14">
        <v>2020</v>
      </c>
      <c r="C34" s="14" t="s">
        <v>111</v>
      </c>
      <c r="D34" s="14" t="s">
        <v>154</v>
      </c>
      <c r="E34" s="68"/>
      <c r="F34" s="76"/>
      <c r="G34" s="14" t="s">
        <v>155</v>
      </c>
      <c r="H34" s="14">
        <v>2020</v>
      </c>
      <c r="I34" s="14" t="s">
        <v>111</v>
      </c>
      <c r="J34" s="14" t="s">
        <v>154</v>
      </c>
      <c r="K34" s="14"/>
    </row>
    <row r="35" spans="1:11">
      <c r="A35" s="62" t="s">
        <v>156</v>
      </c>
      <c r="B35" s="14">
        <v>2020</v>
      </c>
      <c r="C35" s="14" t="s">
        <v>111</v>
      </c>
      <c r="D35" s="14" t="s">
        <v>157</v>
      </c>
      <c r="E35" s="68"/>
      <c r="F35" s="76"/>
      <c r="G35" s="14" t="s">
        <v>158</v>
      </c>
      <c r="H35" s="14">
        <v>2020</v>
      </c>
      <c r="I35" s="14" t="s">
        <v>111</v>
      </c>
      <c r="J35" s="14" t="s">
        <v>157</v>
      </c>
      <c r="K35" s="14"/>
    </row>
    <row r="36" spans="1:11">
      <c r="A36" s="62" t="s">
        <v>159</v>
      </c>
      <c r="B36" s="14">
        <v>2020</v>
      </c>
      <c r="C36" s="14" t="s">
        <v>111</v>
      </c>
      <c r="D36" s="14" t="s">
        <v>160</v>
      </c>
      <c r="E36" s="68"/>
      <c r="F36" s="76"/>
      <c r="G36" s="14" t="s">
        <v>161</v>
      </c>
      <c r="H36" s="14">
        <v>2020</v>
      </c>
      <c r="I36" s="14" t="s">
        <v>111</v>
      </c>
      <c r="J36" s="14" t="s">
        <v>160</v>
      </c>
      <c r="K36" s="14"/>
    </row>
    <row r="37" spans="1:11">
      <c r="A37" s="62" t="s">
        <v>162</v>
      </c>
      <c r="B37" s="14">
        <v>2020</v>
      </c>
      <c r="C37" s="14" t="s">
        <v>111</v>
      </c>
      <c r="D37" s="14" t="s">
        <v>163</v>
      </c>
      <c r="E37" s="68"/>
      <c r="F37" s="76"/>
      <c r="G37" s="14" t="s">
        <v>164</v>
      </c>
      <c r="H37" s="14">
        <v>2020</v>
      </c>
      <c r="I37" s="14" t="s">
        <v>111</v>
      </c>
      <c r="J37" s="14" t="s">
        <v>163</v>
      </c>
      <c r="K37" s="14"/>
    </row>
    <row r="38" spans="1:11">
      <c r="A38" s="62" t="s">
        <v>165</v>
      </c>
      <c r="B38" s="14">
        <v>2021</v>
      </c>
      <c r="C38" s="14" t="s">
        <v>166</v>
      </c>
      <c r="D38" s="14" t="s">
        <v>57</v>
      </c>
      <c r="E38" s="68"/>
      <c r="F38" s="76"/>
      <c r="G38" s="14" t="s">
        <v>167</v>
      </c>
      <c r="H38" s="14">
        <v>2020</v>
      </c>
      <c r="I38" s="14" t="s">
        <v>168</v>
      </c>
      <c r="J38" s="14" t="s">
        <v>112</v>
      </c>
      <c r="K38" s="14"/>
    </row>
    <row r="39" spans="1:11">
      <c r="A39" s="62" t="s">
        <v>169</v>
      </c>
      <c r="B39" s="14">
        <v>2021</v>
      </c>
      <c r="C39" s="14" t="s">
        <v>166</v>
      </c>
      <c r="D39" s="14" t="s">
        <v>60</v>
      </c>
      <c r="E39" s="68"/>
      <c r="F39" s="76"/>
      <c r="G39" s="14" t="s">
        <v>170</v>
      </c>
      <c r="H39" s="14">
        <v>2020</v>
      </c>
      <c r="I39" s="14" t="s">
        <v>168</v>
      </c>
      <c r="J39" s="14" t="s">
        <v>115</v>
      </c>
      <c r="K39" s="14"/>
    </row>
    <row r="40" spans="1:11">
      <c r="A40" s="62" t="s">
        <v>171</v>
      </c>
      <c r="B40" s="14">
        <v>2021</v>
      </c>
      <c r="C40" s="14" t="s">
        <v>166</v>
      </c>
      <c r="D40" s="14" t="s">
        <v>63</v>
      </c>
      <c r="E40" s="68"/>
      <c r="F40" s="76"/>
      <c r="G40" s="14" t="s">
        <v>172</v>
      </c>
      <c r="H40" s="14">
        <v>2020</v>
      </c>
      <c r="I40" s="14" t="s">
        <v>168</v>
      </c>
      <c r="J40" s="14" t="s">
        <v>118</v>
      </c>
      <c r="K40" s="14"/>
    </row>
    <row r="41" spans="1:11">
      <c r="A41" s="62" t="s">
        <v>173</v>
      </c>
      <c r="B41" s="14">
        <v>2021</v>
      </c>
      <c r="C41" s="14" t="s">
        <v>166</v>
      </c>
      <c r="D41" s="14" t="s">
        <v>66</v>
      </c>
      <c r="E41" s="68"/>
      <c r="F41" s="76"/>
      <c r="G41" s="14" t="s">
        <v>174</v>
      </c>
      <c r="H41" s="14">
        <v>2020</v>
      </c>
      <c r="I41" s="14" t="s">
        <v>168</v>
      </c>
      <c r="J41" s="14" t="s">
        <v>121</v>
      </c>
      <c r="K41" s="14"/>
    </row>
    <row r="42" spans="1:11">
      <c r="A42" s="62" t="s">
        <v>175</v>
      </c>
      <c r="B42" s="14">
        <v>2021</v>
      </c>
      <c r="C42" s="14" t="s">
        <v>166</v>
      </c>
      <c r="D42" s="14" t="s">
        <v>69</v>
      </c>
      <c r="E42" s="68"/>
      <c r="F42" s="76"/>
      <c r="G42" s="14" t="s">
        <v>176</v>
      </c>
      <c r="H42" s="14">
        <v>2020</v>
      </c>
      <c r="I42" s="14" t="s">
        <v>168</v>
      </c>
      <c r="J42" s="14" t="s">
        <v>124</v>
      </c>
      <c r="K42" s="14"/>
    </row>
    <row r="43" spans="1:11">
      <c r="A43" s="62" t="s">
        <v>177</v>
      </c>
      <c r="B43" s="14">
        <v>2021</v>
      </c>
      <c r="C43" s="14" t="s">
        <v>166</v>
      </c>
      <c r="D43" s="14" t="s">
        <v>72</v>
      </c>
      <c r="E43" s="68"/>
      <c r="F43" s="76"/>
      <c r="G43" s="14" t="s">
        <v>178</v>
      </c>
      <c r="H43" s="14">
        <v>2020</v>
      </c>
      <c r="I43" s="14" t="s">
        <v>168</v>
      </c>
      <c r="J43" s="14" t="s">
        <v>127</v>
      </c>
      <c r="K43" s="14"/>
    </row>
    <row r="44" spans="1:11">
      <c r="A44" s="62" t="s">
        <v>179</v>
      </c>
      <c r="B44" s="14">
        <v>2021</v>
      </c>
      <c r="C44" s="14" t="s">
        <v>166</v>
      </c>
      <c r="D44" s="14" t="s">
        <v>75</v>
      </c>
      <c r="E44" s="68"/>
      <c r="F44" s="76"/>
      <c r="G44" s="14" t="s">
        <v>180</v>
      </c>
      <c r="H44" s="14">
        <v>2020</v>
      </c>
      <c r="I44" s="14" t="s">
        <v>168</v>
      </c>
      <c r="J44" s="14" t="s">
        <v>130</v>
      </c>
      <c r="K44" s="14"/>
    </row>
    <row r="45" spans="1:11">
      <c r="A45" s="62" t="s">
        <v>181</v>
      </c>
      <c r="B45" s="14">
        <v>2021</v>
      </c>
      <c r="C45" s="14" t="s">
        <v>166</v>
      </c>
      <c r="D45" s="14" t="s">
        <v>78</v>
      </c>
      <c r="E45" s="68"/>
      <c r="F45" s="76"/>
      <c r="G45" s="14" t="s">
        <v>182</v>
      </c>
      <c r="H45" s="14">
        <v>2020</v>
      </c>
      <c r="I45" s="14" t="s">
        <v>168</v>
      </c>
      <c r="J45" s="14" t="s">
        <v>133</v>
      </c>
      <c r="K45" s="14"/>
    </row>
    <row r="46" spans="1:11">
      <c r="A46" s="62" t="s">
        <v>183</v>
      </c>
      <c r="B46" s="14">
        <v>2021</v>
      </c>
      <c r="C46" s="14" t="s">
        <v>166</v>
      </c>
      <c r="D46" s="14" t="s">
        <v>81</v>
      </c>
      <c r="E46" s="68"/>
      <c r="F46" s="76"/>
      <c r="G46" s="14" t="s">
        <v>184</v>
      </c>
      <c r="H46" s="14">
        <v>2020</v>
      </c>
      <c r="I46" s="14" t="s">
        <v>168</v>
      </c>
      <c r="J46" s="14" t="s">
        <v>136</v>
      </c>
      <c r="K46" s="14"/>
    </row>
    <row r="47" spans="1:11">
      <c r="A47" s="62" t="s">
        <v>185</v>
      </c>
      <c r="B47" s="14">
        <v>2021</v>
      </c>
      <c r="C47" s="14" t="s">
        <v>166</v>
      </c>
      <c r="D47" s="14" t="s">
        <v>186</v>
      </c>
      <c r="E47" s="68"/>
      <c r="F47" s="76"/>
      <c r="G47" s="14" t="s">
        <v>187</v>
      </c>
      <c r="H47" s="14">
        <v>2020</v>
      </c>
      <c r="I47" s="14" t="s">
        <v>168</v>
      </c>
      <c r="J47" s="14" t="s">
        <v>139</v>
      </c>
      <c r="K47" s="14"/>
    </row>
    <row r="48" spans="1:11">
      <c r="A48" s="62" t="s">
        <v>188</v>
      </c>
      <c r="B48" s="14">
        <v>2021</v>
      </c>
      <c r="C48" s="14" t="s">
        <v>166</v>
      </c>
      <c r="D48" s="14" t="s">
        <v>189</v>
      </c>
      <c r="E48" s="68"/>
      <c r="F48" s="76"/>
      <c r="G48" s="14" t="s">
        <v>190</v>
      </c>
      <c r="H48" s="14">
        <v>2020</v>
      </c>
      <c r="I48" s="14" t="s">
        <v>168</v>
      </c>
      <c r="J48" s="14" t="s">
        <v>142</v>
      </c>
      <c r="K48" s="14"/>
    </row>
    <row r="49" spans="1:11">
      <c r="A49" s="62" t="s">
        <v>191</v>
      </c>
      <c r="B49" s="14">
        <v>2021</v>
      </c>
      <c r="C49" s="14" t="s">
        <v>166</v>
      </c>
      <c r="D49" s="14" t="s">
        <v>192</v>
      </c>
      <c r="E49" s="68"/>
      <c r="F49" s="76"/>
      <c r="G49" s="14" t="s">
        <v>193</v>
      </c>
      <c r="H49" s="14">
        <v>2020</v>
      </c>
      <c r="I49" s="14" t="s">
        <v>168</v>
      </c>
      <c r="J49" s="14" t="s">
        <v>145</v>
      </c>
      <c r="K49" s="14"/>
    </row>
    <row r="50" spans="1:11">
      <c r="A50" s="62" t="s">
        <v>194</v>
      </c>
      <c r="B50" s="14">
        <v>2021</v>
      </c>
      <c r="C50" s="14" t="s">
        <v>166</v>
      </c>
      <c r="D50" s="14" t="s">
        <v>84</v>
      </c>
      <c r="E50" s="68"/>
      <c r="F50" s="76"/>
      <c r="G50" s="14" t="s">
        <v>195</v>
      </c>
      <c r="H50" s="14">
        <v>2020</v>
      </c>
      <c r="I50" s="14" t="s">
        <v>168</v>
      </c>
      <c r="J50" s="14" t="s">
        <v>148</v>
      </c>
      <c r="K50" s="14"/>
    </row>
    <row r="51" spans="1:11">
      <c r="A51" s="62" t="s">
        <v>196</v>
      </c>
      <c r="B51" s="14">
        <v>2021</v>
      </c>
      <c r="C51" s="14" t="s">
        <v>166</v>
      </c>
      <c r="D51" s="14" t="s">
        <v>87</v>
      </c>
      <c r="E51" s="68"/>
      <c r="F51" s="76"/>
      <c r="G51" s="14" t="s">
        <v>197</v>
      </c>
      <c r="H51" s="14">
        <v>2020</v>
      </c>
      <c r="I51" s="14" t="s">
        <v>168</v>
      </c>
      <c r="J51" s="14" t="s">
        <v>151</v>
      </c>
      <c r="K51" s="14"/>
    </row>
    <row r="52" spans="1:11">
      <c r="A52" s="62" t="s">
        <v>198</v>
      </c>
      <c r="B52" s="14">
        <v>2021</v>
      </c>
      <c r="C52" s="14" t="s">
        <v>166</v>
      </c>
      <c r="D52" s="14" t="s">
        <v>90</v>
      </c>
      <c r="E52" s="68"/>
      <c r="F52" s="76"/>
      <c r="G52" s="14" t="s">
        <v>199</v>
      </c>
      <c r="H52" s="14">
        <v>2020</v>
      </c>
      <c r="I52" s="14" t="s">
        <v>168</v>
      </c>
      <c r="J52" s="14" t="s">
        <v>154</v>
      </c>
      <c r="K52" s="14"/>
    </row>
    <row r="53" spans="1:11">
      <c r="A53" s="62" t="s">
        <v>200</v>
      </c>
      <c r="B53" s="14">
        <v>2021</v>
      </c>
      <c r="C53" s="14" t="s">
        <v>166</v>
      </c>
      <c r="D53" s="14" t="s">
        <v>93</v>
      </c>
      <c r="E53" s="68"/>
      <c r="F53" s="76"/>
      <c r="G53" s="14" t="s">
        <v>201</v>
      </c>
      <c r="H53" s="14">
        <v>2020</v>
      </c>
      <c r="I53" s="14" t="s">
        <v>168</v>
      </c>
      <c r="J53" s="14" t="s">
        <v>157</v>
      </c>
      <c r="K53" s="14"/>
    </row>
    <row r="54" spans="1:11">
      <c r="A54" s="62" t="s">
        <v>202</v>
      </c>
      <c r="B54" s="14">
        <v>2021</v>
      </c>
      <c r="C54" s="14" t="s">
        <v>166</v>
      </c>
      <c r="D54" s="14" t="s">
        <v>96</v>
      </c>
      <c r="E54" s="68"/>
      <c r="F54" s="76"/>
      <c r="G54" s="14" t="s">
        <v>203</v>
      </c>
      <c r="H54" s="14">
        <v>2020</v>
      </c>
      <c r="I54" s="14" t="s">
        <v>168</v>
      </c>
      <c r="J54" s="14" t="s">
        <v>160</v>
      </c>
      <c r="K54" s="14"/>
    </row>
    <row r="55" spans="1:11">
      <c r="A55" s="62" t="s">
        <v>204</v>
      </c>
      <c r="B55" s="14">
        <v>2021</v>
      </c>
      <c r="C55" s="14" t="s">
        <v>166</v>
      </c>
      <c r="D55" s="14" t="s">
        <v>99</v>
      </c>
      <c r="E55" s="68"/>
      <c r="F55" s="76"/>
      <c r="G55" s="14" t="s">
        <v>205</v>
      </c>
      <c r="H55" s="14">
        <v>2020</v>
      </c>
      <c r="I55" s="14" t="s">
        <v>168</v>
      </c>
      <c r="J55" s="14" t="s">
        <v>163</v>
      </c>
      <c r="K55" s="14"/>
    </row>
    <row r="56" spans="1:11">
      <c r="A56" s="62" t="s">
        <v>206</v>
      </c>
      <c r="B56" s="14">
        <v>2021</v>
      </c>
      <c r="C56" s="14" t="s">
        <v>166</v>
      </c>
      <c r="D56" s="14" t="s">
        <v>102</v>
      </c>
      <c r="E56" s="68"/>
      <c r="F56" s="76"/>
      <c r="G56" s="14" t="s">
        <v>207</v>
      </c>
      <c r="H56" s="14">
        <v>2020</v>
      </c>
      <c r="I56" s="14" t="s">
        <v>208</v>
      </c>
      <c r="J56" s="14" t="s">
        <v>139</v>
      </c>
      <c r="K56" s="14"/>
    </row>
    <row r="57" spans="1:11">
      <c r="A57" s="62" t="s">
        <v>209</v>
      </c>
      <c r="B57" s="14">
        <v>2021</v>
      </c>
      <c r="C57" s="14" t="s">
        <v>166</v>
      </c>
      <c r="D57" s="14" t="s">
        <v>105</v>
      </c>
      <c r="E57" s="68"/>
      <c r="F57" s="76"/>
      <c r="G57" s="14" t="s">
        <v>210</v>
      </c>
      <c r="H57" s="14">
        <v>2020</v>
      </c>
      <c r="I57" s="14" t="s">
        <v>208</v>
      </c>
      <c r="J57" s="14" t="s">
        <v>139</v>
      </c>
      <c r="K57" s="14"/>
    </row>
    <row r="58" spans="1:11">
      <c r="A58" s="62" t="s">
        <v>211</v>
      </c>
      <c r="B58" s="14">
        <v>2021</v>
      </c>
      <c r="C58" s="14" t="s">
        <v>166</v>
      </c>
      <c r="D58" s="14" t="s">
        <v>108</v>
      </c>
      <c r="E58" s="68"/>
      <c r="F58" s="76"/>
      <c r="G58" s="14" t="s">
        <v>212</v>
      </c>
      <c r="H58" s="14">
        <v>2020</v>
      </c>
      <c r="I58" s="14" t="s">
        <v>208</v>
      </c>
      <c r="J58" s="14" t="s">
        <v>142</v>
      </c>
      <c r="K58" s="14"/>
    </row>
    <row r="59" spans="1:11">
      <c r="A59" s="62" t="s">
        <v>213</v>
      </c>
      <c r="B59" s="14">
        <v>2021</v>
      </c>
      <c r="C59" s="14" t="s">
        <v>166</v>
      </c>
      <c r="D59" s="14" t="s">
        <v>214</v>
      </c>
      <c r="E59" s="68"/>
      <c r="F59" s="76"/>
      <c r="G59" s="14" t="s">
        <v>215</v>
      </c>
      <c r="H59" s="14">
        <v>2020</v>
      </c>
      <c r="I59" s="14" t="s">
        <v>208</v>
      </c>
      <c r="J59" s="14" t="s">
        <v>142</v>
      </c>
      <c r="K59" s="14"/>
    </row>
    <row r="60" spans="1:11">
      <c r="A60" s="62" t="s">
        <v>216</v>
      </c>
      <c r="B60" s="14">
        <v>2021</v>
      </c>
      <c r="C60" s="14" t="s">
        <v>166</v>
      </c>
      <c r="D60" s="14" t="s">
        <v>217</v>
      </c>
      <c r="E60" s="68"/>
      <c r="F60" s="76"/>
      <c r="G60" s="14" t="s">
        <v>218</v>
      </c>
      <c r="H60" s="14">
        <v>2020</v>
      </c>
      <c r="I60" s="14" t="s">
        <v>208</v>
      </c>
      <c r="J60" s="14" t="s">
        <v>145</v>
      </c>
      <c r="K60" s="14"/>
    </row>
    <row r="61" spans="1:11">
      <c r="A61" s="62" t="s">
        <v>219</v>
      </c>
      <c r="B61" s="14">
        <v>2021</v>
      </c>
      <c r="C61" s="14" t="s">
        <v>166</v>
      </c>
      <c r="D61" s="14" t="s">
        <v>220</v>
      </c>
      <c r="E61" s="68"/>
      <c r="F61" s="76"/>
      <c r="G61" s="14" t="s">
        <v>221</v>
      </c>
      <c r="H61" s="14">
        <v>2020</v>
      </c>
      <c r="I61" s="14" t="s">
        <v>208</v>
      </c>
      <c r="J61" s="14" t="s">
        <v>145</v>
      </c>
      <c r="K61" s="14"/>
    </row>
    <row r="62" spans="1:11">
      <c r="A62" s="62" t="s">
        <v>222</v>
      </c>
      <c r="B62" s="14">
        <v>2021</v>
      </c>
      <c r="C62" s="14" t="s">
        <v>166</v>
      </c>
      <c r="D62" s="14" t="s">
        <v>112</v>
      </c>
      <c r="E62" s="68"/>
      <c r="F62" s="76"/>
      <c r="G62" s="14" t="s">
        <v>223</v>
      </c>
      <c r="H62" s="14">
        <v>2020</v>
      </c>
      <c r="I62" s="14" t="s">
        <v>208</v>
      </c>
      <c r="J62" s="14" t="s">
        <v>130</v>
      </c>
      <c r="K62" s="14"/>
    </row>
    <row r="63" spans="1:11">
      <c r="A63" s="62" t="s">
        <v>224</v>
      </c>
      <c r="B63" s="14">
        <v>2021</v>
      </c>
      <c r="C63" s="14" t="s">
        <v>166</v>
      </c>
      <c r="D63" s="14" t="s">
        <v>115</v>
      </c>
      <c r="E63" s="68"/>
      <c r="F63" s="76"/>
      <c r="G63" s="14" t="s">
        <v>225</v>
      </c>
      <c r="H63" s="14">
        <v>2020</v>
      </c>
      <c r="I63" s="14" t="s">
        <v>208</v>
      </c>
      <c r="J63" s="14" t="s">
        <v>130</v>
      </c>
      <c r="K63" s="14"/>
    </row>
    <row r="64" spans="1:11">
      <c r="A64" s="62" t="s">
        <v>226</v>
      </c>
      <c r="B64" s="14">
        <v>2021</v>
      </c>
      <c r="C64" s="14" t="s">
        <v>166</v>
      </c>
      <c r="D64" s="14" t="s">
        <v>118</v>
      </c>
      <c r="E64" s="68"/>
      <c r="F64" s="76"/>
      <c r="G64" s="14" t="s">
        <v>227</v>
      </c>
      <c r="H64" s="14">
        <v>2020</v>
      </c>
      <c r="I64" s="14" t="s">
        <v>208</v>
      </c>
      <c r="J64" s="14" t="s">
        <v>133</v>
      </c>
      <c r="K64" s="14"/>
    </row>
    <row r="65" spans="1:11">
      <c r="A65" s="62" t="s">
        <v>228</v>
      </c>
      <c r="B65" s="14">
        <v>2021</v>
      </c>
      <c r="C65" s="14" t="s">
        <v>166</v>
      </c>
      <c r="D65" s="14" t="s">
        <v>121</v>
      </c>
      <c r="E65" s="68"/>
      <c r="F65" s="76"/>
      <c r="G65" s="14" t="s">
        <v>229</v>
      </c>
      <c r="H65" s="14">
        <v>2020</v>
      </c>
      <c r="I65" s="14" t="s">
        <v>208</v>
      </c>
      <c r="J65" s="14" t="s">
        <v>133</v>
      </c>
      <c r="K65" s="14"/>
    </row>
    <row r="66" spans="1:11">
      <c r="A66" s="62" t="s">
        <v>230</v>
      </c>
      <c r="B66" s="14">
        <v>2021</v>
      </c>
      <c r="C66" s="14" t="s">
        <v>166</v>
      </c>
      <c r="D66" s="14" t="s">
        <v>124</v>
      </c>
      <c r="E66" s="68"/>
      <c r="F66" s="76"/>
      <c r="G66" s="14" t="s">
        <v>231</v>
      </c>
      <c r="H66" s="14">
        <v>2020</v>
      </c>
      <c r="I66" s="14" t="s">
        <v>208</v>
      </c>
      <c r="J66" s="14" t="s">
        <v>136</v>
      </c>
      <c r="K66" s="14"/>
    </row>
    <row r="67" spans="1:11">
      <c r="A67" s="62" t="s">
        <v>232</v>
      </c>
      <c r="B67" s="14">
        <v>2021</v>
      </c>
      <c r="C67" s="14" t="s">
        <v>166</v>
      </c>
      <c r="D67" s="14" t="s">
        <v>127</v>
      </c>
      <c r="E67" s="68"/>
      <c r="F67" s="76"/>
      <c r="G67" s="14" t="s">
        <v>233</v>
      </c>
      <c r="H67" s="14">
        <v>2020</v>
      </c>
      <c r="I67" s="14" t="s">
        <v>208</v>
      </c>
      <c r="J67" s="14" t="s">
        <v>136</v>
      </c>
      <c r="K67" s="14"/>
    </row>
    <row r="68" spans="1:11">
      <c r="A68" s="62" t="s">
        <v>234</v>
      </c>
      <c r="B68" s="14">
        <v>2021</v>
      </c>
      <c r="C68" s="14" t="s">
        <v>166</v>
      </c>
      <c r="D68" s="14" t="s">
        <v>130</v>
      </c>
      <c r="E68" s="68"/>
      <c r="F68" s="76"/>
      <c r="G68" s="14" t="s">
        <v>235</v>
      </c>
      <c r="H68" s="14">
        <v>2020</v>
      </c>
      <c r="I68" s="14" t="s">
        <v>208</v>
      </c>
      <c r="J68" s="14" t="s">
        <v>139</v>
      </c>
      <c r="K68" s="14"/>
    </row>
    <row r="69" spans="1:11">
      <c r="A69" s="62" t="s">
        <v>236</v>
      </c>
      <c r="B69" s="14">
        <v>2021</v>
      </c>
      <c r="C69" s="14" t="s">
        <v>166</v>
      </c>
      <c r="D69" s="14" t="s">
        <v>133</v>
      </c>
      <c r="E69" s="68"/>
      <c r="F69" s="76"/>
      <c r="G69" s="14" t="s">
        <v>237</v>
      </c>
      <c r="H69" s="14">
        <v>2020</v>
      </c>
      <c r="I69" s="14" t="s">
        <v>208</v>
      </c>
      <c r="J69" s="14" t="s">
        <v>139</v>
      </c>
      <c r="K69" s="14"/>
    </row>
    <row r="70" spans="1:11">
      <c r="A70" s="62" t="s">
        <v>238</v>
      </c>
      <c r="B70" s="14">
        <v>2021</v>
      </c>
      <c r="C70" s="14" t="s">
        <v>166</v>
      </c>
      <c r="D70" s="14" t="s">
        <v>136</v>
      </c>
      <c r="E70" s="68"/>
      <c r="F70" s="76"/>
      <c r="G70" s="14" t="s">
        <v>239</v>
      </c>
      <c r="H70" s="14">
        <v>2020</v>
      </c>
      <c r="I70" s="14" t="s">
        <v>208</v>
      </c>
      <c r="J70" s="14" t="s">
        <v>142</v>
      </c>
      <c r="K70" s="14"/>
    </row>
    <row r="71" spans="1:11">
      <c r="A71" s="62" t="s">
        <v>240</v>
      </c>
      <c r="B71" s="14">
        <v>2021</v>
      </c>
      <c r="C71" s="14" t="s">
        <v>166</v>
      </c>
      <c r="D71" s="14" t="s">
        <v>241</v>
      </c>
      <c r="E71" s="68"/>
      <c r="F71" s="76"/>
      <c r="G71" s="14" t="s">
        <v>242</v>
      </c>
      <c r="H71" s="14">
        <v>2020</v>
      </c>
      <c r="I71" s="14" t="s">
        <v>208</v>
      </c>
      <c r="J71" s="14" t="s">
        <v>142</v>
      </c>
      <c r="K71" s="14"/>
    </row>
    <row r="72" spans="1:11">
      <c r="A72" s="62" t="s">
        <v>243</v>
      </c>
      <c r="B72" s="14">
        <v>2021</v>
      </c>
      <c r="C72" s="14" t="s">
        <v>166</v>
      </c>
      <c r="D72" s="14" t="s">
        <v>244</v>
      </c>
      <c r="E72" s="68"/>
      <c r="F72" s="76"/>
      <c r="G72" s="14" t="s">
        <v>245</v>
      </c>
      <c r="H72" s="14">
        <v>2020</v>
      </c>
      <c r="I72" s="14" t="s">
        <v>208</v>
      </c>
      <c r="J72" s="14" t="s">
        <v>145</v>
      </c>
      <c r="K72" s="14"/>
    </row>
    <row r="73" spans="1:11">
      <c r="A73" s="62" t="s">
        <v>246</v>
      </c>
      <c r="B73" s="14">
        <v>2021</v>
      </c>
      <c r="C73" s="14" t="s">
        <v>166</v>
      </c>
      <c r="D73" s="14" t="s">
        <v>247</v>
      </c>
      <c r="E73" s="68"/>
      <c r="F73" s="76"/>
      <c r="G73" s="14" t="s">
        <v>248</v>
      </c>
      <c r="H73" s="14">
        <v>2020</v>
      </c>
      <c r="I73" s="14" t="s">
        <v>208</v>
      </c>
      <c r="J73" s="14" t="s">
        <v>145</v>
      </c>
      <c r="K73" s="14"/>
    </row>
    <row r="74" spans="1:11">
      <c r="A74" s="62" t="s">
        <v>249</v>
      </c>
      <c r="B74" s="14">
        <v>2021</v>
      </c>
      <c r="C74" s="14" t="s">
        <v>166</v>
      </c>
      <c r="D74" s="14" t="s">
        <v>139</v>
      </c>
      <c r="E74" s="68"/>
      <c r="F74" s="76"/>
      <c r="G74" s="14" t="s">
        <v>250</v>
      </c>
      <c r="H74" s="14">
        <v>2020</v>
      </c>
      <c r="I74" s="14" t="s">
        <v>208</v>
      </c>
      <c r="J74" s="14" t="s">
        <v>130</v>
      </c>
      <c r="K74" s="14"/>
    </row>
    <row r="75" spans="1:11">
      <c r="A75" s="62" t="s">
        <v>251</v>
      </c>
      <c r="B75" s="14">
        <v>2021</v>
      </c>
      <c r="C75" s="14" t="s">
        <v>166</v>
      </c>
      <c r="D75" s="14" t="s">
        <v>142</v>
      </c>
      <c r="E75" s="68"/>
      <c r="F75" s="76"/>
      <c r="G75" s="14" t="s">
        <v>252</v>
      </c>
      <c r="H75" s="14">
        <v>2020</v>
      </c>
      <c r="I75" s="14" t="s">
        <v>208</v>
      </c>
      <c r="J75" s="14" t="s">
        <v>130</v>
      </c>
      <c r="K75" s="14"/>
    </row>
    <row r="76" spans="1:11">
      <c r="A76" s="62" t="s">
        <v>253</v>
      </c>
      <c r="B76" s="14">
        <v>2021</v>
      </c>
      <c r="C76" s="14" t="s">
        <v>166</v>
      </c>
      <c r="D76" s="14" t="s">
        <v>145</v>
      </c>
      <c r="E76" s="68"/>
      <c r="F76" s="76"/>
      <c r="G76" s="14" t="s">
        <v>254</v>
      </c>
      <c r="H76" s="14">
        <v>2020</v>
      </c>
      <c r="I76" s="14" t="s">
        <v>208</v>
      </c>
      <c r="J76" s="14" t="s">
        <v>133</v>
      </c>
      <c r="K76" s="14"/>
    </row>
    <row r="77" spans="1:11">
      <c r="A77" s="62" t="s">
        <v>255</v>
      </c>
      <c r="B77" s="14">
        <v>2021</v>
      </c>
      <c r="C77" s="14" t="s">
        <v>166</v>
      </c>
      <c r="D77" s="14" t="s">
        <v>148</v>
      </c>
      <c r="E77" s="68"/>
      <c r="F77" s="76"/>
      <c r="G77" s="14" t="s">
        <v>256</v>
      </c>
      <c r="H77" s="14">
        <v>2020</v>
      </c>
      <c r="I77" s="14" t="s">
        <v>208</v>
      </c>
      <c r="J77" s="14" t="s">
        <v>133</v>
      </c>
      <c r="K77" s="14"/>
    </row>
    <row r="78" spans="1:11">
      <c r="A78" s="62" t="s">
        <v>257</v>
      </c>
      <c r="B78" s="14">
        <v>2021</v>
      </c>
      <c r="C78" s="14" t="s">
        <v>166</v>
      </c>
      <c r="D78" s="14" t="s">
        <v>151</v>
      </c>
      <c r="E78" s="68"/>
      <c r="F78" s="76"/>
      <c r="G78" s="14" t="s">
        <v>258</v>
      </c>
      <c r="H78" s="14">
        <v>2020</v>
      </c>
      <c r="I78" s="14" t="s">
        <v>208</v>
      </c>
      <c r="J78" s="14" t="s">
        <v>136</v>
      </c>
      <c r="K78" s="14"/>
    </row>
    <row r="79" spans="1:11">
      <c r="A79" s="62" t="s">
        <v>259</v>
      </c>
      <c r="B79" s="14">
        <v>2021</v>
      </c>
      <c r="C79" s="14" t="s">
        <v>166</v>
      </c>
      <c r="D79" s="14" t="s">
        <v>154</v>
      </c>
      <c r="E79" s="68"/>
      <c r="F79" s="76"/>
      <c r="G79" s="14" t="s">
        <v>260</v>
      </c>
      <c r="H79" s="14">
        <v>2020</v>
      </c>
      <c r="I79" s="14" t="s">
        <v>208</v>
      </c>
      <c r="J79" s="14" t="s">
        <v>136</v>
      </c>
      <c r="K79" s="14"/>
    </row>
    <row r="80" spans="1:11">
      <c r="A80" s="62" t="s">
        <v>261</v>
      </c>
      <c r="B80" s="14">
        <v>2021</v>
      </c>
      <c r="C80" s="14" t="s">
        <v>166</v>
      </c>
      <c r="D80" s="14" t="s">
        <v>157</v>
      </c>
      <c r="E80" s="68"/>
      <c r="F80" s="76"/>
      <c r="G80" s="14" t="s">
        <v>262</v>
      </c>
      <c r="H80" s="14">
        <v>2021</v>
      </c>
      <c r="I80" s="14" t="s">
        <v>168</v>
      </c>
      <c r="J80" s="14" t="s">
        <v>263</v>
      </c>
      <c r="K80" s="14"/>
    </row>
    <row r="81" spans="1:11">
      <c r="A81" s="62" t="s">
        <v>264</v>
      </c>
      <c r="B81" s="14">
        <v>2021</v>
      </c>
      <c r="C81" s="14" t="s">
        <v>166</v>
      </c>
      <c r="D81" s="14" t="s">
        <v>160</v>
      </c>
      <c r="E81" s="68"/>
      <c r="F81" s="76"/>
      <c r="G81" s="14" t="s">
        <v>265</v>
      </c>
      <c r="H81" s="14">
        <v>2021</v>
      </c>
      <c r="I81" s="14" t="s">
        <v>168</v>
      </c>
      <c r="J81" s="14" t="s">
        <v>266</v>
      </c>
      <c r="K81" s="14"/>
    </row>
    <row r="82" spans="1:11">
      <c r="A82" s="62" t="s">
        <v>267</v>
      </c>
      <c r="B82" s="14">
        <v>2021</v>
      </c>
      <c r="C82" s="14" t="s">
        <v>166</v>
      </c>
      <c r="D82" s="14" t="s">
        <v>163</v>
      </c>
      <c r="E82" s="68"/>
      <c r="F82" s="76"/>
      <c r="G82" s="14" t="s">
        <v>268</v>
      </c>
      <c r="H82" s="14">
        <v>2021</v>
      </c>
      <c r="I82" s="14" t="s">
        <v>168</v>
      </c>
      <c r="J82" s="14" t="s">
        <v>269</v>
      </c>
      <c r="K82" s="14"/>
    </row>
    <row r="83" spans="1:11">
      <c r="A83" s="62" t="s">
        <v>270</v>
      </c>
      <c r="B83" s="14">
        <v>2021</v>
      </c>
      <c r="C83" s="14" t="s">
        <v>166</v>
      </c>
      <c r="D83" s="14" t="s">
        <v>271</v>
      </c>
      <c r="E83" s="68"/>
      <c r="F83" s="76"/>
      <c r="G83" s="14" t="s">
        <v>272</v>
      </c>
      <c r="H83" s="14">
        <v>2021</v>
      </c>
      <c r="I83" s="14" t="s">
        <v>168</v>
      </c>
      <c r="J83" s="14" t="s">
        <v>273</v>
      </c>
      <c r="K83" s="14"/>
    </row>
    <row r="84" spans="1:11">
      <c r="A84" s="62" t="s">
        <v>274</v>
      </c>
      <c r="B84" s="14">
        <v>2021</v>
      </c>
      <c r="C84" s="14" t="s">
        <v>166</v>
      </c>
      <c r="D84" s="14" t="s">
        <v>275</v>
      </c>
      <c r="E84" s="68"/>
      <c r="F84" s="76"/>
      <c r="G84" s="14" t="s">
        <v>276</v>
      </c>
      <c r="H84" s="14">
        <v>2021</v>
      </c>
      <c r="I84" s="14" t="s">
        <v>168</v>
      </c>
      <c r="J84" s="14" t="s">
        <v>277</v>
      </c>
      <c r="K84" s="14"/>
    </row>
    <row r="85" spans="1:11">
      <c r="A85" s="62" t="s">
        <v>278</v>
      </c>
      <c r="B85" s="14">
        <v>2021</v>
      </c>
      <c r="C85" s="14" t="s">
        <v>166</v>
      </c>
      <c r="D85" s="14" t="s">
        <v>279</v>
      </c>
      <c r="E85" s="68"/>
      <c r="F85" s="76"/>
      <c r="G85" s="14" t="s">
        <v>280</v>
      </c>
      <c r="H85" s="14">
        <v>2021</v>
      </c>
      <c r="I85" s="14" t="s">
        <v>168</v>
      </c>
      <c r="J85" s="14" t="s">
        <v>281</v>
      </c>
      <c r="K85" s="14"/>
    </row>
    <row r="86" spans="1:11">
      <c r="A86" s="14"/>
      <c r="B86" s="14"/>
      <c r="C86" s="14"/>
      <c r="D86" s="14"/>
      <c r="E86" s="14"/>
      <c r="F86" s="76"/>
      <c r="G86" s="14" t="s">
        <v>282</v>
      </c>
      <c r="H86" s="14">
        <v>2021</v>
      </c>
      <c r="I86" s="14" t="s">
        <v>168</v>
      </c>
      <c r="J86" s="14" t="s">
        <v>283</v>
      </c>
      <c r="K86" s="14"/>
    </row>
    <row r="87" spans="1:11">
      <c r="A87" s="14"/>
      <c r="B87" s="14"/>
      <c r="C87" s="14"/>
      <c r="D87" s="14"/>
      <c r="E87" s="14"/>
      <c r="F87" s="76"/>
      <c r="G87" s="14" t="s">
        <v>284</v>
      </c>
      <c r="H87" s="14">
        <v>2021</v>
      </c>
      <c r="I87" s="14" t="s">
        <v>168</v>
      </c>
      <c r="J87" s="14" t="s">
        <v>285</v>
      </c>
      <c r="K87" s="14"/>
    </row>
    <row r="88" spans="1:11">
      <c r="A88" s="14"/>
      <c r="B88" s="14"/>
      <c r="C88" s="14"/>
      <c r="D88" s="14"/>
      <c r="E88" s="14"/>
      <c r="F88" s="76"/>
      <c r="G88" s="14" t="s">
        <v>286</v>
      </c>
      <c r="H88" s="14">
        <v>2021</v>
      </c>
      <c r="I88" s="14" t="s">
        <v>168</v>
      </c>
      <c r="J88" s="14" t="s">
        <v>287</v>
      </c>
      <c r="K88" s="14"/>
    </row>
    <row r="89" spans="1:11">
      <c r="A89" s="14"/>
      <c r="B89" s="14"/>
      <c r="C89" s="14"/>
      <c r="D89" s="14"/>
      <c r="E89" s="14"/>
      <c r="F89" s="76"/>
      <c r="G89" s="14" t="s">
        <v>288</v>
      </c>
      <c r="H89" s="14">
        <v>2021</v>
      </c>
      <c r="I89" s="14" t="s">
        <v>289</v>
      </c>
      <c r="J89" s="14" t="s">
        <v>57</v>
      </c>
      <c r="K89" s="14"/>
    </row>
    <row r="90" spans="1:11">
      <c r="A90" s="14"/>
      <c r="B90" s="14"/>
      <c r="C90" s="14"/>
      <c r="D90" s="14"/>
      <c r="E90" s="14"/>
      <c r="F90" s="76"/>
      <c r="G90" s="14" t="s">
        <v>290</v>
      </c>
      <c r="H90" s="14">
        <v>2021</v>
      </c>
      <c r="I90" s="14" t="s">
        <v>289</v>
      </c>
      <c r="J90" s="14" t="s">
        <v>60</v>
      </c>
      <c r="K90" s="14"/>
    </row>
    <row r="91" spans="1:11">
      <c r="A91" s="14"/>
      <c r="B91" s="14"/>
      <c r="C91" s="14"/>
      <c r="D91" s="14"/>
      <c r="E91" s="14"/>
      <c r="F91" s="76"/>
      <c r="G91" s="14" t="s">
        <v>291</v>
      </c>
      <c r="H91" s="14">
        <v>2021</v>
      </c>
      <c r="I91" s="14" t="s">
        <v>289</v>
      </c>
      <c r="J91" s="14" t="s">
        <v>63</v>
      </c>
      <c r="K91" s="14"/>
    </row>
    <row r="92" spans="1:11">
      <c r="A92" s="14"/>
      <c r="B92" s="14"/>
      <c r="C92" s="14"/>
      <c r="D92" s="14"/>
      <c r="E92" s="14"/>
      <c r="F92" s="76"/>
      <c r="G92" s="14" t="s">
        <v>292</v>
      </c>
      <c r="H92" s="14">
        <v>2021</v>
      </c>
      <c r="I92" s="14" t="s">
        <v>289</v>
      </c>
      <c r="J92" s="14" t="s">
        <v>66</v>
      </c>
      <c r="K92" s="14"/>
    </row>
    <row r="93" spans="1:11">
      <c r="A93" s="14"/>
      <c r="B93" s="14"/>
      <c r="C93" s="14"/>
      <c r="D93" s="14"/>
      <c r="E93" s="14"/>
      <c r="F93" s="76"/>
      <c r="G93" s="14" t="s">
        <v>293</v>
      </c>
      <c r="H93" s="14">
        <v>2021</v>
      </c>
      <c r="I93" s="14" t="s">
        <v>289</v>
      </c>
      <c r="J93" s="14" t="s">
        <v>69</v>
      </c>
      <c r="K93" s="14"/>
    </row>
    <row r="94" spans="1:11">
      <c r="A94" s="14"/>
      <c r="B94" s="14"/>
      <c r="C94" s="14"/>
      <c r="D94" s="14"/>
      <c r="E94" s="14"/>
      <c r="F94" s="76"/>
      <c r="G94" s="14" t="s">
        <v>294</v>
      </c>
      <c r="H94" s="14">
        <v>2021</v>
      </c>
      <c r="I94" s="14" t="s">
        <v>289</v>
      </c>
      <c r="J94" s="14" t="s">
        <v>72</v>
      </c>
      <c r="K94" s="14"/>
    </row>
    <row r="95" spans="1:11">
      <c r="A95" s="14"/>
      <c r="B95" s="14"/>
      <c r="C95" s="14"/>
      <c r="D95" s="14"/>
      <c r="E95" s="14"/>
      <c r="F95" s="76"/>
      <c r="G95" s="14" t="s">
        <v>295</v>
      </c>
      <c r="H95" s="14">
        <v>2021</v>
      </c>
      <c r="I95" s="14" t="s">
        <v>289</v>
      </c>
      <c r="J95" s="14" t="s">
        <v>75</v>
      </c>
      <c r="K95" s="14"/>
    </row>
    <row r="96" spans="1:11">
      <c r="A96" s="14"/>
      <c r="B96" s="14"/>
      <c r="C96" s="14"/>
      <c r="D96" s="14"/>
      <c r="E96" s="14"/>
      <c r="F96" s="76"/>
      <c r="G96" s="14" t="s">
        <v>296</v>
      </c>
      <c r="H96" s="14">
        <v>2021</v>
      </c>
      <c r="I96" s="14" t="s">
        <v>289</v>
      </c>
      <c r="J96" s="14" t="s">
        <v>78</v>
      </c>
      <c r="K96" s="14"/>
    </row>
    <row r="97" spans="1:11">
      <c r="A97" s="14"/>
      <c r="B97" s="14"/>
      <c r="C97" s="14"/>
      <c r="D97" s="14"/>
      <c r="E97" s="14"/>
      <c r="F97" s="76"/>
      <c r="G97" s="14" t="s">
        <v>297</v>
      </c>
      <c r="H97" s="14">
        <v>2021</v>
      </c>
      <c r="I97" s="14" t="s">
        <v>289</v>
      </c>
      <c r="J97" s="14" t="s">
        <v>81</v>
      </c>
      <c r="K97" s="14"/>
    </row>
    <row r="98" spans="1:11">
      <c r="A98" s="14"/>
      <c r="B98" s="14"/>
      <c r="C98" s="14"/>
      <c r="D98" s="14"/>
      <c r="E98" s="14"/>
      <c r="F98" s="76"/>
      <c r="G98" s="14" t="s">
        <v>298</v>
      </c>
      <c r="H98" s="14">
        <v>2021</v>
      </c>
      <c r="I98" s="14" t="s">
        <v>289</v>
      </c>
      <c r="J98" s="14" t="s">
        <v>186</v>
      </c>
      <c r="K98" s="14"/>
    </row>
    <row r="99" spans="1:11">
      <c r="A99" s="14"/>
      <c r="B99" s="14"/>
      <c r="C99" s="14"/>
      <c r="D99" s="14"/>
      <c r="E99" s="14"/>
      <c r="F99" s="76"/>
      <c r="G99" s="14" t="s">
        <v>299</v>
      </c>
      <c r="H99" s="14">
        <v>2021</v>
      </c>
      <c r="I99" s="14" t="s">
        <v>289</v>
      </c>
      <c r="J99" s="14" t="s">
        <v>189</v>
      </c>
      <c r="K99" s="14"/>
    </row>
    <row r="100" spans="1:11">
      <c r="A100" s="14"/>
      <c r="B100" s="14"/>
      <c r="C100" s="14"/>
      <c r="D100" s="14"/>
      <c r="E100" s="14"/>
      <c r="F100" s="76"/>
      <c r="G100" s="14" t="s">
        <v>300</v>
      </c>
      <c r="H100" s="14">
        <v>2021</v>
      </c>
      <c r="I100" s="14" t="s">
        <v>289</v>
      </c>
      <c r="J100" s="14" t="s">
        <v>192</v>
      </c>
      <c r="K100" s="14"/>
    </row>
    <row r="101" spans="1:11">
      <c r="A101" s="14"/>
      <c r="B101" s="14"/>
      <c r="C101" s="14"/>
      <c r="D101" s="14"/>
      <c r="E101" s="14"/>
      <c r="F101" s="76"/>
      <c r="G101" s="14" t="s">
        <v>301</v>
      </c>
      <c r="H101" s="14">
        <v>2021</v>
      </c>
      <c r="I101" s="14" t="s">
        <v>289</v>
      </c>
      <c r="J101" s="14" t="s">
        <v>84</v>
      </c>
      <c r="K101" s="14"/>
    </row>
    <row r="102" spans="1:11">
      <c r="A102" s="14"/>
      <c r="B102" s="14"/>
      <c r="C102" s="14"/>
      <c r="D102" s="14"/>
      <c r="E102" s="14"/>
      <c r="F102" s="76"/>
      <c r="G102" s="14" t="s">
        <v>302</v>
      </c>
      <c r="H102" s="14">
        <v>2021</v>
      </c>
      <c r="I102" s="14" t="s">
        <v>289</v>
      </c>
      <c r="J102" s="14" t="s">
        <v>87</v>
      </c>
      <c r="K102" s="14"/>
    </row>
    <row r="103" spans="1:11">
      <c r="A103" s="14"/>
      <c r="B103" s="14"/>
      <c r="C103" s="14"/>
      <c r="D103" s="14"/>
      <c r="E103" s="14"/>
      <c r="F103" s="76"/>
      <c r="G103" s="14" t="s">
        <v>303</v>
      </c>
      <c r="H103" s="14">
        <v>2021</v>
      </c>
      <c r="I103" s="14" t="s">
        <v>289</v>
      </c>
      <c r="J103" s="14" t="s">
        <v>90</v>
      </c>
      <c r="K103" s="14"/>
    </row>
    <row r="104" spans="1:11">
      <c r="A104" s="14"/>
      <c r="B104" s="14"/>
      <c r="C104" s="14"/>
      <c r="D104" s="14"/>
      <c r="E104" s="14"/>
      <c r="F104" s="76"/>
      <c r="G104" s="14" t="s">
        <v>304</v>
      </c>
      <c r="H104" s="14">
        <v>2021</v>
      </c>
      <c r="I104" s="14" t="s">
        <v>289</v>
      </c>
      <c r="J104" s="14" t="s">
        <v>93</v>
      </c>
      <c r="K104" s="14"/>
    </row>
    <row r="105" spans="1:11">
      <c r="A105" s="14"/>
      <c r="B105" s="14"/>
      <c r="C105" s="14"/>
      <c r="D105" s="14"/>
      <c r="E105" s="14"/>
      <c r="F105" s="76"/>
      <c r="G105" s="14" t="s">
        <v>305</v>
      </c>
      <c r="H105" s="14">
        <v>2021</v>
      </c>
      <c r="I105" s="14" t="s">
        <v>289</v>
      </c>
      <c r="J105" s="14" t="s">
        <v>96</v>
      </c>
      <c r="K105" s="14"/>
    </row>
    <row r="106" spans="1:11">
      <c r="A106" s="14"/>
      <c r="B106" s="14"/>
      <c r="C106" s="14"/>
      <c r="D106" s="14"/>
      <c r="E106" s="14"/>
      <c r="F106" s="76"/>
      <c r="G106" s="14" t="s">
        <v>306</v>
      </c>
      <c r="H106" s="14">
        <v>2021</v>
      </c>
      <c r="I106" s="14" t="s">
        <v>289</v>
      </c>
      <c r="J106" s="14" t="s">
        <v>99</v>
      </c>
      <c r="K106" s="14"/>
    </row>
    <row r="107" spans="1:11">
      <c r="A107" s="14"/>
      <c r="B107" s="14"/>
      <c r="C107" s="14"/>
      <c r="D107" s="14"/>
      <c r="E107" s="14"/>
      <c r="F107" s="76"/>
      <c r="G107" s="14" t="s">
        <v>307</v>
      </c>
      <c r="H107" s="14">
        <v>2021</v>
      </c>
      <c r="I107" s="14" t="s">
        <v>289</v>
      </c>
      <c r="J107" s="14" t="s">
        <v>102</v>
      </c>
      <c r="K107" s="14"/>
    </row>
    <row r="108" spans="1:11">
      <c r="A108" s="14"/>
      <c r="B108" s="14"/>
      <c r="C108" s="14"/>
      <c r="D108" s="14"/>
      <c r="E108" s="14"/>
      <c r="F108" s="76"/>
      <c r="G108" s="14" t="s">
        <v>308</v>
      </c>
      <c r="H108" s="14">
        <v>2021</v>
      </c>
      <c r="I108" s="14" t="s">
        <v>289</v>
      </c>
      <c r="J108" s="14" t="s">
        <v>105</v>
      </c>
      <c r="K108" s="14"/>
    </row>
    <row r="109" spans="1:11">
      <c r="A109" s="14"/>
      <c r="B109" s="14"/>
      <c r="C109" s="14"/>
      <c r="D109" s="14"/>
      <c r="E109" s="14"/>
      <c r="F109" s="76"/>
      <c r="G109" s="14" t="s">
        <v>309</v>
      </c>
      <c r="H109" s="14">
        <v>2021</v>
      </c>
      <c r="I109" s="14" t="s">
        <v>289</v>
      </c>
      <c r="J109" s="14" t="s">
        <v>108</v>
      </c>
      <c r="K109" s="14"/>
    </row>
    <row r="110" spans="1:11">
      <c r="A110" s="14"/>
      <c r="B110" s="14"/>
      <c r="C110" s="14"/>
      <c r="D110" s="14"/>
      <c r="E110" s="14"/>
      <c r="F110" s="76"/>
      <c r="G110" s="14" t="s">
        <v>310</v>
      </c>
      <c r="H110" s="14">
        <v>2021</v>
      </c>
      <c r="I110" s="14" t="s">
        <v>289</v>
      </c>
      <c r="J110" s="14" t="s">
        <v>214</v>
      </c>
      <c r="K110" s="14"/>
    </row>
    <row r="111" spans="1:11">
      <c r="A111" s="14"/>
      <c r="B111" s="14"/>
      <c r="C111" s="14"/>
      <c r="D111" s="14"/>
      <c r="E111" s="14"/>
      <c r="F111" s="76"/>
      <c r="G111" s="14" t="s">
        <v>311</v>
      </c>
      <c r="H111" s="14">
        <v>2021</v>
      </c>
      <c r="I111" s="14" t="s">
        <v>289</v>
      </c>
      <c r="J111" s="14" t="s">
        <v>217</v>
      </c>
      <c r="K111" s="14"/>
    </row>
    <row r="112" spans="1:11">
      <c r="A112" s="14"/>
      <c r="B112" s="14"/>
      <c r="C112" s="14"/>
      <c r="D112" s="14"/>
      <c r="E112" s="14"/>
      <c r="F112" s="76"/>
      <c r="G112" s="14" t="s">
        <v>312</v>
      </c>
      <c r="H112" s="14">
        <v>2021</v>
      </c>
      <c r="I112" s="14" t="s">
        <v>289</v>
      </c>
      <c r="J112" s="14" t="s">
        <v>220</v>
      </c>
      <c r="K112" s="14"/>
    </row>
    <row r="113" spans="1:11">
      <c r="A113" s="14"/>
      <c r="B113" s="14"/>
      <c r="C113" s="14"/>
      <c r="D113" s="14"/>
      <c r="E113" s="14"/>
      <c r="F113" s="76"/>
      <c r="G113" s="14" t="s">
        <v>313</v>
      </c>
      <c r="H113" s="14">
        <v>2021</v>
      </c>
      <c r="I113" s="14" t="s">
        <v>289</v>
      </c>
      <c r="J113" s="14" t="s">
        <v>112</v>
      </c>
      <c r="K113" s="14"/>
    </row>
    <row r="114" spans="1:11">
      <c r="A114" s="14"/>
      <c r="B114" s="14"/>
      <c r="C114" s="14"/>
      <c r="D114" s="14"/>
      <c r="E114" s="14"/>
      <c r="F114" s="76"/>
      <c r="G114" s="14" t="s">
        <v>314</v>
      </c>
      <c r="H114" s="14">
        <v>2021</v>
      </c>
      <c r="I114" s="14" t="s">
        <v>289</v>
      </c>
      <c r="J114" s="14" t="s">
        <v>115</v>
      </c>
      <c r="K114" s="14"/>
    </row>
    <row r="115" spans="1:11">
      <c r="A115" s="14"/>
      <c r="B115" s="14"/>
      <c r="C115" s="14"/>
      <c r="D115" s="14"/>
      <c r="E115" s="14"/>
      <c r="F115" s="76"/>
      <c r="G115" s="14" t="s">
        <v>315</v>
      </c>
      <c r="H115" s="14">
        <v>2021</v>
      </c>
      <c r="I115" s="14" t="s">
        <v>289</v>
      </c>
      <c r="J115" s="14" t="s">
        <v>118</v>
      </c>
      <c r="K115" s="14"/>
    </row>
    <row r="116" spans="1:11">
      <c r="A116" s="14"/>
      <c r="B116" s="14"/>
      <c r="C116" s="14"/>
      <c r="D116" s="14"/>
      <c r="E116" s="14"/>
      <c r="F116" s="76"/>
      <c r="G116" s="14" t="s">
        <v>316</v>
      </c>
      <c r="H116" s="14">
        <v>2021</v>
      </c>
      <c r="I116" s="14" t="s">
        <v>289</v>
      </c>
      <c r="J116" s="14" t="s">
        <v>121</v>
      </c>
      <c r="K116" s="14"/>
    </row>
    <row r="117" spans="1:11">
      <c r="A117" s="14"/>
      <c r="B117" s="14"/>
      <c r="C117" s="14"/>
      <c r="D117" s="14"/>
      <c r="E117" s="14"/>
      <c r="F117" s="76"/>
      <c r="G117" s="14" t="s">
        <v>317</v>
      </c>
      <c r="H117" s="14">
        <v>2021</v>
      </c>
      <c r="I117" s="14" t="s">
        <v>289</v>
      </c>
      <c r="J117" s="14" t="s">
        <v>124</v>
      </c>
      <c r="K117" s="14"/>
    </row>
    <row r="118" spans="1:11">
      <c r="A118" s="14"/>
      <c r="B118" s="14"/>
      <c r="C118" s="14"/>
      <c r="D118" s="14"/>
      <c r="E118" s="14"/>
      <c r="F118" s="76"/>
      <c r="G118" s="14" t="s">
        <v>318</v>
      </c>
      <c r="H118" s="14">
        <v>2021</v>
      </c>
      <c r="I118" s="14" t="s">
        <v>289</v>
      </c>
      <c r="J118" s="14" t="s">
        <v>127</v>
      </c>
      <c r="K118" s="14"/>
    </row>
    <row r="119" spans="1:11">
      <c r="A119" s="14"/>
      <c r="B119" s="14"/>
      <c r="C119" s="14"/>
      <c r="D119" s="14"/>
      <c r="E119" s="14"/>
      <c r="F119" s="76"/>
      <c r="G119" s="14" t="s">
        <v>319</v>
      </c>
      <c r="H119" s="14">
        <v>2021</v>
      </c>
      <c r="I119" s="14" t="s">
        <v>289</v>
      </c>
      <c r="J119" s="14" t="s">
        <v>130</v>
      </c>
      <c r="K119" s="14"/>
    </row>
    <row r="120" spans="1:11">
      <c r="A120" s="14"/>
      <c r="B120" s="14"/>
      <c r="C120" s="14"/>
      <c r="D120" s="14"/>
      <c r="E120" s="14"/>
      <c r="F120" s="76"/>
      <c r="G120" s="14" t="s">
        <v>320</v>
      </c>
      <c r="H120" s="14">
        <v>2021</v>
      </c>
      <c r="I120" s="14" t="s">
        <v>289</v>
      </c>
      <c r="J120" s="14" t="s">
        <v>133</v>
      </c>
      <c r="K120" s="14"/>
    </row>
    <row r="121" spans="1:11">
      <c r="A121" s="14"/>
      <c r="B121" s="14"/>
      <c r="C121" s="14"/>
      <c r="D121" s="14"/>
      <c r="E121" s="14"/>
      <c r="F121" s="76"/>
      <c r="G121" s="14" t="s">
        <v>321</v>
      </c>
      <c r="H121" s="14">
        <v>2021</v>
      </c>
      <c r="I121" s="14" t="s">
        <v>289</v>
      </c>
      <c r="J121" s="14" t="s">
        <v>136</v>
      </c>
      <c r="K121" s="14"/>
    </row>
    <row r="122" spans="1:11">
      <c r="A122" s="14"/>
      <c r="B122" s="14"/>
      <c r="C122" s="14"/>
      <c r="D122" s="14"/>
      <c r="E122" s="14"/>
      <c r="F122" s="76"/>
      <c r="G122" s="14" t="s">
        <v>322</v>
      </c>
      <c r="H122" s="14">
        <v>2021</v>
      </c>
      <c r="I122" s="14" t="s">
        <v>289</v>
      </c>
      <c r="J122" s="14" t="s">
        <v>241</v>
      </c>
      <c r="K122" s="14"/>
    </row>
    <row r="123" spans="1:11">
      <c r="A123" s="14"/>
      <c r="B123" s="14"/>
      <c r="C123" s="14"/>
      <c r="D123" s="14"/>
      <c r="E123" s="14"/>
      <c r="F123" s="76"/>
      <c r="G123" s="14" t="s">
        <v>323</v>
      </c>
      <c r="H123" s="14">
        <v>2021</v>
      </c>
      <c r="I123" s="14" t="s">
        <v>289</v>
      </c>
      <c r="J123" s="14" t="s">
        <v>244</v>
      </c>
      <c r="K123" s="14"/>
    </row>
    <row r="124" spans="1:11">
      <c r="A124" s="14"/>
      <c r="B124" s="14"/>
      <c r="C124" s="14"/>
      <c r="D124" s="14"/>
      <c r="E124" s="14"/>
      <c r="F124" s="76"/>
      <c r="G124" s="14" t="s">
        <v>324</v>
      </c>
      <c r="H124" s="14">
        <v>2021</v>
      </c>
      <c r="I124" s="14" t="s">
        <v>289</v>
      </c>
      <c r="J124" s="14" t="s">
        <v>247</v>
      </c>
      <c r="K124" s="14"/>
    </row>
    <row r="125" spans="1:11">
      <c r="A125" s="14"/>
      <c r="B125" s="14"/>
      <c r="C125" s="14"/>
      <c r="D125" s="14"/>
      <c r="E125" s="14"/>
      <c r="F125" s="76"/>
      <c r="G125" s="14" t="s">
        <v>325</v>
      </c>
      <c r="H125" s="14">
        <v>2021</v>
      </c>
      <c r="I125" s="14" t="s">
        <v>289</v>
      </c>
      <c r="J125" s="14" t="s">
        <v>139</v>
      </c>
      <c r="K125" s="14"/>
    </row>
    <row r="126" spans="1:11">
      <c r="A126" s="14"/>
      <c r="B126" s="14"/>
      <c r="C126" s="14"/>
      <c r="D126" s="14"/>
      <c r="E126" s="14"/>
      <c r="F126" s="76"/>
      <c r="G126" s="14" t="s">
        <v>326</v>
      </c>
      <c r="H126" s="14">
        <v>2021</v>
      </c>
      <c r="I126" s="14" t="s">
        <v>289</v>
      </c>
      <c r="J126" s="14" t="s">
        <v>142</v>
      </c>
      <c r="K126" s="14"/>
    </row>
    <row r="127" spans="1:11">
      <c r="A127" s="14"/>
      <c r="B127" s="14"/>
      <c r="C127" s="14"/>
      <c r="D127" s="14"/>
      <c r="E127" s="14"/>
      <c r="F127" s="76"/>
      <c r="G127" s="14" t="s">
        <v>327</v>
      </c>
      <c r="H127" s="14">
        <v>2021</v>
      </c>
      <c r="I127" s="14" t="s">
        <v>289</v>
      </c>
      <c r="J127" s="14" t="s">
        <v>145</v>
      </c>
      <c r="K127" s="14"/>
    </row>
    <row r="128" spans="1:11">
      <c r="A128" s="14"/>
      <c r="B128" s="14"/>
      <c r="C128" s="14"/>
      <c r="D128" s="14"/>
      <c r="E128" s="14"/>
      <c r="F128" s="76"/>
      <c r="G128" s="14" t="s">
        <v>328</v>
      </c>
      <c r="H128" s="14">
        <v>2021</v>
      </c>
      <c r="I128" s="14" t="s">
        <v>289</v>
      </c>
      <c r="J128" s="14" t="s">
        <v>148</v>
      </c>
      <c r="K128" s="14"/>
    </row>
    <row r="129" spans="1:11">
      <c r="A129" s="14"/>
      <c r="B129" s="14"/>
      <c r="C129" s="14"/>
      <c r="D129" s="14"/>
      <c r="E129" s="14"/>
      <c r="F129" s="76"/>
      <c r="G129" s="14" t="s">
        <v>329</v>
      </c>
      <c r="H129" s="14">
        <v>2021</v>
      </c>
      <c r="I129" s="14" t="s">
        <v>289</v>
      </c>
      <c r="J129" s="14" t="s">
        <v>151</v>
      </c>
      <c r="K129" s="14"/>
    </row>
    <row r="130" spans="1:11">
      <c r="A130" s="14"/>
      <c r="B130" s="14"/>
      <c r="C130" s="14"/>
      <c r="D130" s="14"/>
      <c r="E130" s="14"/>
      <c r="F130" s="76"/>
      <c r="G130" s="14" t="s">
        <v>330</v>
      </c>
      <c r="H130" s="14">
        <v>2021</v>
      </c>
      <c r="I130" s="14" t="s">
        <v>289</v>
      </c>
      <c r="J130" s="14" t="s">
        <v>154</v>
      </c>
      <c r="K130" s="14"/>
    </row>
    <row r="131" spans="1:11">
      <c r="A131" s="14"/>
      <c r="B131" s="14"/>
      <c r="C131" s="14"/>
      <c r="D131" s="14"/>
      <c r="E131" s="14"/>
      <c r="F131" s="76"/>
      <c r="G131" s="14" t="s">
        <v>331</v>
      </c>
      <c r="H131" s="14">
        <v>2021</v>
      </c>
      <c r="I131" s="14" t="s">
        <v>289</v>
      </c>
      <c r="J131" s="14" t="s">
        <v>157</v>
      </c>
      <c r="K131" s="14"/>
    </row>
    <row r="132" spans="1:11">
      <c r="A132" s="14"/>
      <c r="B132" s="14"/>
      <c r="C132" s="14"/>
      <c r="D132" s="14"/>
      <c r="E132" s="14"/>
      <c r="F132" s="76"/>
      <c r="G132" s="14" t="s">
        <v>332</v>
      </c>
      <c r="H132" s="14">
        <v>2021</v>
      </c>
      <c r="I132" s="14" t="s">
        <v>289</v>
      </c>
      <c r="J132" s="14" t="s">
        <v>160</v>
      </c>
      <c r="K132" s="14"/>
    </row>
    <row r="133" spans="1:11">
      <c r="A133" s="14"/>
      <c r="B133" s="14"/>
      <c r="C133" s="14"/>
      <c r="D133" s="14"/>
      <c r="E133" s="14"/>
      <c r="F133" s="76"/>
      <c r="G133" s="14" t="s">
        <v>333</v>
      </c>
      <c r="H133" s="14">
        <v>2021</v>
      </c>
      <c r="I133" s="14" t="s">
        <v>289</v>
      </c>
      <c r="J133" s="14" t="s">
        <v>163</v>
      </c>
      <c r="K133" s="14"/>
    </row>
    <row r="134" spans="1:11">
      <c r="A134" s="14"/>
      <c r="B134" s="14"/>
      <c r="C134" s="14"/>
      <c r="D134" s="14"/>
      <c r="E134" s="14"/>
      <c r="F134" s="76"/>
      <c r="G134" s="14" t="s">
        <v>334</v>
      </c>
      <c r="H134" s="14">
        <v>2021</v>
      </c>
      <c r="I134" s="14" t="s">
        <v>289</v>
      </c>
      <c r="J134" s="14" t="s">
        <v>271</v>
      </c>
      <c r="K134" s="14"/>
    </row>
    <row r="135" spans="1:11">
      <c r="A135" s="14"/>
      <c r="B135" s="14"/>
      <c r="C135" s="14"/>
      <c r="D135" s="14"/>
      <c r="E135" s="14"/>
      <c r="F135" s="76"/>
      <c r="G135" s="14" t="s">
        <v>335</v>
      </c>
      <c r="H135" s="14">
        <v>2021</v>
      </c>
      <c r="I135" s="14" t="s">
        <v>289</v>
      </c>
      <c r="J135" s="14" t="s">
        <v>275</v>
      </c>
      <c r="K135" s="14"/>
    </row>
    <row r="136" spans="1:11">
      <c r="A136" s="14"/>
      <c r="B136" s="14"/>
      <c r="C136" s="14"/>
      <c r="D136" s="14"/>
      <c r="E136" s="14"/>
      <c r="F136" s="76"/>
      <c r="G136" s="14" t="s">
        <v>336</v>
      </c>
      <c r="H136" s="14">
        <v>2021</v>
      </c>
      <c r="I136" s="14" t="s">
        <v>289</v>
      </c>
      <c r="J136" s="14" t="s">
        <v>279</v>
      </c>
      <c r="K136" s="14"/>
    </row>
    <row r="137" spans="1:11">
      <c r="A137" s="14"/>
      <c r="B137" s="14"/>
      <c r="C137" s="14"/>
      <c r="D137" s="14"/>
      <c r="E137" s="14"/>
      <c r="F137" s="76"/>
      <c r="G137" s="14" t="s">
        <v>337</v>
      </c>
      <c r="H137" s="14">
        <v>2021</v>
      </c>
      <c r="I137" s="14" t="s">
        <v>289</v>
      </c>
      <c r="J137" s="14" t="s">
        <v>57</v>
      </c>
      <c r="K137" s="14"/>
    </row>
    <row r="138" spans="1:11">
      <c r="A138" s="14"/>
      <c r="B138" s="14"/>
      <c r="C138" s="14"/>
      <c r="D138" s="14"/>
      <c r="E138" s="14"/>
      <c r="F138" s="76"/>
      <c r="G138" s="14" t="s">
        <v>338</v>
      </c>
      <c r="H138" s="14">
        <v>2021</v>
      </c>
      <c r="I138" s="14" t="s">
        <v>289</v>
      </c>
      <c r="J138" s="14" t="s">
        <v>60</v>
      </c>
      <c r="K138" s="14"/>
    </row>
    <row r="139" spans="1:11">
      <c r="A139" s="14"/>
      <c r="B139" s="14"/>
      <c r="C139" s="14"/>
      <c r="D139" s="14"/>
      <c r="E139" s="14"/>
      <c r="F139" s="76"/>
      <c r="G139" s="14" t="s">
        <v>339</v>
      </c>
      <c r="H139" s="14">
        <v>2021</v>
      </c>
      <c r="I139" s="14" t="s">
        <v>289</v>
      </c>
      <c r="J139" s="14" t="s">
        <v>63</v>
      </c>
      <c r="K139" s="14"/>
    </row>
    <row r="140" spans="1:11">
      <c r="A140" s="14"/>
      <c r="B140" s="14"/>
      <c r="C140" s="14"/>
      <c r="D140" s="14"/>
      <c r="E140" s="14"/>
      <c r="F140" s="76"/>
      <c r="G140" s="14" t="s">
        <v>340</v>
      </c>
      <c r="H140" s="14">
        <v>2021</v>
      </c>
      <c r="I140" s="14" t="s">
        <v>289</v>
      </c>
      <c r="J140" s="14" t="s">
        <v>66</v>
      </c>
      <c r="K140" s="14"/>
    </row>
    <row r="141" spans="1:11">
      <c r="A141" s="14"/>
      <c r="B141" s="14"/>
      <c r="C141" s="14"/>
      <c r="D141" s="14"/>
      <c r="E141" s="14"/>
      <c r="F141" s="76"/>
      <c r="G141" s="14" t="s">
        <v>341</v>
      </c>
      <c r="H141" s="14">
        <v>2021</v>
      </c>
      <c r="I141" s="14" t="s">
        <v>289</v>
      </c>
      <c r="J141" s="14" t="s">
        <v>69</v>
      </c>
      <c r="K141" s="14"/>
    </row>
    <row r="142" spans="1:11">
      <c r="A142" s="14"/>
      <c r="B142" s="14"/>
      <c r="C142" s="14"/>
      <c r="D142" s="14"/>
      <c r="E142" s="14"/>
      <c r="F142" s="76"/>
      <c r="G142" s="14" t="s">
        <v>342</v>
      </c>
      <c r="H142" s="14">
        <v>2021</v>
      </c>
      <c r="I142" s="14" t="s">
        <v>289</v>
      </c>
      <c r="J142" s="14" t="s">
        <v>72</v>
      </c>
      <c r="K142" s="14"/>
    </row>
    <row r="143" spans="1:11">
      <c r="A143" s="14"/>
      <c r="B143" s="14"/>
      <c r="C143" s="14"/>
      <c r="D143" s="14"/>
      <c r="E143" s="14"/>
      <c r="F143" s="76"/>
      <c r="G143" s="14" t="s">
        <v>343</v>
      </c>
      <c r="H143" s="14">
        <v>2021</v>
      </c>
      <c r="I143" s="14" t="s">
        <v>289</v>
      </c>
      <c r="J143" s="14" t="s">
        <v>75</v>
      </c>
      <c r="K143" s="14"/>
    </row>
    <row r="144" spans="1:11">
      <c r="A144" s="14"/>
      <c r="B144" s="14"/>
      <c r="C144" s="14"/>
      <c r="D144" s="14"/>
      <c r="E144" s="14"/>
      <c r="F144" s="76"/>
      <c r="G144" s="14" t="s">
        <v>344</v>
      </c>
      <c r="H144" s="14">
        <v>2021</v>
      </c>
      <c r="I144" s="14" t="s">
        <v>289</v>
      </c>
      <c r="J144" s="14" t="s">
        <v>78</v>
      </c>
      <c r="K144" s="14"/>
    </row>
    <row r="145" spans="1:11">
      <c r="A145" s="14"/>
      <c r="B145" s="14"/>
      <c r="C145" s="14"/>
      <c r="D145" s="14"/>
      <c r="E145" s="14"/>
      <c r="F145" s="76"/>
      <c r="G145" s="14" t="s">
        <v>345</v>
      </c>
      <c r="H145" s="14">
        <v>2021</v>
      </c>
      <c r="I145" s="14" t="s">
        <v>289</v>
      </c>
      <c r="J145" s="14" t="s">
        <v>81</v>
      </c>
      <c r="K145" s="14"/>
    </row>
    <row r="146" spans="1:11">
      <c r="A146" s="14"/>
      <c r="B146" s="14"/>
      <c r="C146" s="14"/>
      <c r="D146" s="14"/>
      <c r="E146" s="14"/>
      <c r="F146" s="76"/>
      <c r="G146" s="14" t="s">
        <v>346</v>
      </c>
      <c r="H146" s="14">
        <v>2021</v>
      </c>
      <c r="I146" s="14" t="s">
        <v>289</v>
      </c>
      <c r="J146" s="14" t="s">
        <v>186</v>
      </c>
      <c r="K146" s="14"/>
    </row>
    <row r="147" spans="1:11">
      <c r="A147" s="14"/>
      <c r="B147" s="14"/>
      <c r="C147" s="14"/>
      <c r="D147" s="14"/>
      <c r="E147" s="14"/>
      <c r="F147" s="76"/>
      <c r="G147" s="14" t="s">
        <v>347</v>
      </c>
      <c r="H147" s="14">
        <v>2021</v>
      </c>
      <c r="I147" s="14" t="s">
        <v>289</v>
      </c>
      <c r="J147" s="14" t="s">
        <v>189</v>
      </c>
      <c r="K147" s="14"/>
    </row>
    <row r="148" spans="1:11">
      <c r="A148" s="14"/>
      <c r="B148" s="14"/>
      <c r="C148" s="14"/>
      <c r="D148" s="14"/>
      <c r="E148" s="14"/>
      <c r="F148" s="76"/>
      <c r="G148" s="14" t="s">
        <v>348</v>
      </c>
      <c r="H148" s="14">
        <v>2021</v>
      </c>
      <c r="I148" s="14" t="s">
        <v>289</v>
      </c>
      <c r="J148" s="14" t="s">
        <v>192</v>
      </c>
      <c r="K148" s="14"/>
    </row>
    <row r="149" spans="1:11">
      <c r="A149" s="14"/>
      <c r="B149" s="14"/>
      <c r="C149" s="14"/>
      <c r="D149" s="14"/>
      <c r="E149" s="14"/>
      <c r="F149" s="76"/>
      <c r="G149" s="14" t="s">
        <v>349</v>
      </c>
      <c r="H149" s="14">
        <v>2021</v>
      </c>
      <c r="I149" s="14" t="s">
        <v>289</v>
      </c>
      <c r="J149" s="14" t="s">
        <v>84</v>
      </c>
      <c r="K149" s="14"/>
    </row>
    <row r="150" spans="1:11">
      <c r="A150" s="14"/>
      <c r="B150" s="14"/>
      <c r="C150" s="14"/>
      <c r="D150" s="14"/>
      <c r="E150" s="14"/>
      <c r="F150" s="76"/>
      <c r="G150" s="14" t="s">
        <v>350</v>
      </c>
      <c r="H150" s="14">
        <v>2021</v>
      </c>
      <c r="I150" s="14" t="s">
        <v>289</v>
      </c>
      <c r="J150" s="14" t="s">
        <v>87</v>
      </c>
      <c r="K150" s="14"/>
    </row>
    <row r="151" spans="1:11">
      <c r="A151" s="14"/>
      <c r="B151" s="14"/>
      <c r="C151" s="14"/>
      <c r="D151" s="14"/>
      <c r="E151" s="14"/>
      <c r="F151" s="76"/>
      <c r="G151" s="14" t="s">
        <v>351</v>
      </c>
      <c r="H151" s="14">
        <v>2021</v>
      </c>
      <c r="I151" s="14" t="s">
        <v>289</v>
      </c>
      <c r="J151" s="14" t="s">
        <v>90</v>
      </c>
      <c r="K151" s="14"/>
    </row>
    <row r="152" spans="1:11">
      <c r="A152" s="14"/>
      <c r="B152" s="14"/>
      <c r="C152" s="14"/>
      <c r="D152" s="14"/>
      <c r="E152" s="14"/>
      <c r="F152" s="76"/>
      <c r="G152" s="14" t="s">
        <v>352</v>
      </c>
      <c r="H152" s="14">
        <v>2021</v>
      </c>
      <c r="I152" s="14" t="s">
        <v>289</v>
      </c>
      <c r="J152" s="14" t="s">
        <v>93</v>
      </c>
      <c r="K152" s="14"/>
    </row>
    <row r="153" spans="1:11">
      <c r="A153" s="14"/>
      <c r="B153" s="14"/>
      <c r="C153" s="14"/>
      <c r="D153" s="14"/>
      <c r="E153" s="14"/>
      <c r="F153" s="76"/>
      <c r="G153" s="14" t="s">
        <v>353</v>
      </c>
      <c r="H153" s="14">
        <v>2021</v>
      </c>
      <c r="I153" s="14" t="s">
        <v>289</v>
      </c>
      <c r="J153" s="14" t="s">
        <v>96</v>
      </c>
      <c r="K153" s="14"/>
    </row>
    <row r="154" spans="1:11">
      <c r="A154" s="14"/>
      <c r="B154" s="14"/>
      <c r="C154" s="14"/>
      <c r="D154" s="14"/>
      <c r="E154" s="14"/>
      <c r="F154" s="76"/>
      <c r="G154" s="14" t="s">
        <v>354</v>
      </c>
      <c r="H154" s="14">
        <v>2021</v>
      </c>
      <c r="I154" s="14" t="s">
        <v>289</v>
      </c>
      <c r="J154" s="14" t="s">
        <v>99</v>
      </c>
      <c r="K154" s="14"/>
    </row>
    <row r="155" spans="1:11">
      <c r="A155" s="14"/>
      <c r="B155" s="14"/>
      <c r="C155" s="14"/>
      <c r="D155" s="14"/>
      <c r="E155" s="14"/>
      <c r="F155" s="76"/>
      <c r="G155" s="14" t="s">
        <v>355</v>
      </c>
      <c r="H155" s="14">
        <v>2021</v>
      </c>
      <c r="I155" s="14" t="s">
        <v>289</v>
      </c>
      <c r="J155" s="14" t="s">
        <v>102</v>
      </c>
      <c r="K155" s="14"/>
    </row>
    <row r="156" spans="1:11">
      <c r="A156" s="14"/>
      <c r="B156" s="14"/>
      <c r="C156" s="14"/>
      <c r="D156" s="14"/>
      <c r="E156" s="14"/>
      <c r="F156" s="76"/>
      <c r="G156" s="14" t="s">
        <v>356</v>
      </c>
      <c r="H156" s="14">
        <v>2021</v>
      </c>
      <c r="I156" s="14" t="s">
        <v>289</v>
      </c>
      <c r="J156" s="14" t="s">
        <v>105</v>
      </c>
      <c r="K156" s="14"/>
    </row>
    <row r="157" spans="1:11">
      <c r="A157" s="14"/>
      <c r="B157" s="14"/>
      <c r="C157" s="14"/>
      <c r="D157" s="14"/>
      <c r="E157" s="14"/>
      <c r="F157" s="76"/>
      <c r="G157" s="14" t="s">
        <v>357</v>
      </c>
      <c r="H157" s="14">
        <v>2021</v>
      </c>
      <c r="I157" s="14" t="s">
        <v>289</v>
      </c>
      <c r="J157" s="14" t="s">
        <v>108</v>
      </c>
      <c r="K157" s="14"/>
    </row>
    <row r="158" spans="1:11">
      <c r="A158" s="14"/>
      <c r="B158" s="14"/>
      <c r="C158" s="14"/>
      <c r="D158" s="14"/>
      <c r="E158" s="14"/>
      <c r="F158" s="76"/>
      <c r="G158" s="14" t="s">
        <v>358</v>
      </c>
      <c r="H158" s="14">
        <v>2021</v>
      </c>
      <c r="I158" s="14" t="s">
        <v>289</v>
      </c>
      <c r="J158" s="14" t="s">
        <v>214</v>
      </c>
      <c r="K158" s="14"/>
    </row>
    <row r="159" spans="1:11">
      <c r="A159" s="14"/>
      <c r="B159" s="14"/>
      <c r="C159" s="14"/>
      <c r="D159" s="14"/>
      <c r="E159" s="14"/>
      <c r="F159" s="76"/>
      <c r="G159" s="14" t="s">
        <v>359</v>
      </c>
      <c r="H159" s="14">
        <v>2021</v>
      </c>
      <c r="I159" s="14" t="s">
        <v>289</v>
      </c>
      <c r="J159" s="14" t="s">
        <v>217</v>
      </c>
      <c r="K159" s="14"/>
    </row>
    <row r="160" spans="1:11">
      <c r="A160" s="14"/>
      <c r="B160" s="14"/>
      <c r="C160" s="14"/>
      <c r="D160" s="14"/>
      <c r="E160" s="14"/>
      <c r="F160" s="76"/>
      <c r="G160" s="14" t="s">
        <v>360</v>
      </c>
      <c r="H160" s="14">
        <v>2021</v>
      </c>
      <c r="I160" s="14" t="s">
        <v>289</v>
      </c>
      <c r="J160" s="14" t="s">
        <v>220</v>
      </c>
      <c r="K160" s="14"/>
    </row>
    <row r="161" spans="1:11">
      <c r="A161" s="14"/>
      <c r="B161" s="14"/>
      <c r="C161" s="14"/>
      <c r="D161" s="14"/>
      <c r="E161" s="14"/>
      <c r="F161" s="76"/>
      <c r="G161" s="14" t="s">
        <v>361</v>
      </c>
      <c r="H161" s="14">
        <v>2021</v>
      </c>
      <c r="I161" s="14" t="s">
        <v>289</v>
      </c>
      <c r="J161" s="14" t="s">
        <v>112</v>
      </c>
      <c r="K161" s="14"/>
    </row>
    <row r="162" spans="1:11">
      <c r="A162" s="14"/>
      <c r="B162" s="14"/>
      <c r="C162" s="14"/>
      <c r="D162" s="14"/>
      <c r="E162" s="14"/>
      <c r="F162" s="76"/>
      <c r="G162" s="14" t="s">
        <v>362</v>
      </c>
      <c r="H162" s="14">
        <v>2021</v>
      </c>
      <c r="I162" s="14" t="s">
        <v>289</v>
      </c>
      <c r="J162" s="14" t="s">
        <v>115</v>
      </c>
      <c r="K162" s="14"/>
    </row>
    <row r="163" spans="1:11">
      <c r="A163" s="14"/>
      <c r="B163" s="14"/>
      <c r="C163" s="14"/>
      <c r="D163" s="14"/>
      <c r="E163" s="14"/>
      <c r="F163" s="76"/>
      <c r="G163" s="14" t="s">
        <v>363</v>
      </c>
      <c r="H163" s="14">
        <v>2021</v>
      </c>
      <c r="I163" s="14" t="s">
        <v>289</v>
      </c>
      <c r="J163" s="14" t="s">
        <v>118</v>
      </c>
      <c r="K163" s="14"/>
    </row>
    <row r="164" spans="1:11">
      <c r="A164" s="14"/>
      <c r="B164" s="14"/>
      <c r="C164" s="14"/>
      <c r="D164" s="14"/>
      <c r="E164" s="14"/>
      <c r="F164" s="76"/>
      <c r="G164" s="14" t="s">
        <v>364</v>
      </c>
      <c r="H164" s="14">
        <v>2021</v>
      </c>
      <c r="I164" s="14" t="s">
        <v>289</v>
      </c>
      <c r="J164" s="14" t="s">
        <v>121</v>
      </c>
      <c r="K164" s="14"/>
    </row>
    <row r="165" spans="1:11">
      <c r="A165" s="14"/>
      <c r="B165" s="14"/>
      <c r="C165" s="14"/>
      <c r="D165" s="14"/>
      <c r="E165" s="14"/>
      <c r="F165" s="76"/>
      <c r="G165" s="14" t="s">
        <v>365</v>
      </c>
      <c r="H165" s="14">
        <v>2021</v>
      </c>
      <c r="I165" s="14" t="s">
        <v>289</v>
      </c>
      <c r="J165" s="14" t="s">
        <v>124</v>
      </c>
      <c r="K165" s="14"/>
    </row>
    <row r="166" spans="1:11">
      <c r="A166" s="14"/>
      <c r="B166" s="14"/>
      <c r="C166" s="14"/>
      <c r="D166" s="14"/>
      <c r="E166" s="14"/>
      <c r="F166" s="76"/>
      <c r="G166" s="14" t="s">
        <v>366</v>
      </c>
      <c r="H166" s="14">
        <v>2021</v>
      </c>
      <c r="I166" s="14" t="s">
        <v>289</v>
      </c>
      <c r="J166" s="14" t="s">
        <v>127</v>
      </c>
      <c r="K166" s="14"/>
    </row>
    <row r="167" spans="1:11">
      <c r="A167" s="14"/>
      <c r="B167" s="14"/>
      <c r="C167" s="14"/>
      <c r="D167" s="14"/>
      <c r="E167" s="14"/>
      <c r="F167" s="76"/>
      <c r="G167" s="14" t="s">
        <v>367</v>
      </c>
      <c r="H167" s="14">
        <v>2021</v>
      </c>
      <c r="I167" s="14" t="s">
        <v>289</v>
      </c>
      <c r="J167" s="14" t="s">
        <v>130</v>
      </c>
      <c r="K167" s="14"/>
    </row>
    <row r="168" spans="1:11">
      <c r="A168" s="14"/>
      <c r="B168" s="14"/>
      <c r="C168" s="14"/>
      <c r="D168" s="14"/>
      <c r="E168" s="14"/>
      <c r="F168" s="76"/>
      <c r="G168" s="14" t="s">
        <v>368</v>
      </c>
      <c r="H168" s="14">
        <v>2021</v>
      </c>
      <c r="I168" s="14" t="s">
        <v>289</v>
      </c>
      <c r="J168" s="14" t="s">
        <v>133</v>
      </c>
      <c r="K168" s="14"/>
    </row>
    <row r="169" spans="1:11">
      <c r="A169" s="14"/>
      <c r="B169" s="14"/>
      <c r="C169" s="14"/>
      <c r="D169" s="14"/>
      <c r="E169" s="14"/>
      <c r="F169" s="76"/>
      <c r="G169" s="14" t="s">
        <v>369</v>
      </c>
      <c r="H169" s="14">
        <v>2021</v>
      </c>
      <c r="I169" s="14" t="s">
        <v>289</v>
      </c>
      <c r="J169" s="14" t="s">
        <v>136</v>
      </c>
      <c r="K169" s="14"/>
    </row>
    <row r="170" spans="1:11">
      <c r="A170" s="14"/>
      <c r="B170" s="14"/>
      <c r="C170" s="14"/>
      <c r="D170" s="14"/>
      <c r="E170" s="14"/>
      <c r="F170" s="76"/>
      <c r="G170" s="14" t="s">
        <v>370</v>
      </c>
      <c r="H170" s="14">
        <v>2021</v>
      </c>
      <c r="I170" s="14" t="s">
        <v>289</v>
      </c>
      <c r="J170" s="14" t="s">
        <v>241</v>
      </c>
      <c r="K170" s="14"/>
    </row>
    <row r="171" spans="1:11">
      <c r="A171" s="14"/>
      <c r="B171" s="14"/>
      <c r="C171" s="14"/>
      <c r="D171" s="14"/>
      <c r="E171" s="14"/>
      <c r="F171" s="76"/>
      <c r="G171" s="14" t="s">
        <v>371</v>
      </c>
      <c r="H171" s="14">
        <v>2021</v>
      </c>
      <c r="I171" s="14" t="s">
        <v>289</v>
      </c>
      <c r="J171" s="14" t="s">
        <v>244</v>
      </c>
      <c r="K171" s="14"/>
    </row>
    <row r="172" spans="1:11">
      <c r="A172" s="14"/>
      <c r="B172" s="14"/>
      <c r="C172" s="14"/>
      <c r="D172" s="14"/>
      <c r="E172" s="14"/>
      <c r="F172" s="76"/>
      <c r="G172" s="14" t="s">
        <v>372</v>
      </c>
      <c r="H172" s="14">
        <v>2021</v>
      </c>
      <c r="I172" s="14" t="s">
        <v>289</v>
      </c>
      <c r="J172" s="14" t="s">
        <v>247</v>
      </c>
      <c r="K172" s="14"/>
    </row>
    <row r="173" spans="1:11">
      <c r="A173" s="14"/>
      <c r="B173" s="14"/>
      <c r="C173" s="14"/>
      <c r="D173" s="14"/>
      <c r="E173" s="14"/>
      <c r="F173" s="76"/>
      <c r="G173" s="14" t="s">
        <v>373</v>
      </c>
      <c r="H173" s="14">
        <v>2021</v>
      </c>
      <c r="I173" s="14" t="s">
        <v>289</v>
      </c>
      <c r="J173" s="14" t="s">
        <v>139</v>
      </c>
      <c r="K173" s="14"/>
    </row>
    <row r="174" spans="1:11">
      <c r="A174" s="14"/>
      <c r="B174" s="14"/>
      <c r="C174" s="14"/>
      <c r="D174" s="14"/>
      <c r="E174" s="14"/>
      <c r="F174" s="76"/>
      <c r="G174" s="14" t="s">
        <v>374</v>
      </c>
      <c r="H174" s="14">
        <v>2021</v>
      </c>
      <c r="I174" s="14" t="s">
        <v>289</v>
      </c>
      <c r="J174" s="14" t="s">
        <v>142</v>
      </c>
      <c r="K174" s="14"/>
    </row>
    <row r="175" spans="1:11">
      <c r="A175" s="14"/>
      <c r="B175" s="14"/>
      <c r="C175" s="14"/>
      <c r="D175" s="14"/>
      <c r="E175" s="14"/>
      <c r="F175" s="76"/>
      <c r="G175" s="14" t="s">
        <v>375</v>
      </c>
      <c r="H175" s="14">
        <v>2021</v>
      </c>
      <c r="I175" s="14" t="s">
        <v>289</v>
      </c>
      <c r="J175" s="14" t="s">
        <v>145</v>
      </c>
      <c r="K175" s="14"/>
    </row>
    <row r="176" spans="1:11">
      <c r="A176" s="14"/>
      <c r="B176" s="14"/>
      <c r="C176" s="14"/>
      <c r="D176" s="14"/>
      <c r="E176" s="14"/>
      <c r="F176" s="76"/>
      <c r="G176" s="14" t="s">
        <v>376</v>
      </c>
      <c r="H176" s="14">
        <v>2021</v>
      </c>
      <c r="I176" s="14" t="s">
        <v>289</v>
      </c>
      <c r="J176" s="14" t="s">
        <v>148</v>
      </c>
      <c r="K176" s="14"/>
    </row>
    <row r="177" spans="1:11">
      <c r="A177" s="14"/>
      <c r="B177" s="14"/>
      <c r="C177" s="14"/>
      <c r="D177" s="14"/>
      <c r="E177" s="14"/>
      <c r="F177" s="76"/>
      <c r="G177" s="14" t="s">
        <v>377</v>
      </c>
      <c r="H177" s="14">
        <v>2021</v>
      </c>
      <c r="I177" s="14" t="s">
        <v>289</v>
      </c>
      <c r="J177" s="14" t="s">
        <v>151</v>
      </c>
      <c r="K177" s="14"/>
    </row>
    <row r="178" spans="1:11">
      <c r="A178" s="14"/>
      <c r="B178" s="14"/>
      <c r="C178" s="14"/>
      <c r="D178" s="14"/>
      <c r="E178" s="14"/>
      <c r="F178" s="76"/>
      <c r="G178" s="14" t="s">
        <v>378</v>
      </c>
      <c r="H178" s="14">
        <v>2021</v>
      </c>
      <c r="I178" s="14" t="s">
        <v>289</v>
      </c>
      <c r="J178" s="14" t="s">
        <v>154</v>
      </c>
      <c r="K178" s="14"/>
    </row>
    <row r="179" spans="1:11">
      <c r="A179" s="14"/>
      <c r="B179" s="14"/>
      <c r="C179" s="14"/>
      <c r="D179" s="14"/>
      <c r="E179" s="14"/>
      <c r="F179" s="76"/>
      <c r="G179" s="14" t="s">
        <v>379</v>
      </c>
      <c r="H179" s="14">
        <v>2021</v>
      </c>
      <c r="I179" s="14" t="s">
        <v>289</v>
      </c>
      <c r="J179" s="14" t="s">
        <v>157</v>
      </c>
      <c r="K179" s="14"/>
    </row>
    <row r="180" spans="1:11">
      <c r="A180" s="14"/>
      <c r="B180" s="14"/>
      <c r="C180" s="14"/>
      <c r="D180" s="14"/>
      <c r="E180" s="14"/>
      <c r="F180" s="76"/>
      <c r="G180" s="14" t="s">
        <v>380</v>
      </c>
      <c r="H180" s="14">
        <v>2021</v>
      </c>
      <c r="I180" s="14" t="s">
        <v>289</v>
      </c>
      <c r="J180" s="14" t="s">
        <v>160</v>
      </c>
      <c r="K180" s="14"/>
    </row>
    <row r="181" spans="1:11">
      <c r="A181" s="14"/>
      <c r="B181" s="14"/>
      <c r="C181" s="14"/>
      <c r="D181" s="14"/>
      <c r="E181" s="14"/>
      <c r="F181" s="76"/>
      <c r="G181" s="14" t="s">
        <v>381</v>
      </c>
      <c r="H181" s="14">
        <v>2021</v>
      </c>
      <c r="I181" s="14" t="s">
        <v>289</v>
      </c>
      <c r="J181" s="14" t="s">
        <v>163</v>
      </c>
      <c r="K181" s="14"/>
    </row>
    <row r="182" spans="1:11">
      <c r="A182" s="14"/>
      <c r="B182" s="14"/>
      <c r="C182" s="14"/>
      <c r="D182" s="14"/>
      <c r="E182" s="14"/>
      <c r="F182" s="76"/>
      <c r="G182" s="14" t="s">
        <v>382</v>
      </c>
      <c r="H182" s="14">
        <v>2021</v>
      </c>
      <c r="I182" s="14" t="s">
        <v>289</v>
      </c>
      <c r="J182" s="14" t="s">
        <v>271</v>
      </c>
      <c r="K182" s="14"/>
    </row>
    <row r="183" spans="1:11">
      <c r="A183" s="14"/>
      <c r="B183" s="14"/>
      <c r="C183" s="14"/>
      <c r="D183" s="14"/>
      <c r="E183" s="14"/>
      <c r="F183" s="76"/>
      <c r="G183" s="14" t="s">
        <v>383</v>
      </c>
      <c r="H183" s="14">
        <v>2021</v>
      </c>
      <c r="I183" s="14" t="s">
        <v>289</v>
      </c>
      <c r="J183" s="14" t="s">
        <v>275</v>
      </c>
      <c r="K183" s="14"/>
    </row>
    <row r="184" spans="1:11">
      <c r="A184" s="14"/>
      <c r="B184" s="14"/>
      <c r="C184" s="14"/>
      <c r="D184" s="14"/>
      <c r="E184" s="14"/>
      <c r="F184" s="76"/>
      <c r="G184" s="14" t="s">
        <v>384</v>
      </c>
      <c r="H184" s="14">
        <v>2021</v>
      </c>
      <c r="I184" s="14" t="s">
        <v>289</v>
      </c>
      <c r="J184" s="14" t="s">
        <v>279</v>
      </c>
      <c r="K184" s="14"/>
    </row>
    <row r="185" spans="1:11">
      <c r="A185" s="14"/>
      <c r="B185" s="14"/>
      <c r="C185" s="14"/>
      <c r="D185" s="14"/>
      <c r="E185" s="14"/>
      <c r="F185" s="76"/>
      <c r="G185" s="14" t="s">
        <v>385</v>
      </c>
      <c r="H185" s="14">
        <v>2021</v>
      </c>
      <c r="I185" s="14" t="s">
        <v>289</v>
      </c>
      <c r="J185" s="14" t="s">
        <v>57</v>
      </c>
      <c r="K185" s="14"/>
    </row>
    <row r="186" spans="1:11">
      <c r="A186" s="14"/>
      <c r="B186" s="14"/>
      <c r="C186" s="14"/>
      <c r="D186" s="14"/>
      <c r="E186" s="14"/>
      <c r="F186" s="76"/>
      <c r="G186" s="14" t="s">
        <v>386</v>
      </c>
      <c r="H186" s="14">
        <v>2021</v>
      </c>
      <c r="I186" s="14" t="s">
        <v>289</v>
      </c>
      <c r="J186" s="14" t="s">
        <v>60</v>
      </c>
      <c r="K186" s="14"/>
    </row>
    <row r="187" spans="1:11">
      <c r="A187" s="14"/>
      <c r="B187" s="14"/>
      <c r="C187" s="14"/>
      <c r="D187" s="14"/>
      <c r="E187" s="14"/>
      <c r="F187" s="76"/>
      <c r="G187" s="14" t="s">
        <v>387</v>
      </c>
      <c r="H187" s="14">
        <v>2021</v>
      </c>
      <c r="I187" s="14" t="s">
        <v>289</v>
      </c>
      <c r="J187" s="14" t="s">
        <v>63</v>
      </c>
      <c r="K187" s="14"/>
    </row>
    <row r="188" spans="1:11">
      <c r="A188" s="14"/>
      <c r="B188" s="14"/>
      <c r="C188" s="14"/>
      <c r="D188" s="14"/>
      <c r="E188" s="14"/>
      <c r="F188" s="76"/>
      <c r="G188" s="14" t="s">
        <v>388</v>
      </c>
      <c r="H188" s="14">
        <v>2021</v>
      </c>
      <c r="I188" s="14" t="s">
        <v>289</v>
      </c>
      <c r="J188" s="14" t="s">
        <v>66</v>
      </c>
      <c r="K188" s="14"/>
    </row>
    <row r="189" spans="1:11">
      <c r="A189" s="14"/>
      <c r="B189" s="14"/>
      <c r="C189" s="14"/>
      <c r="D189" s="14"/>
      <c r="E189" s="14"/>
      <c r="F189" s="76"/>
      <c r="G189" s="14" t="s">
        <v>389</v>
      </c>
      <c r="H189" s="14">
        <v>2021</v>
      </c>
      <c r="I189" s="14" t="s">
        <v>289</v>
      </c>
      <c r="J189" s="14" t="s">
        <v>69</v>
      </c>
      <c r="K189" s="14"/>
    </row>
    <row r="190" spans="1:11">
      <c r="A190" s="14"/>
      <c r="B190" s="14"/>
      <c r="C190" s="14"/>
      <c r="D190" s="14"/>
      <c r="E190" s="14"/>
      <c r="F190" s="76"/>
      <c r="G190" s="14" t="s">
        <v>390</v>
      </c>
      <c r="H190" s="14">
        <v>2021</v>
      </c>
      <c r="I190" s="14" t="s">
        <v>289</v>
      </c>
      <c r="J190" s="14" t="s">
        <v>72</v>
      </c>
      <c r="K190" s="14"/>
    </row>
    <row r="191" spans="1:11">
      <c r="A191" s="14"/>
      <c r="B191" s="14"/>
      <c r="C191" s="14"/>
      <c r="D191" s="14"/>
      <c r="E191" s="14"/>
      <c r="F191" s="76"/>
      <c r="G191" s="14" t="s">
        <v>391</v>
      </c>
      <c r="H191" s="14">
        <v>2021</v>
      </c>
      <c r="I191" s="14" t="s">
        <v>289</v>
      </c>
      <c r="J191" s="14" t="s">
        <v>75</v>
      </c>
      <c r="K191" s="14"/>
    </row>
    <row r="192" spans="1:11">
      <c r="A192" s="14"/>
      <c r="B192" s="14"/>
      <c r="C192" s="14"/>
      <c r="D192" s="14"/>
      <c r="E192" s="14"/>
      <c r="F192" s="76"/>
      <c r="G192" s="14" t="s">
        <v>392</v>
      </c>
      <c r="H192" s="14">
        <v>2021</v>
      </c>
      <c r="I192" s="14" t="s">
        <v>289</v>
      </c>
      <c r="J192" s="14" t="s">
        <v>78</v>
      </c>
      <c r="K192" s="14"/>
    </row>
    <row r="193" spans="1:11">
      <c r="A193" s="14"/>
      <c r="B193" s="14"/>
      <c r="C193" s="14"/>
      <c r="D193" s="14"/>
      <c r="E193" s="14"/>
      <c r="F193" s="76"/>
      <c r="G193" s="14" t="s">
        <v>393</v>
      </c>
      <c r="H193" s="14">
        <v>2021</v>
      </c>
      <c r="I193" s="14" t="s">
        <v>289</v>
      </c>
      <c r="J193" s="14" t="s">
        <v>81</v>
      </c>
      <c r="K193" s="14"/>
    </row>
    <row r="194" spans="1:11">
      <c r="A194" s="14"/>
      <c r="B194" s="14"/>
      <c r="C194" s="14"/>
      <c r="D194" s="14"/>
      <c r="E194" s="14"/>
      <c r="F194" s="76"/>
      <c r="G194" s="14" t="s">
        <v>394</v>
      </c>
      <c r="H194" s="14">
        <v>2021</v>
      </c>
      <c r="I194" s="14" t="s">
        <v>289</v>
      </c>
      <c r="J194" s="14" t="s">
        <v>186</v>
      </c>
      <c r="K194" s="14"/>
    </row>
    <row r="195" spans="1:11">
      <c r="A195" s="14"/>
      <c r="B195" s="14"/>
      <c r="C195" s="14"/>
      <c r="D195" s="14"/>
      <c r="E195" s="14"/>
      <c r="F195" s="76"/>
      <c r="G195" s="14" t="s">
        <v>395</v>
      </c>
      <c r="H195" s="14">
        <v>2021</v>
      </c>
      <c r="I195" s="14" t="s">
        <v>289</v>
      </c>
      <c r="J195" s="14" t="s">
        <v>189</v>
      </c>
      <c r="K195" s="14"/>
    </row>
    <row r="196" spans="1:11">
      <c r="A196" s="14"/>
      <c r="B196" s="14"/>
      <c r="C196" s="14"/>
      <c r="D196" s="14"/>
      <c r="E196" s="14"/>
      <c r="F196" s="76"/>
      <c r="G196" s="14" t="s">
        <v>396</v>
      </c>
      <c r="H196" s="14">
        <v>2021</v>
      </c>
      <c r="I196" s="14" t="s">
        <v>289</v>
      </c>
      <c r="J196" s="14" t="s">
        <v>192</v>
      </c>
      <c r="K196" s="14"/>
    </row>
    <row r="197" spans="1:11">
      <c r="A197" s="14"/>
      <c r="B197" s="14"/>
      <c r="C197" s="14"/>
      <c r="D197" s="14"/>
      <c r="E197" s="14"/>
      <c r="F197" s="76"/>
      <c r="G197" s="14" t="s">
        <v>397</v>
      </c>
      <c r="H197" s="14">
        <v>2021</v>
      </c>
      <c r="I197" s="14" t="s">
        <v>289</v>
      </c>
      <c r="J197" s="14" t="s">
        <v>84</v>
      </c>
      <c r="K197" s="14"/>
    </row>
    <row r="198" spans="1:11">
      <c r="A198" s="14"/>
      <c r="B198" s="14"/>
      <c r="C198" s="14"/>
      <c r="D198" s="14"/>
      <c r="E198" s="14"/>
      <c r="F198" s="76"/>
      <c r="G198" s="14" t="s">
        <v>398</v>
      </c>
      <c r="H198" s="14">
        <v>2021</v>
      </c>
      <c r="I198" s="14" t="s">
        <v>289</v>
      </c>
      <c r="J198" s="14" t="s">
        <v>87</v>
      </c>
      <c r="K198" s="14"/>
    </row>
    <row r="199" spans="1:11">
      <c r="A199" s="14"/>
      <c r="B199" s="14"/>
      <c r="C199" s="14"/>
      <c r="D199" s="14"/>
      <c r="E199" s="14"/>
      <c r="F199" s="76"/>
      <c r="G199" s="14" t="s">
        <v>399</v>
      </c>
      <c r="H199" s="14">
        <v>2021</v>
      </c>
      <c r="I199" s="14" t="s">
        <v>289</v>
      </c>
      <c r="J199" s="14" t="s">
        <v>90</v>
      </c>
      <c r="K199" s="14"/>
    </row>
    <row r="200" spans="1:11">
      <c r="A200" s="14"/>
      <c r="B200" s="14"/>
      <c r="C200" s="14"/>
      <c r="D200" s="14"/>
      <c r="E200" s="14"/>
      <c r="F200" s="76"/>
      <c r="G200" s="14" t="s">
        <v>400</v>
      </c>
      <c r="H200" s="14">
        <v>2021</v>
      </c>
      <c r="I200" s="14" t="s">
        <v>289</v>
      </c>
      <c r="J200" s="14" t="s">
        <v>93</v>
      </c>
      <c r="K200" s="14"/>
    </row>
    <row r="201" spans="1:11">
      <c r="A201" s="14"/>
      <c r="B201" s="14"/>
      <c r="C201" s="14"/>
      <c r="D201" s="14"/>
      <c r="E201" s="14"/>
      <c r="F201" s="76"/>
      <c r="G201" s="14" t="s">
        <v>401</v>
      </c>
      <c r="H201" s="14">
        <v>2021</v>
      </c>
      <c r="I201" s="14" t="s">
        <v>289</v>
      </c>
      <c r="J201" s="14" t="s">
        <v>96</v>
      </c>
      <c r="K201" s="14"/>
    </row>
    <row r="202" spans="1:11">
      <c r="A202" s="14"/>
      <c r="B202" s="14"/>
      <c r="C202" s="14"/>
      <c r="D202" s="14"/>
      <c r="E202" s="14"/>
      <c r="F202" s="76"/>
      <c r="G202" s="14" t="s">
        <v>402</v>
      </c>
      <c r="H202" s="14">
        <v>2021</v>
      </c>
      <c r="I202" s="14" t="s">
        <v>289</v>
      </c>
      <c r="J202" s="14" t="s">
        <v>99</v>
      </c>
      <c r="K202" s="14"/>
    </row>
    <row r="203" spans="1:11">
      <c r="A203" s="14"/>
      <c r="B203" s="14"/>
      <c r="C203" s="14"/>
      <c r="D203" s="14"/>
      <c r="E203" s="14"/>
      <c r="F203" s="76"/>
      <c r="G203" s="14" t="s">
        <v>403</v>
      </c>
      <c r="H203" s="14">
        <v>2021</v>
      </c>
      <c r="I203" s="14" t="s">
        <v>289</v>
      </c>
      <c r="J203" s="14" t="s">
        <v>102</v>
      </c>
      <c r="K203" s="14"/>
    </row>
    <row r="204" spans="1:11">
      <c r="A204" s="14"/>
      <c r="B204" s="14"/>
      <c r="C204" s="14"/>
      <c r="D204" s="14"/>
      <c r="E204" s="14"/>
      <c r="F204" s="76"/>
      <c r="G204" s="14" t="s">
        <v>404</v>
      </c>
      <c r="H204" s="14">
        <v>2021</v>
      </c>
      <c r="I204" s="14" t="s">
        <v>289</v>
      </c>
      <c r="J204" s="14" t="s">
        <v>105</v>
      </c>
      <c r="K204" s="14"/>
    </row>
    <row r="205" spans="1:11">
      <c r="A205" s="14"/>
      <c r="B205" s="14"/>
      <c r="C205" s="14"/>
      <c r="D205" s="14"/>
      <c r="E205" s="14"/>
      <c r="F205" s="76"/>
      <c r="G205" s="14" t="s">
        <v>405</v>
      </c>
      <c r="H205" s="14">
        <v>2021</v>
      </c>
      <c r="I205" s="14" t="s">
        <v>289</v>
      </c>
      <c r="J205" s="14" t="s">
        <v>108</v>
      </c>
      <c r="K205" s="14"/>
    </row>
    <row r="206" spans="1:11">
      <c r="A206" s="14"/>
      <c r="B206" s="14"/>
      <c r="C206" s="14"/>
      <c r="D206" s="14"/>
      <c r="E206" s="14"/>
      <c r="F206" s="76"/>
      <c r="G206" s="14" t="s">
        <v>406</v>
      </c>
      <c r="H206" s="14">
        <v>2021</v>
      </c>
      <c r="I206" s="14" t="s">
        <v>289</v>
      </c>
      <c r="J206" s="14" t="s">
        <v>214</v>
      </c>
      <c r="K206" s="14"/>
    </row>
    <row r="207" spans="1:11">
      <c r="A207" s="14"/>
      <c r="B207" s="14"/>
      <c r="C207" s="14"/>
      <c r="D207" s="14"/>
      <c r="E207" s="14"/>
      <c r="F207" s="76"/>
      <c r="G207" s="14" t="s">
        <v>407</v>
      </c>
      <c r="H207" s="14">
        <v>2021</v>
      </c>
      <c r="I207" s="14" t="s">
        <v>289</v>
      </c>
      <c r="J207" s="14" t="s">
        <v>217</v>
      </c>
      <c r="K207" s="14"/>
    </row>
    <row r="208" spans="1:11">
      <c r="A208" s="14"/>
      <c r="B208" s="14"/>
      <c r="C208" s="14"/>
      <c r="D208" s="14"/>
      <c r="E208" s="14"/>
      <c r="F208" s="76"/>
      <c r="G208" s="14" t="s">
        <v>408</v>
      </c>
      <c r="H208" s="14">
        <v>2021</v>
      </c>
      <c r="I208" s="14" t="s">
        <v>289</v>
      </c>
      <c r="J208" s="14" t="s">
        <v>220</v>
      </c>
      <c r="K208" s="14"/>
    </row>
    <row r="209" spans="1:11">
      <c r="A209" s="14"/>
      <c r="B209" s="14"/>
      <c r="C209" s="14"/>
      <c r="D209" s="14"/>
      <c r="E209" s="14"/>
      <c r="F209" s="76"/>
      <c r="G209" s="14" t="s">
        <v>409</v>
      </c>
      <c r="H209" s="14">
        <v>2021</v>
      </c>
      <c r="I209" s="14" t="s">
        <v>289</v>
      </c>
      <c r="J209" s="14" t="s">
        <v>112</v>
      </c>
      <c r="K209" s="14"/>
    </row>
    <row r="210" spans="1:11">
      <c r="A210" s="14"/>
      <c r="B210" s="14"/>
      <c r="C210" s="14"/>
      <c r="D210" s="14"/>
      <c r="E210" s="14"/>
      <c r="F210" s="76"/>
      <c r="G210" s="14" t="s">
        <v>410</v>
      </c>
      <c r="H210" s="14">
        <v>2021</v>
      </c>
      <c r="I210" s="14" t="s">
        <v>289</v>
      </c>
      <c r="J210" s="14" t="s">
        <v>115</v>
      </c>
      <c r="K210" s="14"/>
    </row>
    <row r="211" spans="1:11">
      <c r="A211" s="14"/>
      <c r="B211" s="14"/>
      <c r="C211" s="14"/>
      <c r="D211" s="14"/>
      <c r="E211" s="14"/>
      <c r="F211" s="76"/>
      <c r="G211" s="14" t="s">
        <v>411</v>
      </c>
      <c r="H211" s="14">
        <v>2021</v>
      </c>
      <c r="I211" s="14" t="s">
        <v>289</v>
      </c>
      <c r="J211" s="14" t="s">
        <v>118</v>
      </c>
      <c r="K211" s="14"/>
    </row>
    <row r="212" spans="1:11">
      <c r="A212" s="14"/>
      <c r="B212" s="14"/>
      <c r="C212" s="14"/>
      <c r="D212" s="14"/>
      <c r="E212" s="14"/>
      <c r="F212" s="76"/>
      <c r="G212" s="14" t="s">
        <v>412</v>
      </c>
      <c r="H212" s="14">
        <v>2021</v>
      </c>
      <c r="I212" s="14" t="s">
        <v>289</v>
      </c>
      <c r="J212" s="14" t="s">
        <v>121</v>
      </c>
      <c r="K212" s="14"/>
    </row>
    <row r="213" spans="1:11">
      <c r="A213" s="14"/>
      <c r="B213" s="14"/>
      <c r="C213" s="14"/>
      <c r="D213" s="14"/>
      <c r="E213" s="14"/>
      <c r="F213" s="76"/>
      <c r="G213" s="14" t="s">
        <v>413</v>
      </c>
      <c r="H213" s="14">
        <v>2021</v>
      </c>
      <c r="I213" s="14" t="s">
        <v>289</v>
      </c>
      <c r="J213" s="14" t="s">
        <v>124</v>
      </c>
      <c r="K213" s="14"/>
    </row>
    <row r="214" spans="1:11">
      <c r="A214" s="14"/>
      <c r="B214" s="14"/>
      <c r="C214" s="14"/>
      <c r="D214" s="14"/>
      <c r="E214" s="14"/>
      <c r="F214" s="76"/>
      <c r="G214" s="14" t="s">
        <v>414</v>
      </c>
      <c r="H214" s="14">
        <v>2021</v>
      </c>
      <c r="I214" s="14" t="s">
        <v>289</v>
      </c>
      <c r="J214" s="14" t="s">
        <v>127</v>
      </c>
      <c r="K214" s="14"/>
    </row>
    <row r="215" spans="1:11">
      <c r="A215" s="14"/>
      <c r="B215" s="14"/>
      <c r="C215" s="14"/>
      <c r="D215" s="14"/>
      <c r="E215" s="14"/>
      <c r="F215" s="76"/>
      <c r="G215" s="14" t="s">
        <v>415</v>
      </c>
      <c r="H215" s="14">
        <v>2021</v>
      </c>
      <c r="I215" s="14" t="s">
        <v>289</v>
      </c>
      <c r="J215" s="14" t="s">
        <v>130</v>
      </c>
      <c r="K215" s="14"/>
    </row>
    <row r="216" spans="1:11">
      <c r="A216" s="14"/>
      <c r="B216" s="14"/>
      <c r="C216" s="14"/>
      <c r="D216" s="14"/>
      <c r="E216" s="14"/>
      <c r="F216" s="76"/>
      <c r="G216" s="14" t="s">
        <v>416</v>
      </c>
      <c r="H216" s="14">
        <v>2021</v>
      </c>
      <c r="I216" s="14" t="s">
        <v>289</v>
      </c>
      <c r="J216" s="14" t="s">
        <v>133</v>
      </c>
      <c r="K216" s="14"/>
    </row>
    <row r="217" spans="1:11">
      <c r="A217" s="14"/>
      <c r="B217" s="14"/>
      <c r="C217" s="14"/>
      <c r="D217" s="14"/>
      <c r="E217" s="14"/>
      <c r="F217" s="76"/>
      <c r="G217" s="14" t="s">
        <v>417</v>
      </c>
      <c r="H217" s="14">
        <v>2021</v>
      </c>
      <c r="I217" s="14" t="s">
        <v>289</v>
      </c>
      <c r="J217" s="14" t="s">
        <v>136</v>
      </c>
      <c r="K217" s="14"/>
    </row>
    <row r="218" spans="1:11">
      <c r="A218" s="14"/>
      <c r="B218" s="14"/>
      <c r="C218" s="14"/>
      <c r="D218" s="14"/>
      <c r="E218" s="14"/>
      <c r="F218" s="76"/>
      <c r="G218" s="14" t="s">
        <v>418</v>
      </c>
      <c r="H218" s="14">
        <v>2021</v>
      </c>
      <c r="I218" s="14" t="s">
        <v>289</v>
      </c>
      <c r="J218" s="14" t="s">
        <v>241</v>
      </c>
      <c r="K218" s="14"/>
    </row>
    <row r="219" spans="1:11">
      <c r="A219" s="14"/>
      <c r="B219" s="14"/>
      <c r="C219" s="14"/>
      <c r="D219" s="14"/>
      <c r="E219" s="14"/>
      <c r="F219" s="76"/>
      <c r="G219" s="14" t="s">
        <v>419</v>
      </c>
      <c r="H219" s="14">
        <v>2021</v>
      </c>
      <c r="I219" s="14" t="s">
        <v>289</v>
      </c>
      <c r="J219" s="14" t="s">
        <v>244</v>
      </c>
      <c r="K219" s="14"/>
    </row>
    <row r="220" spans="1:11">
      <c r="A220" s="14"/>
      <c r="B220" s="14"/>
      <c r="C220" s="14"/>
      <c r="D220" s="14"/>
      <c r="E220" s="14"/>
      <c r="F220" s="76"/>
      <c r="G220" s="14" t="s">
        <v>420</v>
      </c>
      <c r="H220" s="14">
        <v>2021</v>
      </c>
      <c r="I220" s="14" t="s">
        <v>289</v>
      </c>
      <c r="J220" s="14" t="s">
        <v>247</v>
      </c>
      <c r="K220" s="14"/>
    </row>
    <row r="221" spans="1:11">
      <c r="A221" s="14"/>
      <c r="B221" s="14"/>
      <c r="C221" s="14"/>
      <c r="D221" s="14"/>
      <c r="E221" s="14"/>
      <c r="F221" s="76"/>
      <c r="G221" s="14" t="s">
        <v>421</v>
      </c>
      <c r="H221" s="14">
        <v>2021</v>
      </c>
      <c r="I221" s="14" t="s">
        <v>289</v>
      </c>
      <c r="J221" s="14" t="s">
        <v>139</v>
      </c>
      <c r="K221" s="14"/>
    </row>
    <row r="222" spans="1:11">
      <c r="A222" s="14"/>
      <c r="B222" s="14"/>
      <c r="C222" s="14"/>
      <c r="D222" s="14"/>
      <c r="E222" s="14"/>
      <c r="F222" s="76"/>
      <c r="G222" s="14" t="s">
        <v>422</v>
      </c>
      <c r="H222" s="14">
        <v>2021</v>
      </c>
      <c r="I222" s="14" t="s">
        <v>289</v>
      </c>
      <c r="J222" s="14" t="s">
        <v>142</v>
      </c>
      <c r="K222" s="14"/>
    </row>
    <row r="223" spans="1:11">
      <c r="A223" s="14"/>
      <c r="B223" s="14"/>
      <c r="C223" s="14"/>
      <c r="D223" s="14"/>
      <c r="E223" s="14"/>
      <c r="F223" s="76"/>
      <c r="G223" s="14" t="s">
        <v>423</v>
      </c>
      <c r="H223" s="14">
        <v>2021</v>
      </c>
      <c r="I223" s="14" t="s">
        <v>289</v>
      </c>
      <c r="J223" s="14" t="s">
        <v>145</v>
      </c>
      <c r="K223" s="14"/>
    </row>
    <row r="224" spans="1:11">
      <c r="A224" s="14"/>
      <c r="B224" s="14"/>
      <c r="C224" s="14"/>
      <c r="D224" s="14"/>
      <c r="E224" s="14"/>
      <c r="F224" s="76"/>
      <c r="G224" s="14" t="s">
        <v>424</v>
      </c>
      <c r="H224" s="14">
        <v>2021</v>
      </c>
      <c r="I224" s="14" t="s">
        <v>289</v>
      </c>
      <c r="J224" s="14" t="s">
        <v>148</v>
      </c>
      <c r="K224" s="14"/>
    </row>
    <row r="225" spans="1:11">
      <c r="A225" s="14"/>
      <c r="B225" s="14"/>
      <c r="C225" s="14"/>
      <c r="D225" s="14"/>
      <c r="E225" s="14"/>
      <c r="F225" s="76"/>
      <c r="G225" s="14" t="s">
        <v>425</v>
      </c>
      <c r="H225" s="14">
        <v>2021</v>
      </c>
      <c r="I225" s="14" t="s">
        <v>289</v>
      </c>
      <c r="J225" s="14" t="s">
        <v>151</v>
      </c>
      <c r="K225" s="14"/>
    </row>
    <row r="226" spans="1:11">
      <c r="A226" s="14"/>
      <c r="B226" s="14"/>
      <c r="C226" s="14"/>
      <c r="D226" s="14"/>
      <c r="E226" s="14"/>
      <c r="F226" s="76"/>
      <c r="G226" s="14" t="s">
        <v>426</v>
      </c>
      <c r="H226" s="14">
        <v>2021</v>
      </c>
      <c r="I226" s="14" t="s">
        <v>289</v>
      </c>
      <c r="J226" s="14" t="s">
        <v>154</v>
      </c>
      <c r="K226" s="14"/>
    </row>
    <row r="227" spans="1:11">
      <c r="A227" s="14"/>
      <c r="B227" s="14"/>
      <c r="C227" s="14"/>
      <c r="D227" s="14"/>
      <c r="E227" s="14"/>
      <c r="F227" s="76"/>
      <c r="G227" s="14" t="s">
        <v>427</v>
      </c>
      <c r="H227" s="14">
        <v>2021</v>
      </c>
      <c r="I227" s="14" t="s">
        <v>289</v>
      </c>
      <c r="J227" s="14" t="s">
        <v>157</v>
      </c>
      <c r="K227" s="14"/>
    </row>
    <row r="228" spans="1:11">
      <c r="A228" s="14"/>
      <c r="B228" s="14"/>
      <c r="C228" s="14"/>
      <c r="D228" s="14"/>
      <c r="E228" s="14"/>
      <c r="F228" s="76"/>
      <c r="G228" s="14" t="s">
        <v>428</v>
      </c>
      <c r="H228" s="14">
        <v>2021</v>
      </c>
      <c r="I228" s="14" t="s">
        <v>289</v>
      </c>
      <c r="J228" s="14" t="s">
        <v>160</v>
      </c>
      <c r="K228" s="14"/>
    </row>
    <row r="229" spans="1:11">
      <c r="A229" s="14"/>
      <c r="B229" s="14"/>
      <c r="C229" s="14"/>
      <c r="D229" s="14"/>
      <c r="E229" s="14"/>
      <c r="F229" s="76"/>
      <c r="G229" s="14" t="s">
        <v>429</v>
      </c>
      <c r="H229" s="14">
        <v>2021</v>
      </c>
      <c r="I229" s="14" t="s">
        <v>289</v>
      </c>
      <c r="J229" s="14" t="s">
        <v>163</v>
      </c>
      <c r="K229" s="14"/>
    </row>
    <row r="230" spans="1:11">
      <c r="A230" s="14"/>
      <c r="B230" s="14"/>
      <c r="C230" s="14"/>
      <c r="D230" s="14"/>
      <c r="E230" s="14"/>
      <c r="F230" s="76"/>
      <c r="G230" s="14" t="s">
        <v>430</v>
      </c>
      <c r="H230" s="14">
        <v>2021</v>
      </c>
      <c r="I230" s="14" t="s">
        <v>289</v>
      </c>
      <c r="J230" s="14" t="s">
        <v>271</v>
      </c>
      <c r="K230" s="14"/>
    </row>
    <row r="231" spans="1:11">
      <c r="A231" s="14"/>
      <c r="B231" s="14"/>
      <c r="C231" s="14"/>
      <c r="D231" s="14"/>
      <c r="E231" s="14"/>
      <c r="F231" s="76"/>
      <c r="G231" s="14" t="s">
        <v>431</v>
      </c>
      <c r="H231" s="14">
        <v>2021</v>
      </c>
      <c r="I231" s="14" t="s">
        <v>289</v>
      </c>
      <c r="J231" s="14" t="s">
        <v>275</v>
      </c>
      <c r="K231" s="14"/>
    </row>
    <row r="232" spans="1:11">
      <c r="A232" s="14"/>
      <c r="B232" s="14"/>
      <c r="C232" s="14"/>
      <c r="D232" s="14"/>
      <c r="E232" s="14"/>
      <c r="F232" s="76"/>
      <c r="G232" s="14" t="s">
        <v>432</v>
      </c>
      <c r="H232" s="14">
        <v>2021</v>
      </c>
      <c r="I232" s="14" t="s">
        <v>289</v>
      </c>
      <c r="J232" s="14" t="s">
        <v>279</v>
      </c>
      <c r="K232" s="14"/>
    </row>
    <row r="233" spans="1:11">
      <c r="A233" s="14"/>
      <c r="B233" s="14"/>
      <c r="C233" s="14"/>
      <c r="D233" s="14"/>
      <c r="E233" s="14"/>
      <c r="F233" s="92"/>
      <c r="G233" s="14" t="s">
        <v>433</v>
      </c>
      <c r="H233" s="14">
        <v>2021</v>
      </c>
      <c r="I233" s="14" t="s">
        <v>434</v>
      </c>
      <c r="J233" s="14" t="s">
        <v>112</v>
      </c>
      <c r="K233" s="14"/>
    </row>
    <row r="234" spans="1:11">
      <c r="A234" s="14"/>
      <c r="B234" s="14"/>
      <c r="C234" s="14"/>
      <c r="D234" s="14"/>
      <c r="E234" s="14"/>
      <c r="F234" s="92"/>
      <c r="G234" s="14" t="s">
        <v>435</v>
      </c>
      <c r="H234" s="14">
        <v>2021</v>
      </c>
      <c r="I234" s="14" t="s">
        <v>434</v>
      </c>
      <c r="J234" s="14" t="s">
        <v>115</v>
      </c>
      <c r="K234" s="14"/>
    </row>
    <row r="235" spans="1:11">
      <c r="A235" s="14"/>
      <c r="B235" s="14"/>
      <c r="C235" s="14"/>
      <c r="D235" s="14"/>
      <c r="E235" s="14"/>
      <c r="F235" s="92"/>
      <c r="G235" s="14" t="s">
        <v>436</v>
      </c>
      <c r="H235" s="14">
        <v>2021</v>
      </c>
      <c r="I235" s="14" t="s">
        <v>434</v>
      </c>
      <c r="J235" s="14" t="s">
        <v>118</v>
      </c>
      <c r="K235" s="14"/>
    </row>
    <row r="236" spans="1:11">
      <c r="A236" s="14"/>
      <c r="B236" s="14"/>
      <c r="C236" s="14"/>
      <c r="D236" s="14"/>
      <c r="E236" s="14"/>
      <c r="F236" s="92"/>
      <c r="G236" s="14" t="s">
        <v>437</v>
      </c>
      <c r="H236" s="14">
        <v>2021</v>
      </c>
      <c r="I236" s="14" t="s">
        <v>434</v>
      </c>
      <c r="J236" s="14" t="s">
        <v>121</v>
      </c>
      <c r="K236" s="14"/>
    </row>
    <row r="237" spans="1:11">
      <c r="A237" s="14"/>
      <c r="B237" s="14"/>
      <c r="C237" s="14"/>
      <c r="D237" s="14"/>
      <c r="E237" s="14"/>
      <c r="F237" s="92"/>
      <c r="G237" s="14" t="s">
        <v>438</v>
      </c>
      <c r="H237" s="14">
        <v>2021</v>
      </c>
      <c r="I237" s="14" t="s">
        <v>434</v>
      </c>
      <c r="J237" s="14" t="s">
        <v>124</v>
      </c>
      <c r="K237" s="14"/>
    </row>
    <row r="238" spans="1:11">
      <c r="A238" s="14"/>
      <c r="B238" s="14"/>
      <c r="C238" s="14"/>
      <c r="D238" s="14"/>
      <c r="E238" s="14"/>
      <c r="F238" s="92"/>
      <c r="G238" s="14" t="s">
        <v>439</v>
      </c>
      <c r="H238" s="14">
        <v>2021</v>
      </c>
      <c r="I238" s="14" t="s">
        <v>434</v>
      </c>
      <c r="J238" s="14" t="s">
        <v>127</v>
      </c>
      <c r="K238" s="14"/>
    </row>
    <row r="239" spans="1:11">
      <c r="A239" s="14"/>
      <c r="B239" s="14"/>
      <c r="C239" s="14"/>
      <c r="D239" s="14"/>
      <c r="E239" s="14"/>
      <c r="F239" s="92"/>
      <c r="G239" s="14" t="s">
        <v>440</v>
      </c>
      <c r="H239" s="14">
        <v>2021</v>
      </c>
      <c r="I239" s="14" t="s">
        <v>434</v>
      </c>
      <c r="J239" s="14" t="s">
        <v>130</v>
      </c>
      <c r="K239" s="14"/>
    </row>
    <row r="240" spans="1:11">
      <c r="A240" s="14"/>
      <c r="B240" s="14"/>
      <c r="C240" s="14"/>
      <c r="D240" s="14"/>
      <c r="E240" s="14"/>
      <c r="F240" s="92"/>
      <c r="G240" s="14" t="s">
        <v>441</v>
      </c>
      <c r="H240" s="14">
        <v>2021</v>
      </c>
      <c r="I240" s="14" t="s">
        <v>434</v>
      </c>
      <c r="J240" s="14" t="s">
        <v>133</v>
      </c>
      <c r="K240" s="14"/>
    </row>
    <row r="241" spans="1:11">
      <c r="A241" s="14"/>
      <c r="B241" s="14"/>
      <c r="C241" s="14"/>
      <c r="D241" s="14"/>
      <c r="E241" s="14"/>
      <c r="F241" s="92"/>
      <c r="G241" s="14" t="s">
        <v>442</v>
      </c>
      <c r="H241" s="14">
        <v>2021</v>
      </c>
      <c r="I241" s="14" t="s">
        <v>434</v>
      </c>
      <c r="J241" s="14" t="s">
        <v>136</v>
      </c>
      <c r="K241" s="14"/>
    </row>
    <row r="242" spans="1:11">
      <c r="A242" s="14"/>
      <c r="B242" s="14"/>
      <c r="C242" s="14"/>
      <c r="D242" s="14"/>
      <c r="E242" s="14"/>
      <c r="F242" s="92"/>
      <c r="G242" s="14" t="s">
        <v>443</v>
      </c>
      <c r="H242" s="14">
        <v>2021</v>
      </c>
      <c r="I242" s="14" t="s">
        <v>434</v>
      </c>
      <c r="J242" s="14" t="s">
        <v>241</v>
      </c>
      <c r="K242" s="14"/>
    </row>
    <row r="243" spans="1:11">
      <c r="A243" s="14"/>
      <c r="B243" s="14"/>
      <c r="C243" s="14"/>
      <c r="D243" s="14"/>
      <c r="E243" s="14"/>
      <c r="F243" s="92"/>
      <c r="G243" s="14" t="s">
        <v>444</v>
      </c>
      <c r="H243" s="14">
        <v>2021</v>
      </c>
      <c r="I243" s="14" t="s">
        <v>434</v>
      </c>
      <c r="J243" s="14" t="s">
        <v>244</v>
      </c>
      <c r="K243" s="14"/>
    </row>
    <row r="244" spans="1:11">
      <c r="A244" s="14"/>
      <c r="B244" s="14"/>
      <c r="C244" s="14"/>
      <c r="D244" s="14"/>
      <c r="E244" s="14"/>
      <c r="F244" s="92"/>
      <c r="G244" s="14" t="s">
        <v>445</v>
      </c>
      <c r="H244" s="14">
        <v>2021</v>
      </c>
      <c r="I244" s="14" t="s">
        <v>434</v>
      </c>
      <c r="J244" s="14" t="s">
        <v>247</v>
      </c>
      <c r="K244" s="14"/>
    </row>
    <row r="245" spans="1:11">
      <c r="A245" s="14"/>
      <c r="B245" s="14"/>
      <c r="C245" s="14"/>
      <c r="D245" s="14"/>
      <c r="E245" s="14"/>
      <c r="F245" s="92"/>
      <c r="G245" s="14" t="s">
        <v>446</v>
      </c>
      <c r="H245" s="14">
        <v>2021</v>
      </c>
      <c r="I245" s="14" t="s">
        <v>447</v>
      </c>
      <c r="J245" s="14" t="s">
        <v>112</v>
      </c>
      <c r="K245" s="14"/>
    </row>
    <row r="246" spans="1:11">
      <c r="A246" s="14"/>
      <c r="B246" s="14"/>
      <c r="C246" s="14"/>
      <c r="D246" s="14"/>
      <c r="E246" s="14"/>
      <c r="F246" s="92"/>
      <c r="G246" s="14" t="s">
        <v>448</v>
      </c>
      <c r="H246" s="14">
        <v>2021</v>
      </c>
      <c r="I246" s="14" t="s">
        <v>449</v>
      </c>
      <c r="J246" s="14" t="s">
        <v>115</v>
      </c>
      <c r="K246" s="14"/>
    </row>
    <row r="247" spans="1:11">
      <c r="A247" s="14"/>
      <c r="B247" s="14"/>
      <c r="C247" s="14"/>
      <c r="D247" s="14"/>
      <c r="E247" s="14"/>
      <c r="F247" s="92"/>
      <c r="G247" s="14" t="s">
        <v>450</v>
      </c>
      <c r="H247" s="14">
        <v>2021</v>
      </c>
      <c r="I247" s="14" t="s">
        <v>447</v>
      </c>
      <c r="J247" s="14" t="s">
        <v>115</v>
      </c>
      <c r="K247" s="14"/>
    </row>
    <row r="248" spans="1:11">
      <c r="A248" s="14"/>
      <c r="B248" s="14"/>
      <c r="C248" s="14"/>
      <c r="D248" s="14"/>
      <c r="E248" s="14"/>
      <c r="F248" s="92"/>
      <c r="G248" s="14" t="s">
        <v>451</v>
      </c>
      <c r="H248" s="14">
        <v>2021</v>
      </c>
      <c r="I248" s="14" t="s">
        <v>449</v>
      </c>
      <c r="J248" s="14" t="s">
        <v>118</v>
      </c>
      <c r="K248" s="14"/>
    </row>
    <row r="249" spans="1:11">
      <c r="A249" s="14"/>
      <c r="B249" s="14"/>
      <c r="C249" s="14"/>
      <c r="D249" s="14"/>
      <c r="E249" s="14"/>
      <c r="F249" s="92"/>
      <c r="G249" s="14" t="s">
        <v>452</v>
      </c>
      <c r="H249" s="14">
        <v>2021</v>
      </c>
      <c r="I249" s="14" t="s">
        <v>447</v>
      </c>
      <c r="J249" s="14" t="s">
        <v>118</v>
      </c>
      <c r="K249" s="14"/>
    </row>
    <row r="250" spans="1:11">
      <c r="A250" s="14"/>
      <c r="B250" s="14"/>
      <c r="C250" s="14"/>
      <c r="D250" s="14"/>
      <c r="E250" s="14"/>
      <c r="F250" s="92"/>
      <c r="G250" s="14" t="s">
        <v>453</v>
      </c>
      <c r="H250" s="14">
        <v>2021</v>
      </c>
      <c r="I250" s="14" t="s">
        <v>449</v>
      </c>
      <c r="J250" s="14" t="s">
        <v>127</v>
      </c>
      <c r="K250" s="14"/>
    </row>
    <row r="251" spans="1:11">
      <c r="A251" s="14"/>
      <c r="B251" s="14"/>
      <c r="C251" s="14"/>
      <c r="D251" s="14"/>
      <c r="E251" s="14"/>
      <c r="F251" s="76"/>
      <c r="G251" s="14" t="s">
        <v>454</v>
      </c>
      <c r="H251" s="14">
        <v>2021</v>
      </c>
      <c r="I251" s="14" t="s">
        <v>449</v>
      </c>
      <c r="J251" s="14" t="s">
        <v>136</v>
      </c>
      <c r="K251" s="14"/>
    </row>
    <row r="252" spans="1:11">
      <c r="A252" s="14"/>
      <c r="B252" s="14"/>
      <c r="C252" s="14"/>
      <c r="D252" s="14"/>
      <c r="E252" s="14"/>
      <c r="F252" s="76"/>
      <c r="G252" s="14" t="s">
        <v>455</v>
      </c>
      <c r="H252" s="14">
        <v>2021</v>
      </c>
      <c r="I252" s="14" t="s">
        <v>447</v>
      </c>
      <c r="J252" s="14" t="s">
        <v>136</v>
      </c>
      <c r="K252" s="14"/>
    </row>
    <row r="253" spans="1:11">
      <c r="A253" s="14"/>
      <c r="B253" s="14"/>
      <c r="C253" s="14"/>
      <c r="D253" s="14"/>
      <c r="E253" s="14"/>
      <c r="F253" s="76"/>
      <c r="G253" s="14" t="s">
        <v>456</v>
      </c>
      <c r="H253" s="14">
        <v>2021</v>
      </c>
      <c r="I253" s="14" t="s">
        <v>449</v>
      </c>
      <c r="J253" s="14" t="s">
        <v>241</v>
      </c>
      <c r="K253" s="14"/>
    </row>
    <row r="254" spans="1:11">
      <c r="A254" s="14"/>
      <c r="B254" s="14"/>
      <c r="C254" s="14"/>
      <c r="D254" s="14"/>
      <c r="E254" s="14"/>
      <c r="F254" s="76"/>
      <c r="G254" s="14" t="s">
        <v>457</v>
      </c>
      <c r="H254" s="14">
        <v>2021</v>
      </c>
      <c r="I254" s="14" t="s">
        <v>449</v>
      </c>
      <c r="J254" s="14" t="s">
        <v>244</v>
      </c>
      <c r="K254" s="14"/>
    </row>
    <row r="255" spans="1:11">
      <c r="A255" s="14"/>
      <c r="B255" s="14"/>
      <c r="C255" s="14"/>
      <c r="D255" s="14"/>
      <c r="E255" s="14"/>
      <c r="F255" s="76"/>
      <c r="G255" s="14" t="s">
        <v>458</v>
      </c>
      <c r="H255" s="14">
        <v>2021</v>
      </c>
      <c r="I255" s="14" t="s">
        <v>449</v>
      </c>
      <c r="J255" s="14" t="s">
        <v>247</v>
      </c>
      <c r="K255" s="14"/>
    </row>
    <row r="256" spans="1:11">
      <c r="A256" s="14"/>
      <c r="B256" s="14"/>
      <c r="C256" s="14"/>
      <c r="D256" s="14"/>
      <c r="E256" s="14"/>
      <c r="F256" s="76"/>
      <c r="G256" s="14" t="s">
        <v>459</v>
      </c>
      <c r="H256" s="14">
        <v>2021</v>
      </c>
      <c r="I256" s="14" t="s">
        <v>434</v>
      </c>
      <c r="J256" s="14" t="s">
        <v>139</v>
      </c>
      <c r="K256" s="14"/>
    </row>
    <row r="257" spans="1:11">
      <c r="A257" s="14"/>
      <c r="B257" s="14"/>
      <c r="C257" s="14"/>
      <c r="D257" s="14"/>
      <c r="E257" s="14"/>
      <c r="F257" s="76"/>
      <c r="G257" s="14" t="s">
        <v>460</v>
      </c>
      <c r="H257" s="14">
        <v>2021</v>
      </c>
      <c r="I257" s="14" t="s">
        <v>434</v>
      </c>
      <c r="J257" s="14" t="s">
        <v>142</v>
      </c>
      <c r="K257" s="14"/>
    </row>
    <row r="258" spans="1:11">
      <c r="A258" s="14"/>
      <c r="B258" s="14"/>
      <c r="C258" s="14"/>
      <c r="D258" s="14"/>
      <c r="E258" s="14"/>
      <c r="F258" s="76"/>
      <c r="G258" s="14" t="s">
        <v>461</v>
      </c>
      <c r="H258" s="14">
        <v>2021</v>
      </c>
      <c r="I258" s="14" t="s">
        <v>434</v>
      </c>
      <c r="J258" s="14" t="s">
        <v>145</v>
      </c>
      <c r="K258" s="14"/>
    </row>
    <row r="259" spans="1:11">
      <c r="A259" s="14"/>
      <c r="B259" s="14"/>
      <c r="C259" s="14"/>
      <c r="D259" s="14"/>
      <c r="E259" s="14"/>
      <c r="F259" s="76"/>
      <c r="G259" s="14" t="s">
        <v>462</v>
      </c>
      <c r="H259" s="14">
        <v>2021</v>
      </c>
      <c r="I259" s="14" t="s">
        <v>434</v>
      </c>
      <c r="J259" s="14" t="s">
        <v>148</v>
      </c>
      <c r="K259" s="14"/>
    </row>
    <row r="260" spans="1:11">
      <c r="A260" s="14"/>
      <c r="B260" s="14"/>
      <c r="C260" s="14"/>
      <c r="D260" s="14"/>
      <c r="E260" s="14"/>
      <c r="F260" s="76"/>
      <c r="G260" s="14" t="s">
        <v>463</v>
      </c>
      <c r="H260" s="14">
        <v>2021</v>
      </c>
      <c r="I260" s="14" t="s">
        <v>434</v>
      </c>
      <c r="J260" s="14" t="s">
        <v>151</v>
      </c>
      <c r="K260" s="14"/>
    </row>
    <row r="261" spans="1:11">
      <c r="A261" s="14"/>
      <c r="B261" s="14"/>
      <c r="C261" s="14"/>
      <c r="D261" s="14"/>
      <c r="E261" s="14"/>
      <c r="F261" s="76"/>
      <c r="G261" s="14" t="s">
        <v>464</v>
      </c>
      <c r="H261" s="14">
        <v>2021</v>
      </c>
      <c r="I261" s="14" t="s">
        <v>434</v>
      </c>
      <c r="J261" s="14" t="s">
        <v>154</v>
      </c>
      <c r="K261" s="14"/>
    </row>
    <row r="262" spans="1:11">
      <c r="A262" s="14"/>
      <c r="B262" s="14"/>
      <c r="C262" s="14"/>
      <c r="D262" s="14"/>
      <c r="E262" s="14"/>
      <c r="F262" s="76"/>
      <c r="G262" s="14" t="s">
        <v>465</v>
      </c>
      <c r="H262" s="14">
        <v>2021</v>
      </c>
      <c r="I262" s="14" t="s">
        <v>434</v>
      </c>
      <c r="J262" s="14" t="s">
        <v>157</v>
      </c>
      <c r="K262" s="14"/>
    </row>
    <row r="263" spans="1:11">
      <c r="A263" s="14"/>
      <c r="B263" s="14"/>
      <c r="C263" s="14"/>
      <c r="D263" s="14"/>
      <c r="E263" s="14"/>
      <c r="F263" s="76"/>
      <c r="G263" s="14" t="s">
        <v>466</v>
      </c>
      <c r="H263" s="14">
        <v>2021</v>
      </c>
      <c r="I263" s="14" t="s">
        <v>434</v>
      </c>
      <c r="J263" s="14" t="s">
        <v>160</v>
      </c>
      <c r="K263" s="14"/>
    </row>
    <row r="264" spans="1:11">
      <c r="A264" s="14"/>
      <c r="B264" s="14"/>
      <c r="C264" s="14"/>
      <c r="D264" s="14"/>
      <c r="E264" s="14"/>
      <c r="F264" s="76"/>
      <c r="G264" s="14" t="s">
        <v>467</v>
      </c>
      <c r="H264" s="14">
        <v>2021</v>
      </c>
      <c r="I264" s="14" t="s">
        <v>434</v>
      </c>
      <c r="J264" s="14" t="s">
        <v>163</v>
      </c>
      <c r="K264" s="14"/>
    </row>
    <row r="265" spans="1:11">
      <c r="A265" s="14"/>
      <c r="B265" s="14"/>
      <c r="C265" s="14"/>
      <c r="D265" s="14"/>
      <c r="E265" s="14"/>
      <c r="F265" s="76"/>
      <c r="G265" s="14" t="s">
        <v>468</v>
      </c>
      <c r="H265" s="14">
        <v>2021</v>
      </c>
      <c r="I265" s="14" t="s">
        <v>434</v>
      </c>
      <c r="J265" s="14" t="s">
        <v>271</v>
      </c>
      <c r="K265" s="14"/>
    </row>
    <row r="266" spans="1:11">
      <c r="A266" s="14"/>
      <c r="B266" s="14"/>
      <c r="C266" s="14"/>
      <c r="D266" s="14"/>
      <c r="E266" s="14"/>
      <c r="F266" s="76"/>
      <c r="G266" s="14" t="s">
        <v>469</v>
      </c>
      <c r="H266" s="14">
        <v>2021</v>
      </c>
      <c r="I266" s="14" t="s">
        <v>434</v>
      </c>
      <c r="J266" s="14" t="s">
        <v>275</v>
      </c>
      <c r="K266" s="14"/>
    </row>
    <row r="267" spans="1:11">
      <c r="A267" s="14"/>
      <c r="B267" s="14"/>
      <c r="C267" s="14"/>
      <c r="D267" s="14"/>
      <c r="E267" s="14"/>
      <c r="F267" s="76"/>
      <c r="G267" s="14" t="s">
        <v>470</v>
      </c>
      <c r="H267" s="14">
        <v>2021</v>
      </c>
      <c r="I267" s="14" t="s">
        <v>434</v>
      </c>
      <c r="J267" s="14" t="s">
        <v>279</v>
      </c>
      <c r="K267" s="14"/>
    </row>
    <row r="268" spans="1:11">
      <c r="A268" s="14"/>
      <c r="B268" s="14"/>
      <c r="C268" s="14"/>
      <c r="D268" s="14"/>
      <c r="E268" s="14"/>
      <c r="F268" s="76"/>
      <c r="G268" s="14" t="s">
        <v>471</v>
      </c>
      <c r="H268" s="14">
        <v>2021</v>
      </c>
      <c r="I268" s="14" t="s">
        <v>447</v>
      </c>
      <c r="J268" s="14" t="s">
        <v>139</v>
      </c>
      <c r="K268" s="14"/>
    </row>
    <row r="269" spans="1:11">
      <c r="A269" s="14"/>
      <c r="B269" s="14"/>
      <c r="C269" s="14"/>
      <c r="D269" s="14"/>
      <c r="E269" s="14"/>
      <c r="F269" s="76"/>
      <c r="G269" s="14" t="s">
        <v>472</v>
      </c>
      <c r="H269" s="14">
        <v>2021</v>
      </c>
      <c r="I269" s="14" t="s">
        <v>449</v>
      </c>
      <c r="J269" s="14" t="s">
        <v>142</v>
      </c>
      <c r="K269" s="14"/>
    </row>
    <row r="270" spans="1:11">
      <c r="A270" s="14"/>
      <c r="B270" s="14"/>
      <c r="C270" s="14"/>
      <c r="D270" s="14"/>
      <c r="E270" s="14"/>
      <c r="F270" s="76"/>
      <c r="G270" s="14" t="s">
        <v>473</v>
      </c>
      <c r="H270" s="14">
        <v>2021</v>
      </c>
      <c r="I270" s="14" t="s">
        <v>447</v>
      </c>
      <c r="J270" s="14" t="s">
        <v>142</v>
      </c>
      <c r="K270" s="14"/>
    </row>
    <row r="271" spans="1:11">
      <c r="A271" s="14"/>
      <c r="B271" s="14"/>
      <c r="C271" s="14"/>
      <c r="D271" s="14"/>
      <c r="E271" s="14"/>
      <c r="F271" s="76"/>
      <c r="G271" s="14" t="s">
        <v>474</v>
      </c>
      <c r="H271" s="14">
        <v>2021</v>
      </c>
      <c r="I271" s="14" t="s">
        <v>447</v>
      </c>
      <c r="J271" s="14" t="s">
        <v>145</v>
      </c>
      <c r="K271" s="14"/>
    </row>
    <row r="272" spans="1:11">
      <c r="A272" s="14"/>
      <c r="B272" s="14"/>
      <c r="C272" s="14"/>
      <c r="D272" s="14"/>
      <c r="E272" s="14"/>
      <c r="F272" s="76"/>
      <c r="G272" s="14" t="s">
        <v>475</v>
      </c>
      <c r="H272" s="14">
        <v>2021</v>
      </c>
      <c r="I272" s="14" t="s">
        <v>449</v>
      </c>
      <c r="J272" s="14" t="s">
        <v>151</v>
      </c>
      <c r="K272" s="14"/>
    </row>
    <row r="273" spans="1:11">
      <c r="A273" s="14"/>
      <c r="B273" s="14"/>
      <c r="C273" s="14"/>
      <c r="D273" s="14"/>
      <c r="E273" s="14"/>
      <c r="F273" s="76"/>
      <c r="G273" s="14" t="s">
        <v>476</v>
      </c>
      <c r="H273" s="14">
        <v>2021</v>
      </c>
      <c r="I273" s="14" t="s">
        <v>447</v>
      </c>
      <c r="J273" s="14" t="s">
        <v>154</v>
      </c>
      <c r="K273" s="14"/>
    </row>
    <row r="274" spans="1:11">
      <c r="A274" s="14"/>
      <c r="B274" s="14"/>
      <c r="C274" s="14"/>
      <c r="D274" s="14"/>
      <c r="E274" s="14"/>
      <c r="F274" s="76"/>
      <c r="G274" s="14" t="s">
        <v>477</v>
      </c>
      <c r="H274" s="14">
        <v>2021</v>
      </c>
      <c r="I274" s="14" t="s">
        <v>449</v>
      </c>
      <c r="J274" s="14" t="s">
        <v>157</v>
      </c>
      <c r="K274" s="14"/>
    </row>
    <row r="275" spans="1:11">
      <c r="A275" s="14"/>
      <c r="B275" s="14"/>
      <c r="C275" s="14"/>
      <c r="D275" s="14"/>
      <c r="E275" s="14"/>
      <c r="F275" s="76"/>
      <c r="G275" s="14" t="s">
        <v>478</v>
      </c>
      <c r="H275" s="14">
        <v>2021</v>
      </c>
      <c r="I275" s="14" t="s">
        <v>447</v>
      </c>
      <c r="J275" s="14" t="s">
        <v>157</v>
      </c>
      <c r="K275" s="14"/>
    </row>
    <row r="276" spans="1:11">
      <c r="A276" s="14"/>
      <c r="B276" s="14"/>
      <c r="C276" s="14"/>
      <c r="D276" s="14"/>
      <c r="E276" s="14"/>
      <c r="F276" s="76"/>
      <c r="G276" s="14" t="s">
        <v>479</v>
      </c>
      <c r="H276" s="14">
        <v>2021</v>
      </c>
      <c r="I276" s="14" t="s">
        <v>449</v>
      </c>
      <c r="J276" s="14" t="s">
        <v>160</v>
      </c>
      <c r="K276" s="14"/>
    </row>
    <row r="277" spans="1:11">
      <c r="A277" s="14"/>
      <c r="B277" s="14"/>
      <c r="C277" s="14"/>
      <c r="D277" s="14"/>
      <c r="E277" s="14"/>
      <c r="F277" s="76"/>
      <c r="G277" s="14" t="s">
        <v>480</v>
      </c>
      <c r="H277" s="14">
        <v>2021</v>
      </c>
      <c r="I277" s="14" t="s">
        <v>449</v>
      </c>
      <c r="J277" s="14" t="s">
        <v>163</v>
      </c>
      <c r="K277" s="14"/>
    </row>
    <row r="278" spans="1:11">
      <c r="A278" s="14"/>
      <c r="B278" s="14"/>
      <c r="C278" s="14"/>
      <c r="D278" s="14"/>
      <c r="E278" s="14"/>
      <c r="F278" s="76"/>
      <c r="G278" s="14" t="s">
        <v>481</v>
      </c>
      <c r="H278" s="14">
        <v>2021</v>
      </c>
      <c r="I278" s="14" t="s">
        <v>449</v>
      </c>
      <c r="J278" s="14" t="s">
        <v>275</v>
      </c>
      <c r="K278" s="14"/>
    </row>
    <row r="279" spans="1:11">
      <c r="A279" s="14"/>
      <c r="B279" s="14"/>
      <c r="C279" s="14"/>
      <c r="D279" s="14"/>
      <c r="E279" s="14"/>
      <c r="F279" s="76"/>
      <c r="G279" s="14" t="s">
        <v>482</v>
      </c>
      <c r="H279" s="14">
        <v>2021</v>
      </c>
      <c r="I279" s="14" t="s">
        <v>447</v>
      </c>
      <c r="J279" s="14" t="s">
        <v>275</v>
      </c>
      <c r="K279" s="14"/>
    </row>
    <row r="280" spans="1:11">
      <c r="A280" s="14"/>
      <c r="B280" s="14"/>
      <c r="C280" s="14"/>
      <c r="D280" s="14"/>
      <c r="E280" s="14"/>
      <c r="F280" s="76"/>
      <c r="G280" s="14" t="s">
        <v>483</v>
      </c>
      <c r="H280" s="14">
        <v>2021</v>
      </c>
      <c r="I280" s="14" t="s">
        <v>449</v>
      </c>
      <c r="J280" s="14" t="s">
        <v>279</v>
      </c>
      <c r="K280" s="14"/>
    </row>
    <row r="281" spans="1:11">
      <c r="A281" s="14"/>
      <c r="B281" s="14"/>
      <c r="C281" s="14"/>
      <c r="D281" s="14"/>
      <c r="E281" s="14"/>
      <c r="F281" s="76"/>
      <c r="G281" s="14" t="s">
        <v>484</v>
      </c>
      <c r="H281" s="14">
        <v>2021</v>
      </c>
      <c r="I281" s="14" t="s">
        <v>447</v>
      </c>
      <c r="J281" s="14" t="s">
        <v>279</v>
      </c>
      <c r="K281" s="14"/>
    </row>
    <row r="282" spans="1:11">
      <c r="A282" s="14"/>
      <c r="B282" s="14"/>
      <c r="C282" s="14"/>
      <c r="D282" s="14"/>
      <c r="E282" s="14"/>
      <c r="F282" s="14"/>
      <c r="G282" s="14"/>
      <c r="H282" s="14"/>
      <c r="I282" s="14"/>
      <c r="J282" s="14"/>
      <c r="K282" s="14"/>
    </row>
    <row r="283" spans="1:11">
      <c r="A283" s="14"/>
      <c r="B283" s="14"/>
      <c r="C283" s="14"/>
      <c r="D283" s="14"/>
      <c r="E283" s="14"/>
      <c r="F283" s="14"/>
      <c r="G283" s="14"/>
      <c r="H283" s="14"/>
      <c r="I283" s="14"/>
      <c r="J283" s="14"/>
      <c r="K283" s="14"/>
    </row>
    <row r="284" spans="1:11">
      <c r="A284" s="14"/>
      <c r="B284" s="14"/>
      <c r="C284" s="14"/>
      <c r="D284" s="14"/>
      <c r="E284" s="14"/>
      <c r="F284" s="14"/>
      <c r="G284" s="14"/>
      <c r="H284" s="14"/>
      <c r="I284" s="14"/>
      <c r="J284" s="14"/>
      <c r="K284" s="14"/>
    </row>
    <row r="285" spans="1:11">
      <c r="A285" s="14"/>
      <c r="B285" s="14"/>
      <c r="C285" s="14"/>
      <c r="D285" s="14"/>
      <c r="E285" s="14"/>
      <c r="F285" s="14"/>
      <c r="G285" s="14"/>
      <c r="H285" s="14"/>
      <c r="I285" s="14"/>
      <c r="J285" s="14"/>
      <c r="K285" s="14"/>
    </row>
    <row r="286" spans="1:11">
      <c r="A286" s="14"/>
      <c r="B286" s="14"/>
      <c r="C286" s="14"/>
      <c r="D286" s="14"/>
      <c r="E286" s="14"/>
      <c r="F286" s="14"/>
      <c r="G286" s="14"/>
      <c r="H286" s="14"/>
      <c r="I286" s="14"/>
      <c r="J286" s="14"/>
      <c r="K286" s="14"/>
    </row>
    <row r="287" spans="1:11">
      <c r="A287" s="14"/>
      <c r="B287" s="14"/>
      <c r="C287" s="14"/>
      <c r="D287" s="14"/>
      <c r="E287" s="14"/>
      <c r="F287" s="14"/>
      <c r="G287" s="14"/>
      <c r="H287" s="14"/>
      <c r="I287" s="14"/>
      <c r="J287" s="14"/>
      <c r="K287" s="14"/>
    </row>
    <row r="288" spans="1:11">
      <c r="A288" s="14"/>
      <c r="B288" s="14"/>
      <c r="C288" s="14"/>
      <c r="D288" s="14"/>
      <c r="E288" s="14"/>
      <c r="F288" s="14"/>
      <c r="G288" s="14"/>
      <c r="H288" s="14"/>
      <c r="I288" s="14"/>
      <c r="J288" s="14"/>
      <c r="K288" s="14"/>
    </row>
    <row r="289" spans="1:11">
      <c r="A289" s="14"/>
      <c r="B289" s="14"/>
      <c r="C289" s="14"/>
      <c r="D289" s="14"/>
      <c r="E289" s="14"/>
      <c r="F289" s="14"/>
      <c r="G289" s="14"/>
      <c r="H289" s="14"/>
      <c r="I289" s="14"/>
      <c r="J289" s="14"/>
      <c r="K289" s="14"/>
    </row>
    <row r="290" spans="1:11">
      <c r="A290" s="14"/>
      <c r="B290" s="14"/>
      <c r="C290" s="14"/>
      <c r="D290" s="14"/>
      <c r="E290" s="14"/>
      <c r="F290" s="14"/>
      <c r="G290" s="14"/>
      <c r="H290" s="14"/>
      <c r="I290" s="14"/>
      <c r="J290" s="14"/>
      <c r="K290" s="14"/>
    </row>
    <row r="291" spans="1:11">
      <c r="A291" s="14"/>
      <c r="B291" s="14"/>
      <c r="C291" s="14"/>
      <c r="D291" s="14"/>
      <c r="E291" s="14"/>
      <c r="F291" s="14"/>
      <c r="G291" s="14"/>
      <c r="H291" s="14"/>
      <c r="I291" s="14"/>
      <c r="J291" s="14"/>
      <c r="K291" s="14"/>
    </row>
    <row r="292" spans="1:11">
      <c r="A292" s="14"/>
      <c r="B292" s="14"/>
      <c r="C292" s="14"/>
      <c r="D292" s="14"/>
      <c r="E292" s="14"/>
      <c r="F292" s="14"/>
      <c r="G292" s="14"/>
      <c r="H292" s="14"/>
      <c r="I292" s="14"/>
      <c r="J292" s="14"/>
      <c r="K292" s="14"/>
    </row>
    <row r="293" spans="1:11">
      <c r="A293" s="14"/>
      <c r="B293" s="14"/>
      <c r="C293" s="14"/>
      <c r="D293" s="14"/>
      <c r="E293" s="14"/>
      <c r="F293" s="14"/>
      <c r="G293" s="14"/>
      <c r="H293" s="14"/>
      <c r="I293" s="14"/>
      <c r="J293" s="14"/>
      <c r="K293" s="14"/>
    </row>
    <row r="294" spans="1:11">
      <c r="A294" s="14"/>
      <c r="B294" s="14"/>
      <c r="C294" s="14"/>
      <c r="D294" s="14"/>
      <c r="E294" s="14"/>
      <c r="F294" s="14"/>
      <c r="G294" s="14"/>
      <c r="H294" s="14"/>
      <c r="I294" s="14"/>
      <c r="J294" s="14"/>
      <c r="K294" s="14"/>
    </row>
    <row r="295" spans="1:11">
      <c r="A295" s="14"/>
      <c r="B295" s="14"/>
      <c r="C295" s="14"/>
      <c r="D295" s="14"/>
      <c r="E295" s="14"/>
      <c r="F295" s="14"/>
      <c r="G295" s="14"/>
      <c r="H295" s="14"/>
      <c r="I295" s="14"/>
      <c r="J295" s="14"/>
      <c r="K295" s="14"/>
    </row>
    <row r="296" spans="1:11">
      <c r="A296" s="14"/>
      <c r="B296" s="14"/>
      <c r="C296" s="14"/>
      <c r="D296" s="14"/>
      <c r="E296" s="14"/>
      <c r="F296" s="14"/>
      <c r="G296" s="14"/>
      <c r="H296" s="14"/>
      <c r="I296" s="14"/>
      <c r="J296" s="14"/>
      <c r="K296" s="14"/>
    </row>
    <row r="297" spans="1:11">
      <c r="A297" s="14"/>
      <c r="B297" s="14"/>
      <c r="C297" s="14"/>
      <c r="D297" s="14"/>
      <c r="E297" s="14"/>
      <c r="F297" s="14"/>
      <c r="G297" s="14"/>
      <c r="H297" s="14"/>
      <c r="I297" s="14"/>
      <c r="J297" s="14"/>
      <c r="K297" s="14"/>
    </row>
    <row r="298" spans="1:11">
      <c r="A298" s="14"/>
      <c r="B298" s="14"/>
      <c r="C298" s="14"/>
      <c r="D298" s="14"/>
      <c r="E298" s="14"/>
      <c r="F298" s="14"/>
      <c r="G298" s="14"/>
      <c r="H298" s="14"/>
      <c r="I298" s="14"/>
      <c r="J298" s="14"/>
      <c r="K298" s="14"/>
    </row>
    <row r="299" spans="1:11">
      <c r="A299" s="14"/>
      <c r="B299" s="14"/>
      <c r="C299" s="14"/>
      <c r="D299" s="14"/>
      <c r="E299" s="14"/>
      <c r="F299" s="14"/>
      <c r="G299" s="14"/>
      <c r="H299" s="14"/>
      <c r="I299" s="14"/>
      <c r="J299" s="14"/>
      <c r="K299" s="14"/>
    </row>
    <row r="300" spans="1:11">
      <c r="A300" s="14"/>
      <c r="B300" s="14"/>
      <c r="C300" s="14"/>
      <c r="D300" s="14"/>
      <c r="E300" s="14"/>
      <c r="F300" s="14"/>
      <c r="G300" s="14"/>
      <c r="H300" s="14"/>
      <c r="I300" s="14"/>
      <c r="J300" s="14"/>
      <c r="K300" s="14"/>
    </row>
    <row r="301" spans="1:11">
      <c r="A301" s="14"/>
      <c r="B301" s="14"/>
      <c r="C301" s="14"/>
      <c r="D301" s="14"/>
      <c r="E301" s="14"/>
      <c r="F301" s="14"/>
      <c r="G301" s="14"/>
      <c r="H301" s="14"/>
      <c r="I301" s="14"/>
      <c r="J301" s="14"/>
      <c r="K301" s="14"/>
    </row>
    <row r="302" spans="1:11">
      <c r="A302" s="14"/>
      <c r="B302" s="14"/>
      <c r="C302" s="14"/>
      <c r="D302" s="14"/>
      <c r="E302" s="14"/>
      <c r="F302" s="14"/>
      <c r="G302" s="14"/>
      <c r="H302" s="14"/>
      <c r="I302" s="14"/>
      <c r="J302" s="14"/>
      <c r="K302" s="14"/>
    </row>
    <row r="303" spans="1:11">
      <c r="A303" s="14"/>
      <c r="B303" s="14"/>
      <c r="C303" s="14"/>
      <c r="D303" s="14"/>
      <c r="E303" s="14"/>
      <c r="F303" s="14"/>
      <c r="G303" s="14"/>
      <c r="H303" s="14"/>
      <c r="I303" s="14"/>
      <c r="J303" s="14"/>
      <c r="K303" s="14"/>
    </row>
    <row r="304" spans="1:11">
      <c r="A304" s="14"/>
      <c r="B304" s="14"/>
      <c r="C304" s="14"/>
      <c r="D304" s="14"/>
      <c r="E304" s="14"/>
      <c r="F304" s="14"/>
      <c r="G304" s="14"/>
      <c r="H304" s="14"/>
      <c r="I304" s="14"/>
      <c r="J304" s="14"/>
      <c r="K304" s="14"/>
    </row>
    <row r="305" spans="1:11">
      <c r="A305" s="14"/>
      <c r="B305" s="14"/>
      <c r="C305" s="14"/>
      <c r="D305" s="14"/>
      <c r="E305" s="14"/>
      <c r="F305" s="14"/>
      <c r="G305" s="14"/>
      <c r="H305" s="14"/>
      <c r="I305" s="14"/>
      <c r="J305" s="14"/>
      <c r="K305" s="14"/>
    </row>
    <row r="306" spans="1:11">
      <c r="A306" s="14"/>
      <c r="B306" s="14"/>
      <c r="C306" s="14"/>
      <c r="D306" s="14"/>
      <c r="E306" s="14"/>
      <c r="F306" s="14"/>
      <c r="G306" s="14"/>
      <c r="H306" s="14"/>
      <c r="I306" s="14"/>
      <c r="J306" s="14"/>
      <c r="K306" s="14"/>
    </row>
    <row r="307" spans="1:11">
      <c r="A307" s="14"/>
      <c r="B307" s="14"/>
      <c r="C307" s="14"/>
      <c r="D307" s="14"/>
      <c r="E307" s="14"/>
      <c r="F307" s="14"/>
      <c r="G307" s="14"/>
      <c r="H307" s="14"/>
      <c r="I307" s="14"/>
      <c r="J307" s="14"/>
      <c r="K307" s="14"/>
    </row>
    <row r="308" spans="1:11">
      <c r="A308" s="14"/>
      <c r="B308" s="14"/>
      <c r="C308" s="14"/>
      <c r="D308" s="14"/>
      <c r="E308" s="14"/>
      <c r="F308" s="14"/>
      <c r="G308" s="14"/>
      <c r="H308" s="14"/>
      <c r="I308" s="14"/>
      <c r="J308" s="14"/>
      <c r="K308" s="14"/>
    </row>
    <row r="309" spans="1:11">
      <c r="A309" s="14"/>
      <c r="B309" s="14"/>
      <c r="C309" s="14"/>
      <c r="D309" s="14"/>
      <c r="E309" s="14"/>
      <c r="F309" s="14"/>
      <c r="G309" s="14"/>
      <c r="H309" s="14"/>
      <c r="I309" s="14"/>
      <c r="J309" s="14"/>
      <c r="K309" s="14"/>
    </row>
    <row r="310" spans="1:11">
      <c r="A310" s="14"/>
      <c r="B310" s="14"/>
      <c r="C310" s="14"/>
      <c r="D310" s="14"/>
      <c r="E310" s="14"/>
      <c r="F310" s="14"/>
      <c r="G310" s="14"/>
      <c r="H310" s="14"/>
      <c r="I310" s="14"/>
      <c r="J310" s="14"/>
      <c r="K310" s="14"/>
    </row>
    <row r="311" spans="1:11">
      <c r="A311" s="14"/>
      <c r="B311" s="14"/>
      <c r="C311" s="14"/>
      <c r="D311" s="14"/>
      <c r="E311" s="14"/>
      <c r="F311" s="14"/>
      <c r="G311" s="14"/>
      <c r="H311" s="14"/>
      <c r="I311" s="14"/>
      <c r="J311" s="14"/>
      <c r="K311" s="14"/>
    </row>
    <row r="312" spans="1:11">
      <c r="A312" s="14"/>
      <c r="B312" s="14"/>
      <c r="C312" s="14"/>
      <c r="D312" s="14"/>
      <c r="E312" s="14"/>
      <c r="F312" s="14"/>
      <c r="G312" s="14"/>
      <c r="H312" s="14"/>
      <c r="I312" s="14"/>
      <c r="J312" s="14"/>
      <c r="K312" s="14"/>
    </row>
    <row r="313" spans="1:11">
      <c r="A313" s="14"/>
      <c r="B313" s="14"/>
      <c r="C313" s="14"/>
      <c r="D313" s="14"/>
      <c r="E313" s="14"/>
      <c r="F313" s="14"/>
      <c r="G313" s="14"/>
      <c r="H313" s="14"/>
      <c r="I313" s="14"/>
      <c r="J313" s="14"/>
      <c r="K313" s="14"/>
    </row>
    <row r="314" spans="1:11">
      <c r="A314" s="14"/>
      <c r="B314" s="14"/>
      <c r="C314" s="14"/>
      <c r="D314" s="14"/>
      <c r="E314" s="14"/>
      <c r="F314" s="14"/>
      <c r="G314" s="14"/>
      <c r="H314" s="14"/>
      <c r="I314" s="14"/>
      <c r="J314" s="14"/>
      <c r="K314" s="14"/>
    </row>
    <row r="315" spans="1:11">
      <c r="A315" s="14"/>
      <c r="B315" s="14"/>
      <c r="C315" s="14"/>
      <c r="D315" s="14"/>
      <c r="E315" s="14"/>
      <c r="F315" s="14"/>
      <c r="G315" s="14"/>
      <c r="H315" s="14"/>
      <c r="I315" s="14"/>
      <c r="J315" s="14"/>
      <c r="K315" s="14"/>
    </row>
    <row r="316" spans="1:11">
      <c r="A316" s="14"/>
      <c r="B316" s="14"/>
      <c r="C316" s="14"/>
      <c r="D316" s="14"/>
      <c r="E316" s="14"/>
      <c r="F316" s="14"/>
      <c r="G316" s="14"/>
      <c r="H316" s="14"/>
      <c r="I316" s="14"/>
      <c r="J316" s="14"/>
      <c r="K316" s="14"/>
    </row>
    <row r="317" spans="1:11">
      <c r="A317" s="14"/>
      <c r="B317" s="14"/>
      <c r="C317" s="14"/>
      <c r="D317" s="14"/>
      <c r="E317" s="14"/>
      <c r="F317" s="14"/>
      <c r="G317" s="14"/>
      <c r="H317" s="14"/>
      <c r="I317" s="14"/>
      <c r="J317" s="14"/>
      <c r="K317" s="14"/>
    </row>
    <row r="318" spans="1:11">
      <c r="A318" s="14"/>
      <c r="B318" s="14"/>
      <c r="C318" s="14"/>
      <c r="D318" s="14"/>
      <c r="E318" s="14"/>
      <c r="F318" s="14"/>
      <c r="G318" s="14"/>
      <c r="H318" s="14"/>
      <c r="I318" s="14"/>
      <c r="J318" s="14"/>
      <c r="K318" s="14"/>
    </row>
    <row r="319" spans="1:11">
      <c r="A319" s="14"/>
      <c r="B319" s="14"/>
      <c r="C319" s="14"/>
      <c r="D319" s="14"/>
      <c r="E319" s="14"/>
      <c r="F319" s="14"/>
      <c r="G319" s="14"/>
      <c r="H319" s="14"/>
      <c r="I319" s="14"/>
      <c r="J319" s="14"/>
      <c r="K319" s="14"/>
    </row>
    <row r="320" spans="1:11">
      <c r="A320" s="14"/>
      <c r="B320" s="14"/>
      <c r="C320" s="14"/>
      <c r="D320" s="14"/>
      <c r="E320" s="14"/>
      <c r="F320" s="14"/>
      <c r="G320" s="14"/>
      <c r="H320" s="14"/>
      <c r="I320" s="14"/>
      <c r="J320" s="14"/>
      <c r="K320" s="14"/>
    </row>
    <row r="321" spans="1:11">
      <c r="A321" s="14"/>
      <c r="B321" s="14"/>
      <c r="C321" s="14"/>
      <c r="D321" s="14"/>
      <c r="E321" s="14"/>
      <c r="F321" s="14"/>
      <c r="G321" s="14"/>
      <c r="H321" s="14"/>
      <c r="I321" s="14"/>
      <c r="J321" s="14"/>
      <c r="K321" s="14"/>
    </row>
    <row r="322" spans="1:11">
      <c r="A322" s="14"/>
      <c r="B322" s="14"/>
      <c r="C322" s="14"/>
      <c r="D322" s="14"/>
      <c r="E322" s="14"/>
      <c r="F322" s="14"/>
      <c r="G322" s="14"/>
      <c r="H322" s="14"/>
      <c r="I322" s="14"/>
      <c r="J322" s="14"/>
      <c r="K322" s="14"/>
    </row>
    <row r="323" spans="1:11">
      <c r="A323" s="14"/>
      <c r="B323" s="14"/>
      <c r="C323" s="14"/>
      <c r="D323" s="14"/>
      <c r="E323" s="14"/>
      <c r="F323" s="14"/>
      <c r="G323" s="14"/>
      <c r="H323" s="14"/>
      <c r="I323" s="14"/>
      <c r="J323" s="14"/>
      <c r="K323" s="14"/>
    </row>
    <row r="324" spans="1:11">
      <c r="A324" s="14"/>
      <c r="B324" s="14"/>
      <c r="C324" s="14"/>
      <c r="D324" s="14"/>
      <c r="E324" s="14"/>
      <c r="F324" s="14"/>
      <c r="G324" s="14"/>
      <c r="H324" s="14"/>
      <c r="I324" s="14"/>
      <c r="J324" s="14"/>
      <c r="K324" s="14"/>
    </row>
    <row r="325" spans="1:11">
      <c r="A325" s="14"/>
      <c r="B325" s="14"/>
      <c r="C325" s="14"/>
      <c r="D325" s="14"/>
      <c r="E325" s="14"/>
      <c r="F325" s="14"/>
      <c r="G325" s="14"/>
      <c r="H325" s="14"/>
      <c r="I325" s="14"/>
      <c r="J325" s="14"/>
      <c r="K325" s="14"/>
    </row>
    <row r="326" spans="1:11">
      <c r="A326" s="14"/>
      <c r="B326" s="14"/>
      <c r="C326" s="14"/>
      <c r="D326" s="14"/>
      <c r="E326" s="14"/>
      <c r="F326" s="14"/>
      <c r="G326" s="14"/>
      <c r="H326" s="14"/>
      <c r="I326" s="14"/>
      <c r="J326" s="14"/>
      <c r="K326" s="14"/>
    </row>
    <row r="327" spans="1:11">
      <c r="A327" s="14"/>
      <c r="B327" s="14"/>
      <c r="C327" s="14"/>
      <c r="D327" s="14"/>
      <c r="E327" s="14"/>
      <c r="F327" s="14"/>
      <c r="G327" s="14"/>
      <c r="H327" s="14"/>
      <c r="I327" s="14"/>
      <c r="J327" s="14"/>
      <c r="K327" s="14"/>
    </row>
    <row r="328" spans="1:11">
      <c r="A328" s="14"/>
      <c r="B328" s="14"/>
      <c r="C328" s="14"/>
      <c r="D328" s="14"/>
      <c r="E328" s="14"/>
      <c r="F328" s="14"/>
      <c r="G328" s="14"/>
      <c r="H328" s="14"/>
      <c r="I328" s="14"/>
      <c r="J328" s="14"/>
      <c r="K328" s="14"/>
    </row>
    <row r="329" spans="1:11">
      <c r="A329" s="14"/>
      <c r="B329" s="14"/>
      <c r="C329" s="14"/>
      <c r="D329" s="14"/>
      <c r="E329" s="14"/>
      <c r="F329" s="14"/>
      <c r="G329" s="14"/>
      <c r="H329" s="14"/>
      <c r="I329" s="14"/>
      <c r="J329" s="14"/>
      <c r="K329" s="14"/>
    </row>
    <row r="330" spans="1:11">
      <c r="A330" s="14"/>
      <c r="B330" s="14"/>
      <c r="C330" s="14"/>
      <c r="D330" s="14"/>
      <c r="E330" s="14"/>
      <c r="F330" s="14"/>
      <c r="G330" s="14"/>
      <c r="H330" s="14"/>
      <c r="I330" s="14"/>
      <c r="J330" s="14"/>
      <c r="K330" s="14"/>
    </row>
    <row r="331" spans="1:11">
      <c r="A331" s="14"/>
      <c r="B331" s="14"/>
      <c r="C331" s="14"/>
      <c r="D331" s="14"/>
      <c r="E331" s="14"/>
      <c r="F331" s="14"/>
      <c r="G331" s="14"/>
      <c r="H331" s="14"/>
      <c r="I331" s="14"/>
      <c r="J331" s="14"/>
      <c r="K331" s="14"/>
    </row>
    <row r="332" spans="1:11">
      <c r="A332" s="14"/>
      <c r="B332" s="14"/>
      <c r="C332" s="14"/>
      <c r="D332" s="14"/>
      <c r="E332" s="14"/>
      <c r="F332" s="14"/>
      <c r="G332" s="14"/>
      <c r="H332" s="14"/>
      <c r="I332" s="14"/>
      <c r="J332" s="14"/>
      <c r="K332" s="14"/>
    </row>
    <row r="333" spans="1:11">
      <c r="A333" s="14"/>
      <c r="B333" s="14"/>
      <c r="C333" s="14"/>
      <c r="D333" s="14"/>
      <c r="E333" s="14"/>
      <c r="F333" s="14"/>
      <c r="G333" s="14"/>
      <c r="H333" s="14"/>
      <c r="I333" s="14"/>
      <c r="J333" s="14"/>
      <c r="K333" s="14"/>
    </row>
    <row r="334" spans="1:11">
      <c r="A334" s="14"/>
      <c r="B334" s="14"/>
      <c r="C334" s="14"/>
      <c r="D334" s="14"/>
      <c r="E334" s="14"/>
      <c r="F334" s="14"/>
      <c r="G334" s="14"/>
      <c r="H334" s="14"/>
      <c r="I334" s="14"/>
      <c r="J334" s="14"/>
      <c r="K334" s="14"/>
    </row>
    <row r="335" spans="1:11">
      <c r="A335" s="14"/>
      <c r="B335" s="14"/>
      <c r="C335" s="14"/>
      <c r="D335" s="14"/>
      <c r="E335" s="14"/>
      <c r="F335" s="14"/>
      <c r="G335" s="14"/>
      <c r="H335" s="14"/>
      <c r="I335" s="14"/>
      <c r="J335" s="14"/>
      <c r="K335" s="14"/>
    </row>
    <row r="336" spans="1:11">
      <c r="A336" s="14"/>
      <c r="B336" s="14"/>
      <c r="C336" s="14"/>
      <c r="D336" s="14"/>
      <c r="E336" s="14"/>
      <c r="F336" s="14"/>
      <c r="G336" s="14"/>
      <c r="H336" s="14"/>
      <c r="I336" s="14"/>
      <c r="J336" s="14"/>
      <c r="K336" s="14"/>
    </row>
    <row r="337" spans="1:11">
      <c r="A337" s="14"/>
      <c r="B337" s="14"/>
      <c r="C337" s="14"/>
      <c r="D337" s="14"/>
      <c r="E337" s="14"/>
      <c r="F337" s="14"/>
      <c r="G337" s="14"/>
      <c r="H337" s="14"/>
      <c r="I337" s="14"/>
      <c r="J337" s="14"/>
      <c r="K337" s="14"/>
    </row>
    <row r="338" spans="1:11">
      <c r="A338" s="14"/>
      <c r="B338" s="14"/>
      <c r="C338" s="14"/>
      <c r="D338" s="14"/>
      <c r="E338" s="14"/>
      <c r="F338" s="14"/>
      <c r="G338" s="14"/>
      <c r="H338" s="14"/>
      <c r="I338" s="14"/>
      <c r="J338" s="14"/>
      <c r="K338" s="14"/>
    </row>
    <row r="339" spans="1:11">
      <c r="A339" s="14"/>
      <c r="B339" s="14"/>
      <c r="C339" s="14"/>
      <c r="D339" s="14"/>
      <c r="E339" s="14"/>
      <c r="F339" s="14"/>
      <c r="G339" s="14"/>
      <c r="H339" s="14"/>
      <c r="I339" s="14"/>
      <c r="J339" s="14"/>
      <c r="K339" s="14"/>
    </row>
    <row r="340" spans="1:11">
      <c r="A340" s="14"/>
      <c r="B340" s="14"/>
      <c r="C340" s="14"/>
      <c r="D340" s="14"/>
      <c r="E340" s="14"/>
      <c r="F340" s="14"/>
      <c r="G340" s="14"/>
      <c r="H340" s="14"/>
      <c r="I340" s="14"/>
      <c r="J340" s="14"/>
      <c r="K340" s="14"/>
    </row>
    <row r="341" spans="1:11">
      <c r="A341" s="14"/>
      <c r="B341" s="14"/>
      <c r="C341" s="14"/>
      <c r="D341" s="14"/>
      <c r="E341" s="14"/>
      <c r="F341" s="14"/>
      <c r="G341" s="14"/>
      <c r="H341" s="14"/>
      <c r="I341" s="14"/>
      <c r="J341" s="14"/>
      <c r="K341" s="14"/>
    </row>
    <row r="342" spans="1:11">
      <c r="A342" s="14"/>
      <c r="B342" s="14"/>
      <c r="C342" s="14"/>
      <c r="D342" s="14"/>
      <c r="E342" s="14"/>
      <c r="F342" s="14"/>
      <c r="G342" s="14"/>
      <c r="H342" s="14"/>
      <c r="I342" s="14"/>
      <c r="J342" s="14"/>
      <c r="K342" s="14"/>
    </row>
    <row r="343" spans="1:11">
      <c r="A343" s="14"/>
      <c r="B343" s="14"/>
      <c r="C343" s="14"/>
      <c r="D343" s="14"/>
      <c r="E343" s="14"/>
      <c r="F343" s="14"/>
      <c r="G343" s="14"/>
      <c r="H343" s="14"/>
      <c r="I343" s="14"/>
      <c r="J343" s="14"/>
      <c r="K343" s="14"/>
    </row>
    <row r="344" spans="1:11">
      <c r="A344" s="14"/>
      <c r="B344" s="14"/>
      <c r="C344" s="14"/>
      <c r="D344" s="14"/>
      <c r="E344" s="14"/>
      <c r="F344" s="14"/>
      <c r="G344" s="14"/>
      <c r="H344" s="14"/>
      <c r="I344" s="14"/>
      <c r="J344" s="14"/>
      <c r="K344" s="14"/>
    </row>
    <row r="345" spans="1:11">
      <c r="A345" s="14"/>
      <c r="B345" s="14"/>
      <c r="C345" s="14"/>
      <c r="D345" s="14"/>
      <c r="E345" s="14"/>
      <c r="F345" s="14"/>
      <c r="G345" s="14"/>
      <c r="H345" s="14"/>
      <c r="I345" s="14"/>
      <c r="J345" s="14"/>
      <c r="K345" s="14"/>
    </row>
    <row r="346" spans="1:11">
      <c r="A346" s="14"/>
      <c r="B346" s="14"/>
      <c r="C346" s="14"/>
      <c r="D346" s="14"/>
      <c r="E346" s="14"/>
      <c r="F346" s="14"/>
      <c r="G346" s="14"/>
      <c r="H346" s="14"/>
      <c r="I346" s="14"/>
      <c r="J346" s="14"/>
      <c r="K346" s="14"/>
    </row>
    <row r="347" spans="1:11">
      <c r="A347" s="14"/>
      <c r="B347" s="14"/>
      <c r="C347" s="14"/>
      <c r="D347" s="14"/>
      <c r="E347" s="14"/>
      <c r="F347" s="14"/>
      <c r="G347" s="14"/>
      <c r="H347" s="14"/>
      <c r="I347" s="14"/>
      <c r="J347" s="14"/>
      <c r="K347" s="14"/>
    </row>
    <row r="348" spans="1:11">
      <c r="A348" s="14"/>
      <c r="B348" s="14"/>
      <c r="C348" s="14"/>
      <c r="D348" s="14"/>
      <c r="E348" s="14"/>
      <c r="F348" s="14"/>
      <c r="G348" s="14"/>
      <c r="H348" s="14"/>
      <c r="I348" s="14"/>
      <c r="J348" s="14"/>
      <c r="K348" s="14"/>
    </row>
    <row r="349" spans="1:11">
      <c r="A349" s="14"/>
      <c r="B349" s="14"/>
      <c r="C349" s="14"/>
      <c r="D349" s="14"/>
      <c r="E349" s="14"/>
      <c r="F349" s="14"/>
      <c r="G349" s="14"/>
      <c r="H349" s="14"/>
      <c r="I349" s="14"/>
      <c r="J349" s="14"/>
      <c r="K349" s="14"/>
    </row>
    <row r="350" spans="1:11">
      <c r="A350" s="14"/>
      <c r="B350" s="14"/>
      <c r="C350" s="14"/>
      <c r="D350" s="14"/>
      <c r="E350" s="14"/>
      <c r="F350" s="14"/>
      <c r="G350" s="14"/>
      <c r="H350" s="14"/>
      <c r="I350" s="14"/>
      <c r="J350" s="14"/>
      <c r="K350" s="14"/>
    </row>
    <row r="351" spans="1:11">
      <c r="A351" s="14"/>
      <c r="B351" s="14"/>
      <c r="C351" s="14"/>
      <c r="D351" s="14"/>
      <c r="E351" s="14"/>
      <c r="F351" s="14"/>
      <c r="G351" s="14"/>
      <c r="H351" s="14"/>
      <c r="I351" s="14"/>
      <c r="J351" s="14"/>
      <c r="K351" s="14"/>
    </row>
    <row r="352" spans="1:11">
      <c r="A352" s="14"/>
      <c r="B352" s="14"/>
      <c r="C352" s="14"/>
      <c r="D352" s="14"/>
      <c r="E352" s="14"/>
      <c r="F352" s="14"/>
      <c r="G352" s="14"/>
      <c r="H352" s="14"/>
      <c r="I352" s="14"/>
      <c r="J352" s="14"/>
      <c r="K352" s="14"/>
    </row>
    <row r="353" spans="1:11">
      <c r="A353" s="14"/>
      <c r="B353" s="14"/>
      <c r="C353" s="14"/>
      <c r="D353" s="14"/>
      <c r="E353" s="14"/>
      <c r="F353" s="14"/>
      <c r="G353" s="14"/>
      <c r="H353" s="14"/>
      <c r="I353" s="14"/>
      <c r="J353" s="14"/>
      <c r="K353" s="14"/>
    </row>
    <row r="354" spans="1:11">
      <c r="A354" s="14"/>
      <c r="B354" s="14"/>
      <c r="C354" s="14"/>
      <c r="D354" s="14"/>
      <c r="E354" s="14"/>
      <c r="F354" s="14"/>
      <c r="G354" s="14"/>
      <c r="H354" s="14"/>
      <c r="I354" s="14"/>
      <c r="J354" s="14"/>
      <c r="K354" s="14"/>
    </row>
    <row r="355" spans="1:11">
      <c r="A355" s="14"/>
      <c r="B355" s="14"/>
      <c r="C355" s="14"/>
      <c r="D355" s="14"/>
      <c r="E355" s="14"/>
      <c r="F355" s="14"/>
      <c r="G355" s="14"/>
      <c r="H355" s="14"/>
      <c r="I355" s="14"/>
      <c r="J355" s="14"/>
      <c r="K355" s="14"/>
    </row>
    <row r="356" spans="1:11">
      <c r="A356" s="14"/>
      <c r="B356" s="14"/>
      <c r="C356" s="14"/>
      <c r="D356" s="14"/>
      <c r="E356" s="14"/>
      <c r="F356" s="14"/>
      <c r="G356" s="14"/>
      <c r="H356" s="14"/>
      <c r="I356" s="14"/>
      <c r="J356" s="14"/>
      <c r="K356" s="14"/>
    </row>
    <row r="357" spans="1:11">
      <c r="A357" s="14"/>
      <c r="B357" s="14"/>
      <c r="C357" s="14"/>
      <c r="D357" s="14"/>
      <c r="E357" s="14"/>
      <c r="F357" s="14"/>
      <c r="G357" s="14"/>
      <c r="H357" s="14"/>
      <c r="I357" s="14"/>
      <c r="J357" s="14"/>
      <c r="K357" s="14"/>
    </row>
    <row r="358" spans="1:11">
      <c r="A358" s="14"/>
      <c r="B358" s="14"/>
      <c r="C358" s="14"/>
      <c r="D358" s="14"/>
      <c r="E358" s="14"/>
      <c r="F358" s="14"/>
      <c r="G358" s="14"/>
      <c r="H358" s="14"/>
      <c r="I358" s="14"/>
      <c r="J358" s="14"/>
      <c r="K358" s="14"/>
    </row>
    <row r="359" spans="1:11">
      <c r="A359" s="14"/>
      <c r="B359" s="14"/>
      <c r="C359" s="14"/>
      <c r="D359" s="14"/>
      <c r="E359" s="14"/>
      <c r="F359" s="14"/>
      <c r="G359" s="14"/>
      <c r="H359" s="14"/>
      <c r="I359" s="14"/>
      <c r="J359" s="14"/>
      <c r="K359" s="14"/>
    </row>
    <row r="360" spans="1:11">
      <c r="A360" s="14"/>
      <c r="B360" s="14"/>
      <c r="C360" s="14"/>
      <c r="D360" s="14"/>
      <c r="E360" s="14"/>
      <c r="F360" s="14"/>
      <c r="G360" s="14"/>
      <c r="H360" s="14"/>
      <c r="I360" s="14"/>
      <c r="J360" s="14"/>
      <c r="K360" s="14"/>
    </row>
    <row r="361" spans="1:11">
      <c r="A361" s="14"/>
      <c r="B361" s="14"/>
      <c r="C361" s="14"/>
      <c r="D361" s="14"/>
      <c r="E361" s="14"/>
      <c r="F361" s="14"/>
      <c r="G361" s="14"/>
      <c r="H361" s="14"/>
      <c r="I361" s="14"/>
      <c r="J361" s="14"/>
      <c r="K361" s="14"/>
    </row>
    <row r="362" spans="1:11">
      <c r="A362" s="14"/>
      <c r="B362" s="14"/>
      <c r="C362" s="14"/>
      <c r="D362" s="14"/>
      <c r="E362" s="14"/>
      <c r="F362" s="14"/>
      <c r="G362" s="14"/>
      <c r="H362" s="14"/>
      <c r="I362" s="14"/>
      <c r="J362" s="14"/>
      <c r="K362" s="14"/>
    </row>
    <row r="363" spans="1:11">
      <c r="A363" s="14"/>
      <c r="B363" s="14"/>
      <c r="C363" s="14"/>
      <c r="D363" s="14"/>
      <c r="E363" s="14"/>
      <c r="F363" s="14"/>
      <c r="G363" s="14"/>
      <c r="H363" s="14"/>
      <c r="I363" s="14"/>
      <c r="J363" s="14"/>
      <c r="K363" s="14"/>
    </row>
    <row r="364" spans="1:11">
      <c r="A364" s="14"/>
      <c r="B364" s="14"/>
      <c r="C364" s="14"/>
      <c r="D364" s="14"/>
      <c r="E364" s="14"/>
      <c r="F364" s="14"/>
      <c r="G364" s="14"/>
      <c r="H364" s="14"/>
      <c r="I364" s="14"/>
      <c r="J364" s="14"/>
      <c r="K364" s="14"/>
    </row>
    <row r="365" spans="1:11">
      <c r="A365" s="14"/>
      <c r="B365" s="14"/>
      <c r="C365" s="14"/>
      <c r="D365" s="14"/>
      <c r="E365" s="14"/>
      <c r="F365" s="14"/>
      <c r="G365" s="14"/>
      <c r="H365" s="14"/>
      <c r="I365" s="14"/>
      <c r="J365" s="14"/>
      <c r="K365" s="14"/>
    </row>
    <row r="366" spans="1:11">
      <c r="A366" s="14"/>
      <c r="B366" s="14"/>
      <c r="C366" s="14"/>
      <c r="D366" s="14"/>
      <c r="E366" s="14"/>
      <c r="F366" s="14"/>
      <c r="G366" s="14"/>
      <c r="H366" s="14"/>
      <c r="I366" s="14"/>
      <c r="J366" s="14"/>
      <c r="K366" s="14"/>
    </row>
    <row r="367" spans="1:11">
      <c r="A367" s="14"/>
      <c r="B367" s="14"/>
      <c r="C367" s="14"/>
      <c r="D367" s="14"/>
      <c r="E367" s="14"/>
      <c r="F367" s="14"/>
      <c r="G367" s="14"/>
      <c r="H367" s="14"/>
      <c r="I367" s="14"/>
      <c r="J367" s="14"/>
      <c r="K367" s="14"/>
    </row>
    <row r="368" spans="1:11">
      <c r="A368" s="14"/>
      <c r="B368" s="14"/>
      <c r="C368" s="14"/>
      <c r="D368" s="14"/>
      <c r="E368" s="14"/>
      <c r="F368" s="14"/>
      <c r="G368" s="14"/>
      <c r="H368" s="14"/>
      <c r="I368" s="14"/>
      <c r="J368" s="14"/>
      <c r="K368" s="14"/>
    </row>
    <row r="369" spans="1:11">
      <c r="A369" s="14"/>
      <c r="B369" s="14"/>
      <c r="C369" s="14"/>
      <c r="D369" s="14"/>
      <c r="E369" s="14"/>
      <c r="F369" s="14"/>
      <c r="G369" s="14"/>
      <c r="H369" s="14"/>
      <c r="I369" s="14"/>
      <c r="J369" s="14"/>
      <c r="K369" s="14"/>
    </row>
    <row r="370" spans="1:11">
      <c r="A370" s="14"/>
      <c r="B370" s="14"/>
      <c r="C370" s="14"/>
      <c r="D370" s="14"/>
      <c r="E370" s="14"/>
      <c r="F370" s="14"/>
      <c r="G370" s="14"/>
      <c r="H370" s="14"/>
      <c r="I370" s="14"/>
      <c r="J370" s="14"/>
      <c r="K370" s="14"/>
    </row>
    <row r="371" spans="1:11">
      <c r="A371" s="14"/>
      <c r="B371" s="14"/>
      <c r="C371" s="14"/>
      <c r="D371" s="14"/>
      <c r="E371" s="14"/>
      <c r="F371" s="14"/>
      <c r="G371" s="14"/>
      <c r="H371" s="14"/>
      <c r="I371" s="14"/>
      <c r="J371" s="14"/>
      <c r="K371" s="14"/>
    </row>
    <row r="372" spans="1:11">
      <c r="A372" s="14"/>
      <c r="B372" s="14"/>
      <c r="C372" s="14"/>
      <c r="D372" s="14"/>
      <c r="E372" s="14"/>
      <c r="F372" s="14"/>
      <c r="G372" s="14"/>
      <c r="H372" s="14"/>
      <c r="I372" s="14"/>
      <c r="J372" s="14"/>
      <c r="K372" s="14"/>
    </row>
    <row r="373" spans="1:11">
      <c r="A373" s="14"/>
      <c r="B373" s="14"/>
      <c r="C373" s="14"/>
      <c r="D373" s="14"/>
      <c r="E373" s="14"/>
      <c r="F373" s="14"/>
      <c r="G373" s="14"/>
      <c r="H373" s="14"/>
      <c r="I373" s="14"/>
      <c r="J373" s="14"/>
      <c r="K373" s="14"/>
    </row>
    <row r="374" spans="1:11">
      <c r="A374" s="14"/>
      <c r="B374" s="14"/>
      <c r="C374" s="14"/>
      <c r="D374" s="14"/>
      <c r="E374" s="14"/>
      <c r="F374" s="14"/>
      <c r="G374" s="14"/>
      <c r="H374" s="14"/>
      <c r="I374" s="14"/>
      <c r="J374" s="14"/>
      <c r="K374" s="14"/>
    </row>
    <row r="375" spans="1:11">
      <c r="A375" s="14"/>
      <c r="B375" s="14"/>
      <c r="C375" s="14"/>
      <c r="D375" s="14"/>
      <c r="E375" s="14"/>
      <c r="F375" s="14"/>
      <c r="G375" s="14"/>
      <c r="H375" s="14"/>
      <c r="I375" s="14"/>
      <c r="J375" s="14"/>
      <c r="K375" s="14"/>
    </row>
    <row r="376" spans="1:11">
      <c r="A376" s="14"/>
      <c r="B376" s="14"/>
      <c r="C376" s="14"/>
      <c r="D376" s="14"/>
      <c r="E376" s="14"/>
      <c r="F376" s="14"/>
      <c r="G376" s="14"/>
      <c r="H376" s="14"/>
      <c r="I376" s="14"/>
      <c r="J376" s="14"/>
      <c r="K376" s="14"/>
    </row>
    <row r="377" spans="1:11">
      <c r="A377" s="14"/>
      <c r="B377" s="14"/>
      <c r="C377" s="14"/>
      <c r="D377" s="14"/>
      <c r="E377" s="14"/>
      <c r="F377" s="14"/>
      <c r="G377" s="14"/>
      <c r="H377" s="14"/>
      <c r="I377" s="14"/>
      <c r="J377" s="14"/>
      <c r="K377" s="14"/>
    </row>
    <row r="378" spans="1:11">
      <c r="A378" s="14"/>
      <c r="B378" s="14"/>
      <c r="C378" s="14"/>
      <c r="D378" s="14"/>
      <c r="E378" s="14"/>
      <c r="F378" s="14"/>
      <c r="G378" s="14"/>
      <c r="H378" s="14"/>
      <c r="I378" s="14"/>
      <c r="J378" s="14"/>
      <c r="K378" s="14"/>
    </row>
    <row r="379" spans="1:11">
      <c r="A379" s="14"/>
      <c r="B379" s="14"/>
      <c r="C379" s="14"/>
      <c r="D379" s="14"/>
      <c r="E379" s="14"/>
      <c r="F379" s="14"/>
      <c r="G379" s="14"/>
      <c r="H379" s="14"/>
      <c r="I379" s="14"/>
      <c r="J379" s="14"/>
      <c r="K379" s="14"/>
    </row>
    <row r="380" spans="1:11">
      <c r="A380" s="14"/>
      <c r="B380" s="14"/>
      <c r="C380" s="14"/>
      <c r="D380" s="14"/>
      <c r="E380" s="14"/>
      <c r="F380" s="14"/>
      <c r="G380" s="14"/>
      <c r="H380" s="14"/>
      <c r="I380" s="14"/>
      <c r="J380" s="14"/>
      <c r="K380" s="14"/>
    </row>
    <row r="381" spans="1:11">
      <c r="A381" s="14"/>
      <c r="B381" s="14"/>
      <c r="C381" s="14"/>
      <c r="D381" s="14"/>
      <c r="E381" s="14"/>
      <c r="F381" s="14"/>
      <c r="G381" s="14"/>
      <c r="H381" s="14"/>
      <c r="I381" s="14"/>
      <c r="J381" s="14"/>
      <c r="K381" s="14"/>
    </row>
    <row r="382" spans="1:11">
      <c r="A382" s="14"/>
      <c r="B382" s="14"/>
      <c r="C382" s="14"/>
      <c r="D382" s="14"/>
      <c r="E382" s="14"/>
      <c r="F382" s="14"/>
      <c r="G382" s="14"/>
      <c r="H382" s="14"/>
      <c r="I382" s="14"/>
      <c r="J382" s="14"/>
      <c r="K382" s="14"/>
    </row>
    <row r="383" spans="1:11">
      <c r="A383" s="14"/>
      <c r="B383" s="14"/>
      <c r="C383" s="14"/>
      <c r="D383" s="14"/>
      <c r="E383" s="14"/>
      <c r="F383" s="14"/>
      <c r="G383" s="14"/>
      <c r="H383" s="14"/>
      <c r="I383" s="14"/>
      <c r="J383" s="14"/>
      <c r="K383" s="14"/>
    </row>
    <row r="384" spans="1:11">
      <c r="A384" s="14"/>
      <c r="B384" s="14"/>
      <c r="C384" s="14"/>
      <c r="D384" s="14"/>
      <c r="E384" s="14"/>
      <c r="F384" s="14"/>
      <c r="G384" s="14"/>
      <c r="H384" s="14"/>
      <c r="I384" s="14"/>
      <c r="J384" s="14"/>
      <c r="K384" s="14"/>
    </row>
    <row r="385" spans="1:11">
      <c r="A385" s="14"/>
      <c r="B385" s="14"/>
      <c r="C385" s="14"/>
      <c r="D385" s="14"/>
      <c r="E385" s="14"/>
      <c r="F385" s="14"/>
      <c r="G385" s="14"/>
      <c r="H385" s="14"/>
      <c r="I385" s="14"/>
      <c r="J385" s="14"/>
      <c r="K385" s="14"/>
    </row>
    <row r="386" spans="1:11">
      <c r="A386" s="14"/>
      <c r="B386" s="14"/>
      <c r="C386" s="14"/>
      <c r="D386" s="14"/>
      <c r="E386" s="14"/>
      <c r="F386" s="14"/>
      <c r="G386" s="14"/>
      <c r="H386" s="14"/>
      <c r="I386" s="14"/>
      <c r="J386" s="14"/>
      <c r="K386" s="14"/>
    </row>
    <row r="387" spans="1:11">
      <c r="A387" s="14"/>
      <c r="B387" s="14"/>
      <c r="C387" s="14"/>
      <c r="D387" s="14"/>
      <c r="E387" s="14"/>
      <c r="F387" s="14"/>
      <c r="G387" s="14"/>
      <c r="H387" s="14"/>
      <c r="I387" s="14"/>
      <c r="J387" s="14"/>
      <c r="K387" s="14"/>
    </row>
    <row r="388" spans="1:11">
      <c r="A388" s="14"/>
      <c r="B388" s="14"/>
      <c r="C388" s="14"/>
      <c r="D388" s="14"/>
      <c r="E388" s="14"/>
      <c r="F388" s="14"/>
      <c r="G388" s="14"/>
      <c r="H388" s="14"/>
      <c r="I388" s="14"/>
      <c r="J388" s="14"/>
      <c r="K388" s="14"/>
    </row>
    <row r="389" spans="1:11">
      <c r="A389" s="14"/>
      <c r="B389" s="14"/>
      <c r="C389" s="14"/>
      <c r="D389" s="14"/>
      <c r="E389" s="14"/>
      <c r="F389" s="14"/>
      <c r="G389" s="14"/>
      <c r="H389" s="14"/>
      <c r="I389" s="14"/>
      <c r="J389" s="14"/>
      <c r="K389" s="14"/>
    </row>
    <row r="390" spans="1:11">
      <c r="A390" s="14"/>
      <c r="B390" s="14"/>
      <c r="C390" s="14"/>
      <c r="D390" s="14"/>
      <c r="E390" s="14"/>
      <c r="F390" s="14"/>
      <c r="G390" s="14"/>
      <c r="H390" s="14"/>
      <c r="I390" s="14"/>
      <c r="J390" s="14"/>
      <c r="K390" s="14"/>
    </row>
    <row r="391" spans="1:11">
      <c r="A391" s="14"/>
      <c r="B391" s="14"/>
      <c r="C391" s="14"/>
      <c r="D391" s="14"/>
      <c r="E391" s="14"/>
      <c r="F391" s="14"/>
      <c r="G391" s="14"/>
      <c r="H391" s="14"/>
      <c r="I391" s="14"/>
      <c r="J391" s="14"/>
      <c r="K391" s="14"/>
    </row>
    <row r="392" spans="1:11">
      <c r="A392" s="14"/>
      <c r="B392" s="14"/>
      <c r="C392" s="14"/>
      <c r="D392" s="14"/>
      <c r="E392" s="14"/>
      <c r="F392" s="14"/>
      <c r="G392" s="14"/>
      <c r="H392" s="14"/>
      <c r="I392" s="14"/>
      <c r="J392" s="14"/>
      <c r="K392" s="14"/>
    </row>
    <row r="393" spans="1:11">
      <c r="A393" s="14"/>
      <c r="B393" s="14"/>
      <c r="C393" s="14"/>
      <c r="D393" s="14"/>
      <c r="E393" s="14"/>
      <c r="F393" s="14"/>
      <c r="G393" s="14"/>
      <c r="H393" s="14"/>
      <c r="I393" s="14"/>
      <c r="J393" s="14"/>
      <c r="K393" s="14"/>
    </row>
    <row r="394" spans="1:11">
      <c r="A394" s="14"/>
      <c r="B394" s="14"/>
      <c r="C394" s="14"/>
      <c r="D394" s="14"/>
      <c r="E394" s="14"/>
      <c r="F394" s="14"/>
      <c r="G394" s="14"/>
      <c r="H394" s="14"/>
      <c r="I394" s="14"/>
      <c r="J394" s="14"/>
      <c r="K394" s="14"/>
    </row>
    <row r="395" spans="1:11">
      <c r="A395" s="14"/>
      <c r="B395" s="14"/>
      <c r="C395" s="14"/>
      <c r="D395" s="14"/>
      <c r="E395" s="14"/>
      <c r="F395" s="14"/>
      <c r="G395" s="14"/>
      <c r="H395" s="14"/>
      <c r="I395" s="14"/>
      <c r="J395" s="14"/>
      <c r="K395" s="14"/>
    </row>
    <row r="396" spans="1:11">
      <c r="A396" s="14"/>
      <c r="B396" s="14"/>
      <c r="C396" s="14"/>
      <c r="D396" s="14"/>
      <c r="E396" s="14"/>
      <c r="F396" s="14"/>
      <c r="G396" s="14"/>
      <c r="H396" s="14"/>
      <c r="I396" s="14"/>
      <c r="J396" s="14"/>
      <c r="K396" s="14"/>
    </row>
    <row r="397" spans="1:11">
      <c r="A397" s="14"/>
      <c r="B397" s="14"/>
      <c r="C397" s="14"/>
      <c r="D397" s="14"/>
      <c r="E397" s="14"/>
      <c r="F397" s="14"/>
      <c r="G397" s="14"/>
      <c r="H397" s="14"/>
      <c r="I397" s="14"/>
      <c r="J397" s="14"/>
      <c r="K397" s="14"/>
    </row>
    <row r="398" spans="1:11">
      <c r="A398" s="14"/>
      <c r="B398" s="14"/>
      <c r="C398" s="14"/>
      <c r="D398" s="14"/>
      <c r="E398" s="14"/>
      <c r="F398" s="14"/>
      <c r="G398" s="14"/>
      <c r="H398" s="14"/>
      <c r="I398" s="14"/>
      <c r="J398" s="14"/>
      <c r="K398" s="14"/>
    </row>
    <row r="399" spans="1:11">
      <c r="A399" s="14"/>
      <c r="B399" s="14"/>
      <c r="C399" s="14"/>
      <c r="D399" s="14"/>
      <c r="E399" s="14"/>
      <c r="F399" s="14"/>
      <c r="G399" s="14"/>
      <c r="H399" s="14"/>
      <c r="I399" s="14"/>
      <c r="J399" s="14"/>
      <c r="K399" s="14"/>
    </row>
    <row r="400" spans="1:11">
      <c r="A400" s="14"/>
      <c r="B400" s="14"/>
      <c r="C400" s="14"/>
      <c r="D400" s="14"/>
      <c r="E400" s="14"/>
      <c r="F400" s="14"/>
      <c r="G400" s="14"/>
      <c r="H400" s="14"/>
      <c r="I400" s="14"/>
      <c r="J400" s="14"/>
      <c r="K400" s="14"/>
    </row>
    <row r="401" spans="1:11">
      <c r="A401" s="14"/>
      <c r="B401" s="14"/>
      <c r="C401" s="14"/>
      <c r="D401" s="14"/>
      <c r="E401" s="14"/>
      <c r="F401" s="14"/>
      <c r="G401" s="14"/>
      <c r="H401" s="14"/>
      <c r="I401" s="14"/>
      <c r="J401" s="14"/>
      <c r="K401" s="14"/>
    </row>
    <row r="402" spans="1:11">
      <c r="A402" s="14"/>
      <c r="B402" s="14"/>
      <c r="C402" s="14"/>
      <c r="D402" s="14"/>
      <c r="E402" s="14"/>
      <c r="F402" s="14"/>
      <c r="G402" s="14"/>
      <c r="H402" s="14"/>
      <c r="I402" s="14"/>
      <c r="J402" s="14"/>
      <c r="K402" s="14"/>
    </row>
    <row r="403" spans="1:11">
      <c r="A403" s="14"/>
      <c r="B403" s="14"/>
      <c r="C403" s="14"/>
      <c r="D403" s="14"/>
      <c r="E403" s="14"/>
      <c r="F403" s="14"/>
      <c r="G403" s="14"/>
      <c r="H403" s="14"/>
      <c r="I403" s="14"/>
      <c r="J403" s="14"/>
      <c r="K403" s="14"/>
    </row>
    <row r="404" spans="1:11">
      <c r="A404" s="14"/>
      <c r="B404" s="14"/>
      <c r="C404" s="14"/>
      <c r="D404" s="14"/>
      <c r="E404" s="14"/>
      <c r="F404" s="14"/>
      <c r="G404" s="14"/>
      <c r="H404" s="14"/>
      <c r="I404" s="14"/>
      <c r="J404" s="14"/>
      <c r="K404" s="14"/>
    </row>
    <row r="405" spans="1:11">
      <c r="A405" s="14"/>
      <c r="B405" s="14"/>
      <c r="C405" s="14"/>
      <c r="D405" s="14"/>
      <c r="E405" s="14"/>
      <c r="F405" s="14"/>
      <c r="G405" s="14"/>
      <c r="H405" s="14"/>
      <c r="I405" s="14"/>
      <c r="J405" s="14"/>
      <c r="K405" s="14"/>
    </row>
    <row r="406" spans="1:11">
      <c r="A406" s="14"/>
      <c r="B406" s="14"/>
      <c r="C406" s="14"/>
      <c r="D406" s="14"/>
      <c r="E406" s="14"/>
      <c r="F406" s="14"/>
      <c r="G406" s="14"/>
      <c r="H406" s="14"/>
      <c r="I406" s="14"/>
      <c r="J406" s="14"/>
      <c r="K406" s="14"/>
    </row>
    <row r="407" spans="1:11">
      <c r="A407" s="14"/>
      <c r="B407" s="14"/>
      <c r="C407" s="14"/>
      <c r="D407" s="14"/>
      <c r="E407" s="14"/>
      <c r="F407" s="14"/>
      <c r="G407" s="14"/>
      <c r="H407" s="14"/>
      <c r="I407" s="14"/>
      <c r="J407" s="14"/>
      <c r="K407" s="14"/>
    </row>
    <row r="408" spans="1:11">
      <c r="A408" s="14"/>
      <c r="B408" s="14"/>
      <c r="C408" s="14"/>
      <c r="D408" s="14"/>
      <c r="E408" s="14"/>
      <c r="F408" s="14"/>
      <c r="G408" s="14"/>
      <c r="H408" s="14"/>
      <c r="I408" s="14"/>
      <c r="J408" s="14"/>
      <c r="K408" s="14"/>
    </row>
    <row r="409" spans="1:11">
      <c r="A409" s="14"/>
      <c r="B409" s="14"/>
      <c r="C409" s="14"/>
      <c r="D409" s="14"/>
      <c r="E409" s="14"/>
      <c r="F409" s="14"/>
      <c r="G409" s="14"/>
      <c r="H409" s="14"/>
      <c r="I409" s="14"/>
      <c r="J409" s="14"/>
      <c r="K409" s="14"/>
    </row>
    <row r="410" spans="1:11">
      <c r="A410" s="14"/>
      <c r="B410" s="14"/>
      <c r="C410" s="14"/>
      <c r="D410" s="14"/>
      <c r="E410" s="14"/>
      <c r="F410" s="14"/>
      <c r="G410" s="14"/>
      <c r="H410" s="14"/>
      <c r="I410" s="14"/>
      <c r="J410" s="14"/>
      <c r="K410" s="14"/>
    </row>
    <row r="411" spans="1:11">
      <c r="A411" s="14"/>
      <c r="B411" s="14"/>
      <c r="C411" s="14"/>
      <c r="D411" s="14"/>
      <c r="E411" s="14"/>
      <c r="F411" s="14"/>
      <c r="G411" s="14"/>
      <c r="H411" s="14"/>
      <c r="I411" s="14"/>
      <c r="J411" s="14"/>
      <c r="K411" s="14"/>
    </row>
    <row r="412" spans="1:11">
      <c r="A412" s="14"/>
      <c r="B412" s="14"/>
      <c r="C412" s="14"/>
      <c r="D412" s="14"/>
      <c r="E412" s="14"/>
      <c r="F412" s="14"/>
      <c r="G412" s="14"/>
      <c r="H412" s="14"/>
      <c r="I412" s="14"/>
      <c r="J412" s="14"/>
      <c r="K412" s="14"/>
    </row>
    <row r="413" spans="1:11">
      <c r="A413" s="14"/>
      <c r="B413" s="14"/>
      <c r="C413" s="14"/>
      <c r="D413" s="14"/>
      <c r="E413" s="14"/>
      <c r="F413" s="14"/>
      <c r="G413" s="14"/>
      <c r="H413" s="14"/>
      <c r="I413" s="14"/>
      <c r="J413" s="14"/>
      <c r="K413" s="14"/>
    </row>
    <row r="414" spans="1:11">
      <c r="A414" s="14"/>
      <c r="B414" s="14"/>
      <c r="C414" s="14"/>
      <c r="D414" s="14"/>
      <c r="E414" s="14"/>
      <c r="F414" s="14"/>
      <c r="G414" s="14"/>
      <c r="H414" s="14"/>
      <c r="I414" s="14"/>
      <c r="J414" s="14"/>
      <c r="K414" s="14"/>
    </row>
    <row r="415" spans="1:11">
      <c r="A415" s="14"/>
      <c r="B415" s="14"/>
      <c r="C415" s="14"/>
      <c r="D415" s="14"/>
      <c r="E415" s="14"/>
      <c r="F415" s="14"/>
      <c r="G415" s="14"/>
      <c r="H415" s="14"/>
      <c r="I415" s="14"/>
      <c r="J415" s="14"/>
      <c r="K415" s="14"/>
    </row>
    <row r="416" spans="1:11">
      <c r="A416" s="14"/>
      <c r="B416" s="14"/>
      <c r="C416" s="14"/>
      <c r="D416" s="14"/>
      <c r="E416" s="14"/>
      <c r="F416" s="14"/>
      <c r="G416" s="14"/>
      <c r="H416" s="14"/>
      <c r="I416" s="14"/>
      <c r="J416" s="14"/>
      <c r="K416" s="14"/>
    </row>
    <row r="417" spans="1:11">
      <c r="A417" s="14"/>
      <c r="B417" s="14"/>
      <c r="C417" s="14"/>
      <c r="D417" s="14"/>
      <c r="E417" s="14"/>
      <c r="F417" s="14"/>
      <c r="G417" s="14"/>
      <c r="H417" s="14"/>
      <c r="I417" s="14"/>
      <c r="J417" s="14"/>
      <c r="K417" s="14"/>
    </row>
    <row r="418" spans="1:11">
      <c r="A418" s="14"/>
      <c r="B418" s="14"/>
      <c r="C418" s="14"/>
      <c r="D418" s="14"/>
      <c r="E418" s="14"/>
      <c r="F418" s="14"/>
      <c r="G418" s="14"/>
      <c r="H418" s="14"/>
      <c r="I418" s="14"/>
      <c r="J418" s="14"/>
      <c r="K418" s="14"/>
    </row>
    <row r="419" spans="1:11">
      <c r="A419" s="14"/>
      <c r="B419" s="14"/>
      <c r="C419" s="14"/>
      <c r="D419" s="14"/>
      <c r="E419" s="14"/>
      <c r="F419" s="14"/>
      <c r="G419" s="14"/>
      <c r="H419" s="14"/>
      <c r="I419" s="14"/>
      <c r="J419" s="14"/>
      <c r="K419" s="14"/>
    </row>
    <row r="420" spans="1:11">
      <c r="A420" s="14"/>
      <c r="B420" s="14"/>
      <c r="C420" s="14"/>
      <c r="D420" s="14"/>
      <c r="E420" s="14"/>
      <c r="F420" s="14"/>
      <c r="G420" s="14"/>
      <c r="H420" s="14"/>
      <c r="I420" s="14"/>
      <c r="J420" s="14"/>
      <c r="K420" s="14"/>
    </row>
    <row r="421" spans="1:11">
      <c r="A421" s="14"/>
      <c r="B421" s="14"/>
      <c r="C421" s="14"/>
      <c r="D421" s="14"/>
      <c r="E421" s="14"/>
      <c r="F421" s="14"/>
      <c r="G421" s="14"/>
      <c r="H421" s="14"/>
      <c r="I421" s="14"/>
      <c r="J421" s="14"/>
      <c r="K421" s="14"/>
    </row>
    <row r="422" spans="1:11">
      <c r="A422" s="14"/>
      <c r="B422" s="14"/>
      <c r="C422" s="14"/>
      <c r="D422" s="14"/>
      <c r="E422" s="14"/>
      <c r="F422" s="14"/>
      <c r="G422" s="14"/>
      <c r="H422" s="14"/>
      <c r="I422" s="14"/>
      <c r="J422" s="14"/>
      <c r="K422" s="14"/>
    </row>
    <row r="423" spans="1:11">
      <c r="A423" s="14"/>
      <c r="B423" s="14"/>
      <c r="C423" s="14"/>
      <c r="D423" s="14"/>
      <c r="E423" s="14"/>
      <c r="F423" s="14"/>
      <c r="G423" s="14"/>
      <c r="H423" s="14"/>
      <c r="I423" s="14"/>
      <c r="J423" s="14"/>
      <c r="K423" s="14"/>
    </row>
    <row r="424" spans="1:11">
      <c r="A424" s="14"/>
      <c r="B424" s="14"/>
      <c r="C424" s="14"/>
      <c r="D424" s="14"/>
      <c r="E424" s="14"/>
      <c r="F424" s="14"/>
      <c r="G424" s="14"/>
      <c r="H424" s="14"/>
      <c r="I424" s="14"/>
      <c r="J424" s="14"/>
      <c r="K424" s="14"/>
    </row>
    <row r="425" spans="1:11">
      <c r="A425" s="14"/>
      <c r="B425" s="14"/>
      <c r="C425" s="14"/>
      <c r="D425" s="14"/>
      <c r="E425" s="14"/>
      <c r="F425" s="14"/>
      <c r="G425" s="14"/>
      <c r="H425" s="14"/>
      <c r="I425" s="14"/>
      <c r="J425" s="14"/>
      <c r="K425" s="14"/>
    </row>
    <row r="426" spans="1:11">
      <c r="A426" s="14"/>
      <c r="B426" s="14"/>
      <c r="C426" s="14"/>
      <c r="D426" s="14"/>
      <c r="E426" s="14"/>
      <c r="F426" s="14"/>
      <c r="G426" s="14"/>
      <c r="H426" s="14"/>
      <c r="I426" s="14"/>
      <c r="J426" s="14"/>
      <c r="K426" s="14"/>
    </row>
    <row r="427" spans="1:11">
      <c r="A427" s="14"/>
      <c r="B427" s="14"/>
      <c r="C427" s="14"/>
      <c r="D427" s="14"/>
      <c r="E427" s="14"/>
      <c r="F427" s="14"/>
      <c r="G427" s="14"/>
      <c r="H427" s="14"/>
      <c r="I427" s="14"/>
      <c r="J427" s="14"/>
      <c r="K427" s="14"/>
    </row>
    <row r="428" spans="1:11">
      <c r="A428" s="14"/>
      <c r="B428" s="14"/>
      <c r="C428" s="14"/>
      <c r="D428" s="14"/>
      <c r="E428" s="14"/>
      <c r="F428" s="14"/>
      <c r="G428" s="14"/>
      <c r="H428" s="14"/>
      <c r="I428" s="14"/>
      <c r="J428" s="14"/>
      <c r="K428" s="14"/>
    </row>
    <row r="429" spans="1:11">
      <c r="A429" s="14"/>
      <c r="B429" s="14"/>
      <c r="C429" s="14"/>
      <c r="D429" s="14"/>
      <c r="E429" s="14"/>
      <c r="F429" s="14"/>
      <c r="G429" s="14"/>
      <c r="H429" s="14"/>
      <c r="I429" s="14"/>
      <c r="J429" s="14"/>
      <c r="K429" s="14"/>
    </row>
    <row r="430" spans="1:11">
      <c r="A430" s="14"/>
      <c r="B430" s="14"/>
      <c r="C430" s="14"/>
      <c r="D430" s="14"/>
      <c r="E430" s="14"/>
      <c r="F430" s="14"/>
      <c r="G430" s="14"/>
      <c r="H430" s="14"/>
      <c r="I430" s="14"/>
      <c r="J430" s="14"/>
      <c r="K430" s="14"/>
    </row>
    <row r="431" spans="1:11">
      <c r="A431" s="14"/>
      <c r="B431" s="14"/>
      <c r="C431" s="14"/>
      <c r="D431" s="14"/>
      <c r="E431" s="14"/>
      <c r="F431" s="14"/>
      <c r="G431" s="14"/>
      <c r="H431" s="14"/>
      <c r="I431" s="14"/>
      <c r="J431" s="14"/>
      <c r="K431" s="14"/>
    </row>
    <row r="432" spans="1:11">
      <c r="A432" s="14"/>
      <c r="B432" s="14"/>
      <c r="C432" s="14"/>
      <c r="D432" s="14"/>
      <c r="E432" s="14"/>
      <c r="F432" s="14"/>
      <c r="G432" s="14"/>
      <c r="H432" s="14"/>
      <c r="I432" s="14"/>
      <c r="J432" s="14"/>
      <c r="K432" s="14"/>
    </row>
    <row r="433" spans="1:11">
      <c r="A433" s="14"/>
      <c r="B433" s="14"/>
      <c r="C433" s="14"/>
      <c r="D433" s="14"/>
      <c r="E433" s="14"/>
      <c r="F433" s="14"/>
      <c r="G433" s="14"/>
      <c r="H433" s="14"/>
      <c r="I433" s="14"/>
      <c r="J433" s="14"/>
      <c r="K433" s="14"/>
    </row>
    <row r="434" spans="1:11">
      <c r="A434" s="14"/>
      <c r="B434" s="14"/>
      <c r="C434" s="14"/>
      <c r="D434" s="14"/>
      <c r="E434" s="14"/>
      <c r="F434" s="14"/>
      <c r="G434" s="14"/>
      <c r="H434" s="14"/>
      <c r="I434" s="14"/>
      <c r="J434" s="14"/>
      <c r="K434" s="14"/>
    </row>
    <row r="435" spans="1:11">
      <c r="A435" s="14"/>
      <c r="B435" s="14"/>
      <c r="C435" s="14"/>
      <c r="D435" s="14"/>
      <c r="E435" s="14"/>
      <c r="F435" s="14"/>
      <c r="G435" s="14"/>
      <c r="H435" s="14"/>
      <c r="I435" s="14"/>
      <c r="J435" s="14"/>
      <c r="K435" s="14"/>
    </row>
    <row r="436" spans="1:11">
      <c r="A436" s="14"/>
      <c r="B436" s="14"/>
      <c r="C436" s="14"/>
      <c r="D436" s="14"/>
      <c r="E436" s="14"/>
      <c r="F436" s="14"/>
      <c r="G436" s="14"/>
      <c r="H436" s="14"/>
      <c r="I436" s="14"/>
      <c r="J436" s="14"/>
      <c r="K436" s="14"/>
    </row>
    <row r="437" spans="1:11">
      <c r="A437" s="14"/>
      <c r="B437" s="14"/>
      <c r="C437" s="14"/>
      <c r="D437" s="14"/>
      <c r="E437" s="14"/>
      <c r="F437" s="14"/>
      <c r="G437" s="14"/>
      <c r="H437" s="14"/>
      <c r="I437" s="14"/>
      <c r="J437" s="14"/>
      <c r="K437" s="14"/>
    </row>
    <row r="438" spans="1:11">
      <c r="A438" s="14"/>
      <c r="B438" s="14"/>
      <c r="C438" s="14"/>
      <c r="D438" s="14"/>
      <c r="E438" s="14"/>
      <c r="F438" s="14"/>
      <c r="G438" s="14"/>
      <c r="H438" s="14"/>
      <c r="I438" s="14"/>
      <c r="J438" s="14"/>
      <c r="K438" s="14"/>
    </row>
    <row r="439" spans="1:11">
      <c r="A439" s="14"/>
      <c r="B439" s="14"/>
      <c r="C439" s="14"/>
      <c r="D439" s="14"/>
      <c r="E439" s="14"/>
      <c r="F439" s="14"/>
      <c r="G439" s="14"/>
      <c r="H439" s="14"/>
      <c r="I439" s="14"/>
      <c r="J439" s="14"/>
      <c r="K439" s="14"/>
    </row>
    <row r="440" spans="1:11">
      <c r="A440" s="14"/>
      <c r="B440" s="14"/>
      <c r="C440" s="14"/>
      <c r="D440" s="14"/>
      <c r="E440" s="14"/>
      <c r="F440" s="14"/>
      <c r="G440" s="14"/>
      <c r="H440" s="14"/>
      <c r="I440" s="14"/>
      <c r="J440" s="14"/>
      <c r="K440" s="14"/>
    </row>
    <row r="441" spans="1:11">
      <c r="A441" s="14"/>
      <c r="B441" s="14"/>
      <c r="C441" s="14"/>
      <c r="D441" s="14"/>
      <c r="E441" s="14"/>
      <c r="F441" s="14"/>
      <c r="G441" s="14"/>
      <c r="H441" s="14"/>
      <c r="I441" s="14"/>
      <c r="J441" s="14"/>
      <c r="K441" s="14"/>
    </row>
    <row r="442" spans="1:11">
      <c r="A442" s="14"/>
      <c r="B442" s="14"/>
      <c r="C442" s="14"/>
      <c r="D442" s="14"/>
      <c r="E442" s="14"/>
      <c r="F442" s="14"/>
      <c r="G442" s="14"/>
      <c r="H442" s="14"/>
      <c r="I442" s="14"/>
      <c r="J442" s="14"/>
      <c r="K442" s="14"/>
    </row>
    <row r="443" spans="1:11">
      <c r="A443" s="14"/>
      <c r="B443" s="14"/>
      <c r="C443" s="14"/>
      <c r="D443" s="14"/>
      <c r="E443" s="14"/>
      <c r="F443" s="14"/>
      <c r="G443" s="14"/>
      <c r="H443" s="14"/>
      <c r="I443" s="14"/>
      <c r="J443" s="14"/>
      <c r="K443" s="14"/>
    </row>
    <row r="444" spans="1:11">
      <c r="A444" s="14"/>
      <c r="B444" s="14"/>
      <c r="C444" s="14"/>
      <c r="D444" s="14"/>
      <c r="E444" s="14"/>
      <c r="F444" s="14"/>
      <c r="G444" s="14"/>
      <c r="H444" s="14"/>
      <c r="I444" s="14"/>
      <c r="J444" s="14"/>
      <c r="K444" s="14"/>
    </row>
    <row r="445" spans="1:11">
      <c r="A445" s="14"/>
      <c r="B445" s="14"/>
      <c r="C445" s="14"/>
      <c r="D445" s="14"/>
      <c r="E445" s="14"/>
      <c r="F445" s="14"/>
      <c r="G445" s="14"/>
      <c r="H445" s="14"/>
      <c r="I445" s="14"/>
      <c r="J445" s="14"/>
      <c r="K445" s="14"/>
    </row>
    <row r="446" spans="1:11">
      <c r="A446" s="14"/>
      <c r="B446" s="14"/>
      <c r="C446" s="14"/>
      <c r="D446" s="14"/>
      <c r="E446" s="14"/>
      <c r="F446" s="14"/>
      <c r="G446" s="14"/>
      <c r="H446" s="14"/>
      <c r="I446" s="14"/>
      <c r="J446" s="14"/>
      <c r="K446" s="14"/>
    </row>
    <row r="447" spans="1:11">
      <c r="A447" s="14"/>
      <c r="B447" s="14"/>
      <c r="C447" s="14"/>
      <c r="D447" s="14"/>
      <c r="E447" s="14"/>
      <c r="F447" s="14"/>
      <c r="G447" s="14"/>
      <c r="H447" s="14"/>
      <c r="I447" s="14"/>
      <c r="J447" s="14"/>
      <c r="K447" s="14"/>
    </row>
    <row r="448" spans="1:11">
      <c r="A448" s="14"/>
      <c r="B448" s="14"/>
      <c r="C448" s="14"/>
      <c r="D448" s="14"/>
      <c r="E448" s="14"/>
      <c r="F448" s="14"/>
      <c r="G448" s="14"/>
      <c r="H448" s="14"/>
      <c r="I448" s="14"/>
      <c r="J448" s="14"/>
      <c r="K448" s="14"/>
    </row>
    <row r="449" spans="1:11">
      <c r="A449" s="14"/>
      <c r="B449" s="14"/>
      <c r="C449" s="14"/>
      <c r="D449" s="14"/>
      <c r="E449" s="14"/>
      <c r="F449" s="14"/>
      <c r="G449" s="14"/>
      <c r="H449" s="14"/>
      <c r="I449" s="14"/>
      <c r="J449" s="14"/>
      <c r="K449" s="14"/>
    </row>
    <row r="450" spans="1:11">
      <c r="A450" s="14"/>
      <c r="B450" s="14"/>
      <c r="C450" s="14"/>
      <c r="D450" s="14"/>
      <c r="E450" s="14"/>
      <c r="F450" s="14"/>
      <c r="G450" s="14"/>
      <c r="H450" s="14"/>
      <c r="I450" s="14"/>
      <c r="J450" s="14"/>
      <c r="K450" s="14"/>
    </row>
    <row r="451" spans="1:11">
      <c r="A451" s="14"/>
      <c r="B451" s="14"/>
      <c r="C451" s="14"/>
      <c r="D451" s="14"/>
      <c r="E451" s="14"/>
      <c r="F451" s="14"/>
      <c r="G451" s="14"/>
      <c r="H451" s="14"/>
      <c r="I451" s="14"/>
      <c r="J451" s="14"/>
      <c r="K451" s="14"/>
    </row>
    <row r="452" spans="1:11">
      <c r="A452" s="14"/>
      <c r="B452" s="14"/>
      <c r="C452" s="14"/>
      <c r="D452" s="14"/>
      <c r="E452" s="14"/>
      <c r="F452" s="14"/>
      <c r="G452" s="14"/>
      <c r="H452" s="14"/>
      <c r="I452" s="14"/>
      <c r="J452" s="14"/>
      <c r="K452" s="14"/>
    </row>
    <row r="453" spans="1:11">
      <c r="A453" s="14"/>
      <c r="B453" s="14"/>
      <c r="C453" s="14"/>
      <c r="D453" s="14"/>
      <c r="E453" s="14"/>
      <c r="F453" s="14"/>
      <c r="G453" s="14"/>
      <c r="H453" s="14"/>
      <c r="I453" s="14"/>
      <c r="J453" s="14"/>
      <c r="K453" s="14"/>
    </row>
    <row r="454" spans="1:11">
      <c r="A454" s="14"/>
      <c r="B454" s="14"/>
      <c r="C454" s="14"/>
      <c r="D454" s="14"/>
      <c r="E454" s="14"/>
      <c r="F454" s="14"/>
      <c r="G454" s="14"/>
      <c r="H454" s="14"/>
      <c r="I454" s="14"/>
      <c r="J454" s="14"/>
      <c r="K454" s="14"/>
    </row>
    <row r="455" spans="1:11">
      <c r="A455" s="14"/>
      <c r="B455" s="14"/>
      <c r="C455" s="14"/>
      <c r="D455" s="14"/>
      <c r="E455" s="14"/>
      <c r="F455" s="14"/>
      <c r="G455" s="14"/>
      <c r="H455" s="14"/>
      <c r="I455" s="14"/>
      <c r="J455" s="14"/>
      <c r="K455" s="14"/>
    </row>
    <row r="456" spans="1:11">
      <c r="A456" s="14"/>
      <c r="B456" s="14"/>
      <c r="C456" s="14"/>
      <c r="D456" s="14"/>
      <c r="E456" s="14"/>
      <c r="F456" s="14"/>
      <c r="G456" s="14"/>
      <c r="H456" s="14"/>
      <c r="I456" s="14"/>
      <c r="J456" s="14"/>
      <c r="K456" s="14"/>
    </row>
    <row r="457" spans="1:11">
      <c r="A457" s="14"/>
      <c r="B457" s="14"/>
      <c r="C457" s="14"/>
      <c r="D457" s="14"/>
      <c r="E457" s="14"/>
      <c r="F457" s="14"/>
      <c r="G457" s="14"/>
      <c r="H457" s="14"/>
      <c r="I457" s="14"/>
      <c r="J457" s="14"/>
      <c r="K457" s="14"/>
    </row>
    <row r="458" spans="1:11">
      <c r="A458" s="14"/>
      <c r="B458" s="14"/>
      <c r="C458" s="14"/>
      <c r="D458" s="14"/>
      <c r="E458" s="14"/>
      <c r="F458" s="14"/>
      <c r="G458" s="14"/>
      <c r="H458" s="14"/>
      <c r="I458" s="14"/>
      <c r="J458" s="14"/>
      <c r="K458" s="14"/>
    </row>
    <row r="459" spans="1:11">
      <c r="A459" s="14"/>
      <c r="B459" s="14"/>
      <c r="C459" s="14"/>
      <c r="D459" s="14"/>
      <c r="E459" s="14"/>
      <c r="F459" s="14"/>
      <c r="G459" s="14"/>
      <c r="H459" s="14"/>
      <c r="I459" s="14"/>
      <c r="J459" s="14"/>
      <c r="K459" s="14"/>
    </row>
    <row r="460" spans="1:11">
      <c r="A460" s="14"/>
      <c r="B460" s="14"/>
      <c r="C460" s="14"/>
      <c r="D460" s="14"/>
      <c r="E460" s="14"/>
      <c r="F460" s="14"/>
      <c r="G460" s="14"/>
      <c r="H460" s="14"/>
      <c r="I460" s="14"/>
      <c r="J460" s="14"/>
      <c r="K460" s="14"/>
    </row>
    <row r="461" spans="1:11">
      <c r="A461" s="14"/>
      <c r="B461" s="14"/>
      <c r="C461" s="14"/>
      <c r="D461" s="14"/>
      <c r="E461" s="14"/>
      <c r="F461" s="14"/>
      <c r="G461" s="14"/>
      <c r="H461" s="14"/>
      <c r="I461" s="14"/>
      <c r="J461" s="14"/>
      <c r="K461" s="14"/>
    </row>
    <row r="462" spans="1:11">
      <c r="A462" s="14"/>
      <c r="B462" s="14"/>
      <c r="C462" s="14"/>
      <c r="D462" s="14"/>
      <c r="E462" s="14"/>
      <c r="F462" s="14"/>
      <c r="G462" s="14"/>
      <c r="H462" s="14"/>
      <c r="I462" s="14"/>
      <c r="J462" s="14"/>
      <c r="K462" s="14"/>
    </row>
    <row r="463" spans="1:11">
      <c r="A463" s="14"/>
      <c r="B463" s="14"/>
      <c r="C463" s="14"/>
      <c r="D463" s="14"/>
      <c r="E463" s="14"/>
      <c r="F463" s="14"/>
      <c r="G463" s="14"/>
      <c r="H463" s="14"/>
      <c r="I463" s="14"/>
      <c r="J463" s="14"/>
      <c r="K463" s="14"/>
    </row>
    <row r="464" spans="1:11">
      <c r="A464" s="14"/>
      <c r="B464" s="14"/>
      <c r="C464" s="14"/>
      <c r="D464" s="14"/>
      <c r="E464" s="14"/>
      <c r="F464" s="14"/>
      <c r="G464" s="14"/>
      <c r="H464" s="14"/>
      <c r="I464" s="14"/>
      <c r="J464" s="14"/>
      <c r="K464" s="14"/>
    </row>
    <row r="465" spans="1:11">
      <c r="A465" s="14"/>
      <c r="B465" s="14"/>
      <c r="C465" s="14"/>
      <c r="D465" s="14"/>
      <c r="E465" s="14"/>
      <c r="F465" s="14"/>
      <c r="G465" s="14"/>
      <c r="H465" s="14"/>
      <c r="I465" s="14"/>
      <c r="J465" s="14"/>
      <c r="K465" s="14"/>
    </row>
    <row r="466" spans="1:11">
      <c r="A466" s="14"/>
      <c r="B466" s="14"/>
      <c r="C466" s="14"/>
      <c r="D466" s="14"/>
      <c r="E466" s="14"/>
      <c r="F466" s="14"/>
      <c r="G466" s="14"/>
      <c r="H466" s="14"/>
      <c r="I466" s="14"/>
      <c r="J466" s="14"/>
      <c r="K466" s="14"/>
    </row>
    <row r="467" spans="1:11">
      <c r="A467" s="14"/>
      <c r="B467" s="14"/>
      <c r="C467" s="14"/>
      <c r="D467" s="14"/>
      <c r="E467" s="14"/>
      <c r="F467" s="14"/>
      <c r="G467" s="14"/>
      <c r="H467" s="14"/>
      <c r="I467" s="14"/>
      <c r="J467" s="14"/>
      <c r="K467" s="14"/>
    </row>
    <row r="468" spans="1:11">
      <c r="A468" s="14"/>
      <c r="B468" s="14"/>
      <c r="C468" s="14"/>
      <c r="D468" s="14"/>
      <c r="E468" s="14"/>
      <c r="F468" s="14"/>
      <c r="G468" s="14"/>
      <c r="H468" s="14"/>
      <c r="I468" s="14"/>
      <c r="J468" s="14"/>
      <c r="K468" s="14"/>
    </row>
    <row r="469" spans="1:11">
      <c r="A469" s="14"/>
      <c r="B469" s="14"/>
      <c r="C469" s="14"/>
      <c r="D469" s="14"/>
      <c r="E469" s="14"/>
      <c r="F469" s="14"/>
      <c r="G469" s="14"/>
      <c r="H469" s="14"/>
      <c r="I469" s="14"/>
      <c r="J469" s="14"/>
      <c r="K469" s="14"/>
    </row>
    <row r="470" spans="1:11">
      <c r="A470" s="14"/>
      <c r="B470" s="14"/>
      <c r="C470" s="14"/>
      <c r="D470" s="14"/>
      <c r="E470" s="14"/>
      <c r="F470" s="14"/>
      <c r="G470" s="14"/>
      <c r="H470" s="14"/>
      <c r="I470" s="14"/>
      <c r="J470" s="14"/>
      <c r="K470" s="14"/>
    </row>
    <row r="471" spans="1:11">
      <c r="A471" s="14"/>
      <c r="B471" s="14"/>
      <c r="C471" s="14"/>
      <c r="D471" s="14"/>
      <c r="E471" s="14"/>
      <c r="F471" s="14"/>
      <c r="G471" s="14"/>
      <c r="H471" s="14"/>
      <c r="I471" s="14"/>
      <c r="J471" s="14"/>
      <c r="K471" s="14"/>
    </row>
    <row r="472" spans="1:11">
      <c r="A472" s="14"/>
      <c r="B472" s="14"/>
      <c r="C472" s="14"/>
      <c r="D472" s="14"/>
      <c r="E472" s="14"/>
      <c r="F472" s="14"/>
      <c r="G472" s="14"/>
      <c r="H472" s="14"/>
      <c r="I472" s="14"/>
      <c r="J472" s="14"/>
      <c r="K472" s="14"/>
    </row>
    <row r="473" spans="1:11">
      <c r="A473" s="14"/>
      <c r="B473" s="14"/>
      <c r="C473" s="14"/>
      <c r="D473" s="14"/>
      <c r="E473" s="14"/>
      <c r="F473" s="14"/>
      <c r="G473" s="14"/>
      <c r="H473" s="14"/>
      <c r="I473" s="14"/>
      <c r="J473" s="14"/>
      <c r="K473" s="14"/>
    </row>
    <row r="474" spans="1:11">
      <c r="A474" s="14"/>
      <c r="B474" s="14"/>
      <c r="C474" s="14"/>
      <c r="D474" s="14"/>
      <c r="E474" s="14"/>
      <c r="F474" s="14"/>
      <c r="G474" s="14"/>
      <c r="H474" s="14"/>
      <c r="I474" s="14"/>
      <c r="J474" s="14"/>
      <c r="K474" s="14"/>
    </row>
    <row r="475" spans="1:11">
      <c r="A475" s="14"/>
      <c r="B475" s="14"/>
      <c r="C475" s="14"/>
      <c r="D475" s="14"/>
      <c r="E475" s="14"/>
      <c r="F475" s="14"/>
      <c r="G475" s="14"/>
      <c r="H475" s="14"/>
      <c r="I475" s="14"/>
      <c r="J475" s="14"/>
      <c r="K475" s="14"/>
    </row>
    <row r="476" spans="1:11">
      <c r="A476" s="14"/>
      <c r="B476" s="14"/>
      <c r="C476" s="14"/>
      <c r="D476" s="14"/>
      <c r="E476" s="14"/>
      <c r="F476" s="14"/>
      <c r="G476" s="14"/>
      <c r="H476" s="14"/>
      <c r="I476" s="14"/>
      <c r="J476" s="14"/>
      <c r="K476" s="14"/>
    </row>
    <row r="477" spans="1:11">
      <c r="A477" s="14"/>
      <c r="B477" s="14"/>
      <c r="C477" s="14"/>
      <c r="D477" s="14"/>
      <c r="E477" s="14"/>
      <c r="F477" s="14"/>
      <c r="G477" s="14"/>
      <c r="H477" s="14"/>
      <c r="I477" s="14"/>
      <c r="J477" s="14"/>
      <c r="K477" s="14"/>
    </row>
    <row r="478" spans="1:11">
      <c r="A478" s="14"/>
      <c r="B478" s="14"/>
      <c r="C478" s="14"/>
      <c r="D478" s="14"/>
      <c r="E478" s="14"/>
      <c r="F478" s="14"/>
      <c r="G478" s="14"/>
      <c r="H478" s="14"/>
      <c r="I478" s="14"/>
      <c r="J478" s="14"/>
      <c r="K478" s="14"/>
    </row>
    <row r="479" spans="1:11">
      <c r="A479" s="14"/>
      <c r="B479" s="14"/>
      <c r="C479" s="14"/>
      <c r="D479" s="14"/>
      <c r="E479" s="14"/>
      <c r="F479" s="14"/>
      <c r="G479" s="14"/>
      <c r="H479" s="14"/>
      <c r="I479" s="14"/>
      <c r="J479" s="14"/>
      <c r="K479" s="14"/>
    </row>
    <row r="480" spans="1:11">
      <c r="A480" s="14"/>
      <c r="B480" s="14"/>
      <c r="C480" s="14"/>
      <c r="D480" s="14"/>
      <c r="E480" s="14"/>
      <c r="F480" s="14"/>
      <c r="G480" s="14"/>
      <c r="H480" s="14"/>
      <c r="I480" s="14"/>
      <c r="J480" s="14"/>
      <c r="K480" s="14"/>
    </row>
    <row r="481" spans="1:11">
      <c r="A481" s="14"/>
      <c r="B481" s="14"/>
      <c r="C481" s="14"/>
      <c r="D481" s="14"/>
      <c r="E481" s="14"/>
      <c r="F481" s="14"/>
      <c r="G481" s="14"/>
      <c r="H481" s="14"/>
      <c r="I481" s="14"/>
      <c r="J481" s="14"/>
      <c r="K481" s="14"/>
    </row>
    <row r="482" spans="1:11">
      <c r="A482" s="14"/>
      <c r="B482" s="14"/>
      <c r="C482" s="14"/>
      <c r="D482" s="14"/>
      <c r="E482" s="14"/>
      <c r="F482" s="14"/>
      <c r="G482" s="14"/>
      <c r="H482" s="14"/>
      <c r="I482" s="14"/>
      <c r="J482" s="14"/>
      <c r="K482" s="14"/>
    </row>
    <row r="483" spans="1:11">
      <c r="A483" s="14"/>
      <c r="B483" s="14"/>
      <c r="C483" s="14"/>
      <c r="D483" s="14"/>
      <c r="E483" s="14"/>
      <c r="F483" s="14"/>
      <c r="G483" s="14"/>
      <c r="H483" s="14"/>
      <c r="I483" s="14"/>
      <c r="J483" s="14"/>
      <c r="K483" s="14"/>
    </row>
    <row r="484" spans="1:11">
      <c r="A484" s="14"/>
      <c r="B484" s="14"/>
      <c r="C484" s="14"/>
      <c r="D484" s="14"/>
      <c r="E484" s="14"/>
      <c r="F484" s="14"/>
      <c r="G484" s="14"/>
      <c r="H484" s="14"/>
      <c r="I484" s="14"/>
      <c r="J484" s="14"/>
      <c r="K484" s="14"/>
    </row>
    <row r="485" spans="1:11">
      <c r="A485" s="14"/>
      <c r="B485" s="14"/>
      <c r="C485" s="14"/>
      <c r="D485" s="14"/>
      <c r="E485" s="14"/>
      <c r="F485" s="14"/>
      <c r="G485" s="14"/>
      <c r="H485" s="14"/>
      <c r="I485" s="14"/>
      <c r="J485" s="14"/>
      <c r="K485" s="14"/>
    </row>
    <row r="486" spans="1:11">
      <c r="A486" s="14"/>
      <c r="B486" s="14"/>
      <c r="C486" s="14"/>
      <c r="D486" s="14"/>
      <c r="E486" s="14"/>
      <c r="F486" s="14"/>
      <c r="G486" s="14"/>
      <c r="H486" s="14"/>
      <c r="I486" s="14"/>
      <c r="J486" s="14"/>
      <c r="K486" s="14"/>
    </row>
    <row r="487" spans="1:11">
      <c r="A487" s="14"/>
      <c r="B487" s="14"/>
      <c r="C487" s="14"/>
      <c r="D487" s="14"/>
      <c r="E487" s="14"/>
      <c r="F487" s="14"/>
      <c r="G487" s="14"/>
      <c r="H487" s="14"/>
      <c r="I487" s="14"/>
      <c r="J487" s="14"/>
      <c r="K487" s="14"/>
    </row>
    <row r="488" spans="1:11">
      <c r="A488" s="14"/>
      <c r="B488" s="14"/>
      <c r="C488" s="14"/>
      <c r="D488" s="14"/>
      <c r="E488" s="14"/>
      <c r="F488" s="14"/>
      <c r="G488" s="14"/>
      <c r="H488" s="14"/>
      <c r="I488" s="14"/>
      <c r="J488" s="14"/>
      <c r="K488" s="14"/>
    </row>
    <row r="489" spans="1:11">
      <c r="A489" s="14"/>
      <c r="B489" s="14"/>
      <c r="C489" s="14"/>
      <c r="D489" s="14"/>
      <c r="E489" s="14"/>
      <c r="F489" s="14"/>
      <c r="G489" s="14"/>
      <c r="H489" s="14"/>
      <c r="I489" s="14"/>
      <c r="J489" s="14"/>
      <c r="K489" s="14"/>
    </row>
    <row r="490" spans="1:11">
      <c r="A490" s="14"/>
      <c r="B490" s="14"/>
      <c r="C490" s="14"/>
      <c r="D490" s="14"/>
      <c r="E490" s="14"/>
      <c r="F490" s="14"/>
      <c r="G490" s="14"/>
      <c r="H490" s="14"/>
      <c r="I490" s="14"/>
      <c r="J490" s="14"/>
      <c r="K490" s="14"/>
    </row>
    <row r="491" spans="1:11">
      <c r="A491" s="14"/>
      <c r="B491" s="14"/>
      <c r="C491" s="14"/>
      <c r="D491" s="14"/>
      <c r="E491" s="14"/>
      <c r="F491" s="14"/>
      <c r="G491" s="14"/>
      <c r="H491" s="14"/>
      <c r="I491" s="14"/>
      <c r="J491" s="14"/>
      <c r="K491" s="14"/>
    </row>
    <row r="492" spans="1:11">
      <c r="A492" s="14"/>
      <c r="B492" s="14"/>
      <c r="C492" s="14"/>
      <c r="D492" s="14"/>
      <c r="E492" s="14"/>
      <c r="F492" s="14"/>
      <c r="G492" s="14"/>
      <c r="H492" s="14"/>
      <c r="I492" s="14"/>
      <c r="J492" s="14"/>
      <c r="K492" s="14"/>
    </row>
    <row r="493" spans="1:11">
      <c r="A493" s="14"/>
      <c r="B493" s="14"/>
      <c r="C493" s="14"/>
      <c r="D493" s="14"/>
      <c r="E493" s="14"/>
      <c r="F493" s="14"/>
      <c r="G493" s="14"/>
      <c r="H493" s="14"/>
      <c r="I493" s="14"/>
      <c r="J493" s="14"/>
      <c r="K493" s="14"/>
    </row>
    <row r="494" spans="1:11">
      <c r="A494" s="14"/>
      <c r="B494" s="14"/>
      <c r="C494" s="14"/>
      <c r="D494" s="14"/>
      <c r="E494" s="14"/>
      <c r="F494" s="14"/>
      <c r="G494" s="14"/>
      <c r="H494" s="14"/>
      <c r="I494" s="14"/>
      <c r="J494" s="14"/>
      <c r="K494" s="14"/>
    </row>
    <row r="495" spans="1:11">
      <c r="A495" s="14"/>
      <c r="B495" s="14"/>
      <c r="C495" s="14"/>
      <c r="D495" s="14"/>
      <c r="E495" s="14"/>
      <c r="F495" s="14"/>
      <c r="G495" s="14"/>
      <c r="H495" s="14"/>
      <c r="I495" s="14"/>
      <c r="J495" s="14"/>
      <c r="K495" s="14"/>
    </row>
    <row r="496" spans="1:11">
      <c r="A496" s="14"/>
      <c r="B496" s="14"/>
      <c r="C496" s="14"/>
      <c r="D496" s="14"/>
      <c r="E496" s="14"/>
      <c r="F496" s="14"/>
      <c r="G496" s="14"/>
      <c r="H496" s="14"/>
      <c r="I496" s="14"/>
      <c r="J496" s="14"/>
      <c r="K496" s="14"/>
    </row>
    <row r="497" spans="1:11">
      <c r="A497" s="14"/>
      <c r="B497" s="14"/>
      <c r="C497" s="14"/>
      <c r="D497" s="14"/>
      <c r="E497" s="14"/>
      <c r="F497" s="14"/>
      <c r="G497" s="14"/>
      <c r="H497" s="14"/>
      <c r="I497" s="14"/>
      <c r="J497" s="14"/>
      <c r="K497" s="14"/>
    </row>
    <row r="498" spans="1:11">
      <c r="A498" s="14"/>
      <c r="B498" s="14"/>
      <c r="C498" s="14"/>
      <c r="D498" s="14"/>
      <c r="E498" s="14"/>
      <c r="F498" s="14"/>
      <c r="G498" s="14"/>
      <c r="H498" s="14"/>
      <c r="I498" s="14"/>
      <c r="J498" s="14"/>
      <c r="K498" s="14"/>
    </row>
    <row r="499" spans="1:11">
      <c r="A499" s="14"/>
      <c r="B499" s="14"/>
      <c r="C499" s="14"/>
      <c r="D499" s="14"/>
      <c r="E499" s="14"/>
      <c r="F499" s="14"/>
      <c r="G499" s="14"/>
      <c r="H499" s="14"/>
      <c r="I499" s="14"/>
      <c r="J499" s="14"/>
      <c r="K499" s="14"/>
    </row>
    <row r="500" spans="1:11">
      <c r="A500" s="14"/>
      <c r="B500" s="14"/>
      <c r="C500" s="14"/>
      <c r="D500" s="14"/>
      <c r="E500" s="14"/>
      <c r="F500" s="14"/>
      <c r="G500" s="14"/>
      <c r="H500" s="14"/>
      <c r="I500" s="14"/>
      <c r="J500" s="14"/>
      <c r="K500" s="14"/>
    </row>
    <row r="501" spans="1:11">
      <c r="A501" s="14"/>
      <c r="B501" s="14"/>
      <c r="C501" s="14"/>
      <c r="D501" s="14"/>
      <c r="E501" s="14"/>
      <c r="F501" s="14"/>
      <c r="G501" s="14"/>
      <c r="H501" s="14"/>
      <c r="I501" s="14"/>
      <c r="J501" s="14"/>
      <c r="K501" s="14"/>
    </row>
    <row r="502" spans="1:11">
      <c r="A502" s="14"/>
      <c r="B502" s="14"/>
      <c r="C502" s="14"/>
      <c r="D502" s="14"/>
      <c r="E502" s="14"/>
      <c r="F502" s="14"/>
      <c r="G502" s="14"/>
      <c r="H502" s="14"/>
      <c r="I502" s="14"/>
      <c r="J502" s="14"/>
      <c r="K502" s="14"/>
    </row>
    <row r="503" spans="1:11">
      <c r="A503" s="14"/>
      <c r="B503" s="14"/>
      <c r="C503" s="14"/>
      <c r="D503" s="14"/>
      <c r="E503" s="14"/>
      <c r="F503" s="14"/>
      <c r="G503" s="14"/>
      <c r="H503" s="14"/>
      <c r="I503" s="14"/>
      <c r="J503" s="14"/>
      <c r="K503" s="14"/>
    </row>
    <row r="504" spans="1:11">
      <c r="A504" s="14"/>
      <c r="B504" s="14"/>
      <c r="C504" s="14"/>
      <c r="D504" s="14"/>
      <c r="E504" s="14"/>
      <c r="F504" s="14"/>
      <c r="G504" s="14"/>
      <c r="H504" s="14"/>
      <c r="I504" s="14"/>
      <c r="J504" s="14"/>
      <c r="K504" s="14"/>
    </row>
    <row r="505" spans="1:11">
      <c r="A505" s="14"/>
      <c r="B505" s="14"/>
      <c r="C505" s="14"/>
      <c r="D505" s="14"/>
      <c r="E505" s="14"/>
      <c r="F505" s="14"/>
      <c r="G505" s="14"/>
      <c r="H505" s="14"/>
      <c r="I505" s="14"/>
      <c r="J505" s="14"/>
      <c r="K505" s="14"/>
    </row>
    <row r="506" spans="1:11">
      <c r="A506" s="14"/>
      <c r="B506" s="14"/>
      <c r="C506" s="14"/>
      <c r="D506" s="14"/>
      <c r="E506" s="14"/>
      <c r="F506" s="14"/>
      <c r="G506" s="14"/>
      <c r="H506" s="14"/>
      <c r="I506" s="14"/>
      <c r="J506" s="14"/>
      <c r="K506" s="14"/>
    </row>
    <row r="507" spans="1:11">
      <c r="A507" s="14"/>
      <c r="B507" s="14"/>
      <c r="C507" s="14"/>
      <c r="D507" s="14"/>
      <c r="E507" s="14"/>
      <c r="F507" s="14"/>
      <c r="G507" s="14"/>
      <c r="H507" s="14"/>
      <c r="I507" s="14"/>
      <c r="J507" s="14"/>
      <c r="K507" s="14"/>
    </row>
    <row r="508" spans="1:11">
      <c r="A508" s="14"/>
      <c r="B508" s="14"/>
      <c r="C508" s="14"/>
      <c r="D508" s="14"/>
      <c r="E508" s="14"/>
      <c r="F508" s="14"/>
      <c r="G508" s="14"/>
      <c r="H508" s="14"/>
      <c r="I508" s="14"/>
      <c r="J508" s="14"/>
      <c r="K508" s="14"/>
    </row>
    <row r="509" spans="1:11">
      <c r="A509" s="14"/>
      <c r="B509" s="14"/>
      <c r="C509" s="14"/>
      <c r="D509" s="14"/>
      <c r="E509" s="14"/>
      <c r="F509" s="14"/>
      <c r="G509" s="14"/>
      <c r="H509" s="14"/>
      <c r="I509" s="14"/>
      <c r="J509" s="14"/>
      <c r="K509" s="14"/>
    </row>
    <row r="510" spans="1:11">
      <c r="A510" s="14"/>
      <c r="B510" s="14"/>
      <c r="C510" s="14"/>
      <c r="D510" s="14"/>
      <c r="E510" s="14"/>
      <c r="F510" s="14"/>
      <c r="G510" s="14"/>
      <c r="H510" s="14"/>
      <c r="I510" s="14"/>
      <c r="J510" s="14"/>
      <c r="K510" s="14"/>
    </row>
    <row r="511" spans="1:11">
      <c r="A511" s="14"/>
      <c r="B511" s="14"/>
      <c r="C511" s="14"/>
      <c r="D511" s="14"/>
      <c r="E511" s="14"/>
      <c r="F511" s="14"/>
      <c r="G511" s="14"/>
      <c r="H511" s="14"/>
      <c r="I511" s="14"/>
      <c r="J511" s="14"/>
      <c r="K511" s="14"/>
    </row>
    <row r="512" spans="1:11">
      <c r="A512" s="14"/>
      <c r="B512" s="14"/>
      <c r="C512" s="14"/>
      <c r="D512" s="14"/>
      <c r="E512" s="14"/>
      <c r="F512" s="14"/>
      <c r="G512" s="14"/>
      <c r="H512" s="14"/>
      <c r="I512" s="14"/>
      <c r="J512" s="14"/>
      <c r="K512" s="14"/>
    </row>
    <row r="513" spans="1:11">
      <c r="A513" s="14"/>
      <c r="B513" s="14"/>
      <c r="C513" s="14"/>
      <c r="D513" s="14"/>
      <c r="E513" s="14"/>
      <c r="F513" s="14"/>
      <c r="G513" s="14"/>
      <c r="H513" s="14"/>
      <c r="I513" s="14"/>
      <c r="J513" s="14"/>
      <c r="K513" s="14"/>
    </row>
    <row r="514" spans="1:11">
      <c r="A514" s="14"/>
      <c r="B514" s="14"/>
      <c r="C514" s="14"/>
      <c r="D514" s="14"/>
      <c r="E514" s="14"/>
      <c r="F514" s="14"/>
      <c r="G514" s="14"/>
      <c r="H514" s="14"/>
      <c r="I514" s="14"/>
      <c r="J514" s="14"/>
      <c r="K514" s="14"/>
    </row>
    <row r="515" spans="1:11">
      <c r="A515" s="14"/>
      <c r="B515" s="14"/>
      <c r="C515" s="14"/>
      <c r="D515" s="14"/>
      <c r="E515" s="14"/>
      <c r="F515" s="14"/>
      <c r="G515" s="14"/>
      <c r="H515" s="14"/>
      <c r="I515" s="14"/>
      <c r="J515" s="14"/>
      <c r="K515" s="14"/>
    </row>
    <row r="516" spans="1:11">
      <c r="A516" s="14"/>
      <c r="B516" s="14"/>
      <c r="C516" s="14"/>
      <c r="D516" s="14"/>
      <c r="E516" s="14"/>
      <c r="F516" s="14"/>
      <c r="G516" s="14"/>
      <c r="H516" s="14"/>
      <c r="I516" s="14"/>
      <c r="J516" s="14"/>
      <c r="K516" s="14"/>
    </row>
    <row r="517" spans="1:11">
      <c r="A517" s="14"/>
      <c r="B517" s="14"/>
      <c r="C517" s="14"/>
      <c r="D517" s="14"/>
      <c r="E517" s="14"/>
      <c r="F517" s="14"/>
      <c r="G517" s="14"/>
      <c r="H517" s="14"/>
      <c r="I517" s="14"/>
      <c r="J517" s="14"/>
      <c r="K517" s="14"/>
    </row>
    <row r="518" spans="1:11">
      <c r="A518" s="14"/>
      <c r="B518" s="14"/>
      <c r="C518" s="14"/>
      <c r="D518" s="14"/>
      <c r="E518" s="14"/>
      <c r="F518" s="14"/>
      <c r="G518" s="14"/>
      <c r="H518" s="14"/>
      <c r="I518" s="14"/>
      <c r="J518" s="14"/>
      <c r="K518" s="14"/>
    </row>
    <row r="519" spans="1:11">
      <c r="A519" s="14"/>
      <c r="B519" s="14"/>
      <c r="C519" s="14"/>
      <c r="D519" s="14"/>
      <c r="E519" s="14"/>
      <c r="F519" s="14"/>
      <c r="G519" s="14"/>
      <c r="H519" s="14"/>
      <c r="I519" s="14"/>
      <c r="J519" s="14"/>
      <c r="K519" s="14"/>
    </row>
    <row r="520" spans="1:11">
      <c r="A520" s="14"/>
      <c r="B520" s="14"/>
      <c r="C520" s="14"/>
      <c r="D520" s="14"/>
      <c r="E520" s="14"/>
      <c r="F520" s="14"/>
      <c r="G520" s="14"/>
      <c r="H520" s="14"/>
      <c r="I520" s="14"/>
      <c r="J520" s="14"/>
      <c r="K520" s="14"/>
    </row>
    <row r="521" spans="1:11">
      <c r="A521" s="14"/>
      <c r="B521" s="14"/>
      <c r="C521" s="14"/>
      <c r="D521" s="14"/>
      <c r="E521" s="14"/>
      <c r="F521" s="14"/>
      <c r="G521" s="14"/>
      <c r="H521" s="14"/>
      <c r="I521" s="14"/>
      <c r="J521" s="14"/>
      <c r="K521" s="14"/>
    </row>
    <row r="522" spans="1:11">
      <c r="A522" s="14"/>
      <c r="B522" s="14"/>
      <c r="C522" s="14"/>
      <c r="D522" s="14"/>
      <c r="E522" s="14"/>
      <c r="F522" s="14"/>
      <c r="G522" s="14"/>
      <c r="H522" s="14"/>
      <c r="I522" s="14"/>
      <c r="J522" s="14"/>
      <c r="K522" s="14"/>
    </row>
    <row r="523" spans="1:11">
      <c r="A523" s="14"/>
      <c r="B523" s="14"/>
      <c r="C523" s="14"/>
      <c r="D523" s="14"/>
      <c r="E523" s="14"/>
      <c r="F523" s="14"/>
      <c r="G523" s="14"/>
      <c r="H523" s="14"/>
      <c r="I523" s="14"/>
      <c r="J523" s="14"/>
      <c r="K523" s="14"/>
    </row>
    <row r="524" spans="1:11">
      <c r="A524" s="14"/>
      <c r="B524" s="14"/>
      <c r="C524" s="14"/>
      <c r="D524" s="14"/>
      <c r="E524" s="14"/>
      <c r="F524" s="14"/>
      <c r="G524" s="14"/>
      <c r="H524" s="14"/>
      <c r="I524" s="14"/>
      <c r="J524" s="14"/>
      <c r="K524" s="14"/>
    </row>
    <row r="525" spans="1:11">
      <c r="A525" s="14"/>
      <c r="B525" s="14"/>
      <c r="C525" s="14"/>
      <c r="D525" s="14"/>
      <c r="E525" s="14"/>
      <c r="F525" s="14"/>
      <c r="G525" s="14"/>
      <c r="H525" s="14"/>
      <c r="I525" s="14"/>
      <c r="J525" s="14"/>
      <c r="K525" s="14"/>
    </row>
    <row r="526" spans="1:11">
      <c r="A526" s="14"/>
      <c r="B526" s="14"/>
      <c r="C526" s="14"/>
      <c r="D526" s="14"/>
      <c r="E526" s="14"/>
      <c r="F526" s="14"/>
      <c r="G526" s="14"/>
      <c r="H526" s="14"/>
      <c r="I526" s="14"/>
      <c r="J526" s="14"/>
      <c r="K526" s="14"/>
    </row>
    <row r="527" spans="1:11">
      <c r="A527" s="14"/>
      <c r="B527" s="14"/>
      <c r="C527" s="14"/>
      <c r="D527" s="14"/>
      <c r="E527" s="14"/>
      <c r="F527" s="14"/>
      <c r="G527" s="14"/>
      <c r="H527" s="14"/>
      <c r="I527" s="14"/>
      <c r="J527" s="14"/>
      <c r="K527" s="14"/>
    </row>
    <row r="528" spans="1:11">
      <c r="A528" s="14"/>
      <c r="B528" s="14"/>
      <c r="C528" s="14"/>
      <c r="D528" s="14"/>
      <c r="E528" s="14"/>
      <c r="F528" s="14"/>
      <c r="G528" s="14"/>
      <c r="H528" s="14"/>
      <c r="I528" s="14"/>
      <c r="J528" s="14"/>
      <c r="K528" s="14"/>
    </row>
    <row r="529" spans="1:11">
      <c r="A529" s="14"/>
      <c r="B529" s="14"/>
      <c r="C529" s="14"/>
      <c r="D529" s="14"/>
      <c r="E529" s="14"/>
      <c r="F529" s="14"/>
      <c r="G529" s="14"/>
      <c r="H529" s="14"/>
      <c r="I529" s="14"/>
      <c r="J529" s="14"/>
      <c r="K529" s="14"/>
    </row>
    <row r="530" spans="1:11">
      <c r="A530" s="14"/>
      <c r="B530" s="14"/>
      <c r="C530" s="14"/>
      <c r="D530" s="14"/>
      <c r="E530" s="14"/>
      <c r="F530" s="14"/>
      <c r="G530" s="14"/>
      <c r="H530" s="14"/>
      <c r="I530" s="14"/>
      <c r="J530" s="14"/>
      <c r="K530" s="14"/>
    </row>
    <row r="531" spans="1:11">
      <c r="A531" s="14"/>
      <c r="B531" s="14"/>
      <c r="C531" s="14"/>
      <c r="D531" s="14"/>
      <c r="E531" s="14"/>
      <c r="F531" s="14"/>
      <c r="G531" s="14"/>
      <c r="H531" s="14"/>
      <c r="I531" s="14"/>
      <c r="J531" s="14"/>
      <c r="K531" s="14"/>
    </row>
    <row r="532" spans="1:11">
      <c r="A532" s="14"/>
      <c r="B532" s="14"/>
      <c r="C532" s="14"/>
      <c r="D532" s="14"/>
      <c r="E532" s="14"/>
      <c r="F532" s="14"/>
      <c r="G532" s="14"/>
      <c r="H532" s="14"/>
      <c r="I532" s="14"/>
      <c r="J532" s="14"/>
      <c r="K532" s="14"/>
    </row>
    <row r="533" spans="1:11">
      <c r="A533" s="14"/>
      <c r="B533" s="14"/>
      <c r="C533" s="14"/>
      <c r="D533" s="14"/>
      <c r="E533" s="14"/>
      <c r="F533" s="14"/>
      <c r="G533" s="14"/>
      <c r="H533" s="14"/>
      <c r="I533" s="14"/>
      <c r="J533" s="14"/>
      <c r="K533" s="14"/>
    </row>
    <row r="534" spans="1:11">
      <c r="A534" s="14"/>
      <c r="B534" s="14"/>
      <c r="C534" s="14"/>
      <c r="D534" s="14"/>
      <c r="E534" s="14"/>
      <c r="F534" s="14"/>
      <c r="G534" s="14"/>
      <c r="H534" s="14"/>
      <c r="I534" s="14"/>
      <c r="J534" s="14"/>
      <c r="K534" s="14"/>
    </row>
    <row r="535" spans="1:11">
      <c r="A535" s="14"/>
      <c r="B535" s="14"/>
      <c r="C535" s="14"/>
      <c r="D535" s="14"/>
      <c r="E535" s="14"/>
      <c r="F535" s="14"/>
      <c r="G535" s="14"/>
      <c r="H535" s="14"/>
      <c r="I535" s="14"/>
      <c r="J535" s="14"/>
      <c r="K535" s="14"/>
    </row>
    <row r="536" spans="1:11">
      <c r="A536" s="14"/>
      <c r="B536" s="14"/>
      <c r="C536" s="14"/>
      <c r="D536" s="14"/>
      <c r="E536" s="14"/>
      <c r="F536" s="14"/>
      <c r="G536" s="14"/>
      <c r="H536" s="14"/>
      <c r="I536" s="14"/>
      <c r="J536" s="14"/>
      <c r="K536" s="14"/>
    </row>
    <row r="537" spans="1:11">
      <c r="A537" s="14"/>
      <c r="B537" s="14"/>
      <c r="C537" s="14"/>
      <c r="D537" s="14"/>
      <c r="E537" s="14"/>
      <c r="F537" s="14"/>
      <c r="G537" s="14"/>
      <c r="H537" s="14"/>
      <c r="I537" s="14"/>
      <c r="J537" s="14"/>
      <c r="K537" s="14"/>
    </row>
    <row r="538" spans="1:11">
      <c r="A538" s="14"/>
      <c r="B538" s="14"/>
      <c r="C538" s="14"/>
      <c r="D538" s="14"/>
      <c r="E538" s="14"/>
      <c r="F538" s="14"/>
      <c r="G538" s="14"/>
      <c r="H538" s="14"/>
      <c r="I538" s="14"/>
      <c r="J538" s="14"/>
      <c r="K538" s="14"/>
    </row>
    <row r="539" spans="1:11">
      <c r="A539" s="14"/>
      <c r="B539" s="14"/>
      <c r="C539" s="14"/>
      <c r="D539" s="14"/>
      <c r="E539" s="14"/>
      <c r="F539" s="14"/>
      <c r="G539" s="14"/>
      <c r="H539" s="14"/>
      <c r="I539" s="14"/>
      <c r="J539" s="14"/>
      <c r="K539" s="14"/>
    </row>
    <row r="540" spans="1:11">
      <c r="A540" s="14"/>
      <c r="B540" s="14"/>
      <c r="C540" s="14"/>
      <c r="D540" s="14"/>
      <c r="E540" s="14"/>
      <c r="F540" s="14"/>
      <c r="G540" s="14"/>
      <c r="H540" s="14"/>
      <c r="I540" s="14"/>
      <c r="J540" s="14"/>
      <c r="K540" s="14"/>
    </row>
    <row r="541" spans="1:11">
      <c r="A541" s="14"/>
      <c r="B541" s="14"/>
      <c r="C541" s="14"/>
      <c r="D541" s="14"/>
      <c r="E541" s="14"/>
      <c r="F541" s="14"/>
      <c r="G541" s="14"/>
      <c r="H541" s="14"/>
      <c r="I541" s="14"/>
      <c r="J541" s="14"/>
      <c r="K541" s="14"/>
    </row>
    <row r="542" spans="1:11">
      <c r="A542" s="14"/>
      <c r="B542" s="14"/>
      <c r="C542" s="14"/>
      <c r="D542" s="14"/>
      <c r="E542" s="14"/>
      <c r="F542" s="14"/>
      <c r="G542" s="14"/>
      <c r="H542" s="14"/>
      <c r="I542" s="14"/>
      <c r="J542" s="14"/>
      <c r="K542" s="14"/>
    </row>
    <row r="543" spans="1:11">
      <c r="A543" s="14"/>
      <c r="B543" s="14"/>
      <c r="C543" s="14"/>
      <c r="D543" s="14"/>
      <c r="E543" s="14"/>
      <c r="F543" s="14"/>
      <c r="G543" s="14"/>
      <c r="H543" s="14"/>
      <c r="I543" s="14"/>
      <c r="J543" s="14"/>
      <c r="K543" s="14"/>
    </row>
    <row r="544" spans="1:11">
      <c r="A544" s="14"/>
      <c r="B544" s="14"/>
      <c r="C544" s="14"/>
      <c r="D544" s="14"/>
      <c r="E544" s="14"/>
      <c r="F544" s="14"/>
      <c r="G544" s="14"/>
      <c r="H544" s="14"/>
      <c r="I544" s="14"/>
      <c r="J544" s="14"/>
      <c r="K544" s="14"/>
    </row>
    <row r="545" spans="1:11">
      <c r="A545" s="14"/>
      <c r="B545" s="14"/>
      <c r="C545" s="14"/>
      <c r="D545" s="14"/>
      <c r="E545" s="14"/>
      <c r="F545" s="14"/>
      <c r="G545" s="14"/>
      <c r="H545" s="14"/>
      <c r="I545" s="14"/>
      <c r="J545" s="14"/>
      <c r="K545" s="14"/>
    </row>
    <row r="546" spans="1:11">
      <c r="A546" s="14"/>
      <c r="B546" s="14"/>
      <c r="C546" s="14"/>
      <c r="D546" s="14"/>
      <c r="E546" s="14"/>
      <c r="F546" s="14"/>
      <c r="G546" s="14"/>
      <c r="H546" s="14"/>
      <c r="I546" s="14"/>
      <c r="J546" s="14"/>
      <c r="K546" s="14"/>
    </row>
    <row r="547" spans="1:11">
      <c r="A547" s="14"/>
      <c r="B547" s="14"/>
      <c r="C547" s="14"/>
      <c r="D547" s="14"/>
      <c r="E547" s="14"/>
      <c r="F547" s="14"/>
      <c r="G547" s="14"/>
      <c r="H547" s="14"/>
      <c r="I547" s="14"/>
      <c r="J547" s="14"/>
      <c r="K547" s="14"/>
    </row>
    <row r="548" spans="1:11">
      <c r="A548" s="14"/>
      <c r="B548" s="14"/>
      <c r="C548" s="14"/>
      <c r="D548" s="14"/>
      <c r="E548" s="14"/>
      <c r="F548" s="14"/>
      <c r="G548" s="14"/>
      <c r="H548" s="14"/>
      <c r="I548" s="14"/>
      <c r="J548" s="14"/>
      <c r="K548" s="14"/>
    </row>
    <row r="549" spans="1:11">
      <c r="A549" s="14"/>
      <c r="B549" s="14"/>
      <c r="C549" s="14"/>
      <c r="D549" s="14"/>
      <c r="E549" s="14"/>
      <c r="F549" s="14"/>
      <c r="G549" s="14"/>
      <c r="H549" s="14"/>
      <c r="I549" s="14"/>
      <c r="J549" s="14"/>
      <c r="K549" s="14"/>
    </row>
    <row r="550" spans="1:11">
      <c r="A550" s="14"/>
      <c r="B550" s="14"/>
      <c r="C550" s="14"/>
      <c r="D550" s="14"/>
      <c r="E550" s="14"/>
      <c r="F550" s="14"/>
      <c r="G550" s="14"/>
      <c r="H550" s="14"/>
      <c r="I550" s="14"/>
      <c r="J550" s="14"/>
      <c r="K550" s="14"/>
    </row>
    <row r="551" spans="1:11">
      <c r="A551" s="14"/>
      <c r="B551" s="14"/>
      <c r="C551" s="14"/>
      <c r="D551" s="14"/>
      <c r="E551" s="14"/>
      <c r="F551" s="14"/>
      <c r="G551" s="14"/>
      <c r="H551" s="14"/>
      <c r="I551" s="14"/>
      <c r="J551" s="14"/>
      <c r="K551" s="14"/>
    </row>
    <row r="552" spans="1:11">
      <c r="A552" s="14"/>
      <c r="B552" s="14"/>
      <c r="C552" s="14"/>
      <c r="D552" s="14"/>
      <c r="E552" s="14"/>
      <c r="F552" s="14"/>
      <c r="G552" s="14"/>
      <c r="H552" s="14"/>
      <c r="I552" s="14"/>
      <c r="J552" s="14"/>
      <c r="K552" s="14"/>
    </row>
    <row r="553" spans="1:11">
      <c r="A553" s="14"/>
      <c r="B553" s="14"/>
      <c r="C553" s="14"/>
      <c r="D553" s="14"/>
      <c r="E553" s="14"/>
      <c r="F553" s="14"/>
      <c r="G553" s="14"/>
      <c r="H553" s="14"/>
      <c r="I553" s="14"/>
      <c r="J553" s="14"/>
      <c r="K553" s="14"/>
    </row>
    <row r="554" spans="1:11">
      <c r="A554" s="14"/>
      <c r="B554" s="14"/>
      <c r="C554" s="14"/>
      <c r="D554" s="14"/>
      <c r="E554" s="14"/>
      <c r="F554" s="14"/>
      <c r="G554" s="14"/>
      <c r="H554" s="14"/>
      <c r="I554" s="14"/>
      <c r="J554" s="14"/>
      <c r="K554" s="14"/>
    </row>
    <row r="555" spans="1:11">
      <c r="A555" s="14"/>
      <c r="B555" s="14"/>
      <c r="C555" s="14"/>
      <c r="D555" s="14"/>
      <c r="E555" s="14"/>
      <c r="F555" s="14"/>
      <c r="G555" s="14"/>
      <c r="H555" s="14"/>
      <c r="I555" s="14"/>
      <c r="J555" s="14"/>
      <c r="K555" s="14"/>
    </row>
    <row r="556" spans="1:11">
      <c r="A556" s="14"/>
      <c r="B556" s="14"/>
      <c r="C556" s="14"/>
      <c r="D556" s="14"/>
      <c r="E556" s="14"/>
      <c r="F556" s="14"/>
      <c r="G556" s="14"/>
      <c r="H556" s="14"/>
      <c r="I556" s="14"/>
      <c r="J556" s="14"/>
      <c r="K556" s="14"/>
    </row>
    <row r="557" spans="1:11">
      <c r="A557" s="14"/>
      <c r="B557" s="14"/>
      <c r="C557" s="14"/>
      <c r="D557" s="14"/>
      <c r="E557" s="14"/>
      <c r="F557" s="14"/>
      <c r="G557" s="14"/>
      <c r="H557" s="14"/>
      <c r="I557" s="14"/>
      <c r="J557" s="14"/>
      <c r="K557" s="14"/>
    </row>
    <row r="558" spans="1:11">
      <c r="A558" s="14"/>
      <c r="B558" s="14"/>
      <c r="C558" s="14"/>
      <c r="D558" s="14"/>
      <c r="E558" s="14"/>
      <c r="F558" s="14"/>
      <c r="G558" s="14"/>
      <c r="H558" s="14"/>
      <c r="I558" s="14"/>
      <c r="J558" s="14"/>
      <c r="K558" s="14"/>
    </row>
    <row r="559" spans="1:11">
      <c r="A559" s="14"/>
      <c r="B559" s="14"/>
      <c r="C559" s="14"/>
      <c r="D559" s="14"/>
      <c r="E559" s="14"/>
      <c r="F559" s="14"/>
      <c r="G559" s="14"/>
      <c r="H559" s="14"/>
      <c r="I559" s="14"/>
      <c r="J559" s="14"/>
      <c r="K559" s="14"/>
    </row>
    <row r="560" spans="1:11">
      <c r="A560" s="14"/>
      <c r="B560" s="14"/>
      <c r="C560" s="14"/>
      <c r="D560" s="14"/>
      <c r="E560" s="14"/>
      <c r="F560" s="14"/>
      <c r="G560" s="14"/>
      <c r="H560" s="14"/>
      <c r="I560" s="14"/>
      <c r="J560" s="14"/>
      <c r="K560" s="14"/>
    </row>
    <row r="561" spans="1:11">
      <c r="A561" s="14"/>
      <c r="B561" s="14"/>
      <c r="C561" s="14"/>
      <c r="D561" s="14"/>
      <c r="E561" s="14"/>
      <c r="F561" s="14"/>
      <c r="G561" s="14"/>
      <c r="H561" s="14"/>
      <c r="I561" s="14"/>
      <c r="J561" s="14"/>
      <c r="K561" s="14"/>
    </row>
    <row r="562" spans="1:11">
      <c r="A562" s="14"/>
      <c r="B562" s="14"/>
      <c r="C562" s="14"/>
      <c r="D562" s="14"/>
      <c r="E562" s="14"/>
      <c r="F562" s="14"/>
      <c r="G562" s="14"/>
      <c r="H562" s="14"/>
      <c r="I562" s="14"/>
      <c r="J562" s="14"/>
      <c r="K562" s="14"/>
    </row>
    <row r="563" spans="1:11">
      <c r="A563" s="14"/>
      <c r="B563" s="14"/>
      <c r="C563" s="14"/>
      <c r="D563" s="14"/>
      <c r="E563" s="14"/>
      <c r="F563" s="14"/>
      <c r="G563" s="14"/>
      <c r="H563" s="14"/>
      <c r="I563" s="14"/>
      <c r="J563" s="14"/>
      <c r="K563" s="14"/>
    </row>
    <row r="564" spans="1:11">
      <c r="A564" s="14"/>
      <c r="B564" s="14"/>
      <c r="C564" s="14"/>
      <c r="D564" s="14"/>
      <c r="E564" s="14"/>
      <c r="F564" s="14"/>
      <c r="G564" s="14"/>
      <c r="H564" s="14"/>
      <c r="I564" s="14"/>
      <c r="J564" s="14"/>
      <c r="K564" s="14"/>
    </row>
    <row r="565" spans="1:11">
      <c r="A565" s="14"/>
      <c r="B565" s="14"/>
      <c r="C565" s="14"/>
      <c r="D565" s="14"/>
      <c r="E565" s="14"/>
      <c r="F565" s="14"/>
      <c r="G565" s="14"/>
      <c r="H565" s="14"/>
      <c r="I565" s="14"/>
      <c r="J565" s="14"/>
      <c r="K565" s="14"/>
    </row>
    <row r="566" spans="1:11">
      <c r="A566" s="14"/>
      <c r="B566" s="14"/>
      <c r="C566" s="14"/>
      <c r="D566" s="14"/>
      <c r="E566" s="14"/>
      <c r="F566" s="14"/>
      <c r="G566" s="14"/>
      <c r="H566" s="14"/>
      <c r="I566" s="14"/>
      <c r="J566" s="14"/>
      <c r="K566" s="14"/>
    </row>
    <row r="567" spans="1:11">
      <c r="A567" s="14"/>
      <c r="B567" s="14"/>
      <c r="C567" s="14"/>
      <c r="D567" s="14"/>
      <c r="E567" s="14"/>
      <c r="F567" s="14"/>
      <c r="G567" s="14"/>
      <c r="H567" s="14"/>
      <c r="I567" s="14"/>
      <c r="J567" s="14"/>
      <c r="K567" s="14"/>
    </row>
    <row r="568" spans="1:11">
      <c r="A568" s="14"/>
      <c r="B568" s="14"/>
      <c r="C568" s="14"/>
      <c r="D568" s="14"/>
      <c r="E568" s="14"/>
      <c r="F568" s="14"/>
      <c r="G568" s="14"/>
      <c r="H568" s="14"/>
      <c r="I568" s="14"/>
      <c r="J568" s="14"/>
      <c r="K568" s="14"/>
    </row>
    <row r="569" spans="1:11">
      <c r="A569" s="14"/>
      <c r="B569" s="14"/>
      <c r="C569" s="14"/>
      <c r="D569" s="14"/>
      <c r="E569" s="14"/>
      <c r="F569" s="14"/>
      <c r="G569" s="14"/>
      <c r="H569" s="14"/>
      <c r="I569" s="14"/>
      <c r="J569" s="14"/>
      <c r="K569" s="14"/>
    </row>
    <row r="570" spans="1:11">
      <c r="A570" s="14"/>
      <c r="B570" s="14"/>
      <c r="C570" s="14"/>
      <c r="D570" s="14"/>
      <c r="E570" s="14"/>
      <c r="F570" s="14"/>
      <c r="G570" s="14"/>
      <c r="H570" s="14"/>
      <c r="I570" s="14"/>
      <c r="J570" s="14"/>
      <c r="K570" s="14"/>
    </row>
    <row r="571" spans="1:11">
      <c r="A571" s="14"/>
      <c r="B571" s="14"/>
      <c r="C571" s="14"/>
      <c r="D571" s="14"/>
      <c r="E571" s="14"/>
      <c r="F571" s="14"/>
      <c r="G571" s="14"/>
      <c r="H571" s="14"/>
      <c r="I571" s="14"/>
      <c r="J571" s="14"/>
      <c r="K571" s="14"/>
    </row>
    <row r="572" spans="1:11">
      <c r="A572" s="14"/>
      <c r="B572" s="14"/>
      <c r="C572" s="14"/>
      <c r="D572" s="14"/>
      <c r="E572" s="14"/>
      <c r="F572" s="14"/>
      <c r="G572" s="14"/>
      <c r="H572" s="14"/>
      <c r="I572" s="14"/>
      <c r="J572" s="14"/>
      <c r="K572" s="14"/>
    </row>
    <row r="573" spans="1:11">
      <c r="A573" s="14"/>
      <c r="B573" s="14"/>
      <c r="C573" s="14"/>
      <c r="D573" s="14"/>
      <c r="E573" s="14"/>
      <c r="F573" s="14"/>
      <c r="G573" s="14"/>
      <c r="H573" s="14"/>
      <c r="I573" s="14"/>
      <c r="J573" s="14"/>
      <c r="K573" s="14"/>
    </row>
    <row r="574" spans="1:11">
      <c r="A574" s="14"/>
      <c r="B574" s="14"/>
      <c r="C574" s="14"/>
      <c r="D574" s="14"/>
      <c r="E574" s="14"/>
      <c r="F574" s="14"/>
      <c r="G574" s="14"/>
      <c r="H574" s="14"/>
      <c r="I574" s="14"/>
      <c r="J574" s="14"/>
      <c r="K574" s="14"/>
    </row>
    <row r="575" spans="1:11">
      <c r="A575" s="14"/>
      <c r="B575" s="14"/>
      <c r="C575" s="14"/>
      <c r="D575" s="14"/>
      <c r="E575" s="14"/>
      <c r="F575" s="14"/>
      <c r="G575" s="14"/>
      <c r="H575" s="14"/>
      <c r="I575" s="14"/>
      <c r="J575" s="14"/>
      <c r="K575" s="14"/>
    </row>
    <row r="576" spans="1:11">
      <c r="A576" s="14"/>
      <c r="B576" s="14"/>
      <c r="C576" s="14"/>
      <c r="D576" s="14"/>
      <c r="E576" s="14"/>
      <c r="F576" s="14"/>
      <c r="G576" s="14"/>
      <c r="H576" s="14"/>
      <c r="I576" s="14"/>
      <c r="J576" s="14"/>
      <c r="K576" s="14"/>
    </row>
    <row r="577" spans="1:11">
      <c r="A577" s="14"/>
      <c r="B577" s="14"/>
      <c r="C577" s="14"/>
      <c r="D577" s="14"/>
      <c r="E577" s="14"/>
      <c r="F577" s="14"/>
      <c r="G577" s="14"/>
      <c r="H577" s="14"/>
      <c r="I577" s="14"/>
      <c r="J577" s="14"/>
      <c r="K577" s="14"/>
    </row>
    <row r="578" spans="1:11">
      <c r="A578" s="14"/>
      <c r="B578" s="14"/>
      <c r="C578" s="14"/>
      <c r="D578" s="14"/>
      <c r="E578" s="14"/>
      <c r="F578" s="14"/>
      <c r="G578" s="14"/>
      <c r="H578" s="14"/>
      <c r="I578" s="14"/>
      <c r="J578" s="14"/>
      <c r="K578" s="14"/>
    </row>
    <row r="579" spans="1:11">
      <c r="A579" s="14"/>
      <c r="B579" s="14"/>
      <c r="C579" s="14"/>
      <c r="D579" s="14"/>
      <c r="E579" s="14"/>
      <c r="F579" s="14"/>
      <c r="G579" s="14"/>
      <c r="H579" s="14"/>
      <c r="I579" s="14"/>
      <c r="J579" s="14"/>
      <c r="K579" s="14"/>
    </row>
    <row r="580" spans="1:11">
      <c r="A580" s="14"/>
      <c r="B580" s="14"/>
      <c r="C580" s="14"/>
      <c r="D580" s="14"/>
      <c r="E580" s="14"/>
      <c r="F580" s="14"/>
      <c r="G580" s="14"/>
      <c r="H580" s="14"/>
      <c r="I580" s="14"/>
      <c r="J580" s="14"/>
      <c r="K580" s="14"/>
    </row>
    <row r="581" spans="1:11">
      <c r="A581" s="14"/>
      <c r="B581" s="14"/>
      <c r="C581" s="14"/>
      <c r="D581" s="14"/>
      <c r="E581" s="14"/>
      <c r="F581" s="14"/>
      <c r="G581" s="14"/>
      <c r="H581" s="14"/>
      <c r="I581" s="14"/>
      <c r="J581" s="14"/>
      <c r="K581" s="14"/>
    </row>
    <row r="582" spans="1:11">
      <c r="A582" s="14"/>
      <c r="B582" s="14"/>
      <c r="C582" s="14"/>
      <c r="D582" s="14"/>
      <c r="E582" s="14"/>
      <c r="F582" s="14"/>
      <c r="G582" s="14"/>
      <c r="H582" s="14"/>
      <c r="I582" s="14"/>
      <c r="J582" s="14"/>
      <c r="K582" s="14"/>
    </row>
    <row r="583" spans="1:11">
      <c r="A583" s="14"/>
      <c r="B583" s="14"/>
      <c r="C583" s="14"/>
      <c r="D583" s="14"/>
      <c r="E583" s="14"/>
      <c r="F583" s="14"/>
      <c r="G583" s="14"/>
      <c r="H583" s="14"/>
      <c r="I583" s="14"/>
      <c r="J583" s="14"/>
      <c r="K583" s="14"/>
    </row>
    <row r="584" spans="1:11">
      <c r="A584" s="14"/>
      <c r="B584" s="14"/>
      <c r="C584" s="14"/>
      <c r="D584" s="14"/>
      <c r="E584" s="14"/>
      <c r="F584" s="14"/>
      <c r="G584" s="14"/>
      <c r="H584" s="14"/>
      <c r="I584" s="14"/>
      <c r="J584" s="14"/>
      <c r="K584" s="14"/>
    </row>
    <row r="585" spans="1:11">
      <c r="A585" s="14"/>
      <c r="B585" s="14"/>
      <c r="C585" s="14"/>
      <c r="D585" s="14"/>
      <c r="E585" s="14"/>
      <c r="F585" s="14"/>
      <c r="G585" s="14"/>
      <c r="H585" s="14"/>
      <c r="I585" s="14"/>
      <c r="J585" s="14"/>
      <c r="K585" s="14"/>
    </row>
    <row r="586" spans="1:11">
      <c r="A586" s="14"/>
      <c r="B586" s="14"/>
      <c r="C586" s="14"/>
      <c r="D586" s="14"/>
      <c r="E586" s="14"/>
      <c r="F586" s="14"/>
      <c r="G586" s="14"/>
      <c r="H586" s="14"/>
      <c r="I586" s="14"/>
      <c r="J586" s="14"/>
      <c r="K586" s="14"/>
    </row>
    <row r="587" spans="1:11">
      <c r="A587" s="14"/>
      <c r="B587" s="14"/>
      <c r="C587" s="14"/>
      <c r="D587" s="14"/>
      <c r="E587" s="14"/>
      <c r="F587" s="14"/>
      <c r="G587" s="14"/>
      <c r="H587" s="14"/>
      <c r="I587" s="14"/>
      <c r="J587" s="14"/>
      <c r="K587" s="14"/>
    </row>
    <row r="588" spans="1:11">
      <c r="A588" s="14"/>
      <c r="B588" s="14"/>
      <c r="C588" s="14"/>
      <c r="D588" s="14"/>
      <c r="E588" s="14"/>
      <c r="F588" s="14"/>
      <c r="G588" s="14"/>
      <c r="H588" s="14"/>
      <c r="I588" s="14"/>
      <c r="J588" s="14"/>
      <c r="K588" s="14"/>
    </row>
    <row r="589" spans="1:11">
      <c r="A589" s="14"/>
      <c r="B589" s="14"/>
      <c r="C589" s="14"/>
      <c r="D589" s="14"/>
      <c r="E589" s="14"/>
      <c r="F589" s="14"/>
      <c r="G589" s="14"/>
      <c r="H589" s="14"/>
      <c r="I589" s="14"/>
      <c r="J589" s="14"/>
      <c r="K589" s="14"/>
    </row>
    <row r="590" spans="1:11">
      <c r="A590" s="14"/>
      <c r="B590" s="14"/>
      <c r="C590" s="14"/>
      <c r="D590" s="14"/>
      <c r="E590" s="14"/>
      <c r="F590" s="14"/>
      <c r="G590" s="14"/>
      <c r="H590" s="14"/>
      <c r="I590" s="14"/>
      <c r="J590" s="14"/>
      <c r="K590" s="14"/>
    </row>
    <row r="591" spans="1:11">
      <c r="A591" s="14"/>
      <c r="B591" s="14"/>
      <c r="C591" s="14"/>
      <c r="D591" s="14"/>
      <c r="E591" s="14"/>
      <c r="F591" s="14"/>
      <c r="G591" s="14"/>
      <c r="H591" s="14"/>
      <c r="I591" s="14"/>
      <c r="J591" s="14"/>
      <c r="K591" s="14"/>
    </row>
    <row r="592" spans="1:11">
      <c r="A592" s="14"/>
      <c r="B592" s="14"/>
      <c r="C592" s="14"/>
      <c r="D592" s="14"/>
      <c r="E592" s="14"/>
      <c r="F592" s="14"/>
      <c r="G592" s="14"/>
      <c r="H592" s="14"/>
      <c r="I592" s="14"/>
      <c r="J592" s="14"/>
      <c r="K592" s="14"/>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A0D7-677E-3844-8CE0-FFE2888DED2D}">
  <dimension ref="A1:AE65"/>
  <sheetViews>
    <sheetView zoomScale="57" zoomScaleNormal="90" workbookViewId="0">
      <selection activeCell="H73" sqref="H73"/>
    </sheetView>
  </sheetViews>
  <sheetFormatPr defaultColWidth="11" defaultRowHeight="15.5"/>
  <cols>
    <col min="1" max="1" width="13.58203125" customWidth="1"/>
    <col min="2" max="2" width="18.33203125" customWidth="1"/>
    <col min="3" max="3" width="19.33203125" customWidth="1"/>
    <col min="4" max="4" width="15.58203125" customWidth="1"/>
    <col min="5" max="5" width="16.5" customWidth="1"/>
    <col min="6" max="6" width="18.5" customWidth="1"/>
    <col min="7" max="7" width="25" customWidth="1"/>
    <col min="8" max="8" width="21.5" customWidth="1"/>
    <col min="9" max="9" width="25.58203125" customWidth="1"/>
    <col min="10" max="10" width="22.33203125" customWidth="1"/>
    <col min="11" max="11" width="22.5" customWidth="1"/>
    <col min="12" max="12" width="24.33203125" customWidth="1"/>
    <col min="13" max="14" width="30.83203125" customWidth="1"/>
    <col min="15" max="15" width="22.33203125" customWidth="1"/>
    <col min="16" max="16" width="14.08203125" customWidth="1"/>
    <col min="17" max="17" width="18.5" customWidth="1"/>
    <col min="19" max="19" width="18.33203125" customWidth="1"/>
    <col min="21" max="21" width="13.08203125" customWidth="1"/>
    <col min="22" max="22" width="17.33203125" customWidth="1"/>
    <col min="23" max="23" width="16.58203125" customWidth="1"/>
    <col min="24" max="24" width="12.5" customWidth="1"/>
    <col min="26" max="26" width="19.83203125" customWidth="1"/>
    <col min="27" max="27" width="18.83203125" customWidth="1"/>
    <col min="34" max="34" width="15.58203125" customWidth="1"/>
    <col min="36" max="36" width="13.83203125" customWidth="1"/>
    <col min="38" max="38" width="19.83203125" customWidth="1"/>
    <col min="39" max="39" width="24.83203125" customWidth="1"/>
    <col min="40" max="40" width="27.33203125" customWidth="1"/>
    <col min="41" max="41" width="22" customWidth="1"/>
    <col min="42" max="42" width="32.83203125" customWidth="1"/>
    <col min="43" max="43" width="28.08203125" customWidth="1"/>
  </cols>
  <sheetData>
    <row r="1" spans="1:31" ht="26">
      <c r="A1" s="16"/>
      <c r="B1" s="298" t="s">
        <v>485</v>
      </c>
      <c r="C1" s="298"/>
      <c r="D1" s="298"/>
      <c r="E1" s="298" t="s">
        <v>486</v>
      </c>
      <c r="F1" s="298"/>
      <c r="G1" s="298"/>
      <c r="K1">
        <v>19.399999999999999</v>
      </c>
      <c r="P1" s="17" t="s">
        <v>487</v>
      </c>
      <c r="Q1" s="17">
        <v>42.3</v>
      </c>
      <c r="R1" s="299" t="s">
        <v>488</v>
      </c>
      <c r="S1" s="299"/>
      <c r="T1" s="299"/>
      <c r="U1" s="299"/>
      <c r="V1" s="299"/>
      <c r="AC1" s="18"/>
    </row>
    <row r="2" spans="1:31" ht="26">
      <c r="A2" s="16"/>
      <c r="B2" s="188"/>
      <c r="C2" s="297" t="s">
        <v>489</v>
      </c>
      <c r="D2" s="297"/>
      <c r="E2" s="297" t="s">
        <v>489</v>
      </c>
      <c r="F2" s="297"/>
      <c r="G2" s="188" t="s">
        <v>490</v>
      </c>
      <c r="I2" s="188" t="s">
        <v>490</v>
      </c>
      <c r="L2" s="18" t="s">
        <v>491</v>
      </c>
      <c r="M2" t="s">
        <v>491</v>
      </c>
      <c r="N2" t="s">
        <v>492</v>
      </c>
      <c r="P2" s="17" t="s">
        <v>493</v>
      </c>
      <c r="Q2" s="17">
        <v>34.06</v>
      </c>
      <c r="R2" s="299"/>
      <c r="S2" s="299"/>
      <c r="T2" s="299"/>
      <c r="U2" s="299"/>
      <c r="V2" s="299"/>
    </row>
    <row r="3" spans="1:31" ht="21">
      <c r="B3" s="19" t="s">
        <v>494</v>
      </c>
      <c r="C3" s="19" t="s">
        <v>495</v>
      </c>
      <c r="D3" s="19" t="s">
        <v>496</v>
      </c>
      <c r="E3" s="19" t="s">
        <v>495</v>
      </c>
      <c r="F3" s="19" t="s">
        <v>496</v>
      </c>
      <c r="G3" s="19" t="s">
        <v>495</v>
      </c>
      <c r="H3" s="20" t="s">
        <v>497</v>
      </c>
      <c r="I3" s="20" t="s">
        <v>496</v>
      </c>
      <c r="J3" s="20" t="s">
        <v>498</v>
      </c>
      <c r="K3" s="20" t="s">
        <v>499</v>
      </c>
      <c r="L3" s="20" t="s">
        <v>500</v>
      </c>
      <c r="M3" s="194" t="s">
        <v>501</v>
      </c>
      <c r="N3" s="194" t="s">
        <v>502</v>
      </c>
      <c r="O3" s="20" t="s">
        <v>503</v>
      </c>
      <c r="P3" s="20" t="s">
        <v>504</v>
      </c>
      <c r="R3" s="17"/>
      <c r="S3" s="294" t="s">
        <v>505</v>
      </c>
      <c r="T3" s="295"/>
      <c r="U3" s="295"/>
      <c r="V3" s="295"/>
      <c r="W3" s="296"/>
      <c r="Z3" s="190" t="s">
        <v>491</v>
      </c>
      <c r="AA3" s="190" t="s">
        <v>491</v>
      </c>
      <c r="AB3" s="190" t="s">
        <v>492</v>
      </c>
    </row>
    <row r="4" spans="1:31" ht="21">
      <c r="B4" s="21" t="s">
        <v>112</v>
      </c>
      <c r="C4" s="21">
        <v>978</v>
      </c>
      <c r="D4" s="21">
        <v>834</v>
      </c>
      <c r="E4" s="21">
        <v>870</v>
      </c>
      <c r="F4" s="21">
        <v>731</v>
      </c>
      <c r="G4" s="21">
        <f>C4+E4</f>
        <v>1848</v>
      </c>
      <c r="H4" s="21">
        <f t="shared" ref="H4:H12" si="0">G4-$Q$1-$Q$1</f>
        <v>1763.4</v>
      </c>
      <c r="I4" s="21">
        <f>D4+F4</f>
        <v>1565</v>
      </c>
      <c r="J4" s="21">
        <f t="shared" ref="J4:J12" si="1">I4-$Q$1-$Q$1</f>
        <v>1480.4</v>
      </c>
      <c r="K4" s="21">
        <v>782.4</v>
      </c>
      <c r="L4" s="21">
        <f>K4-$K$1</f>
        <v>763</v>
      </c>
      <c r="M4" s="193">
        <f>L4/0.865</f>
        <v>882.08092485549139</v>
      </c>
      <c r="N4" s="193">
        <f>((M4/1000)/(1/10000))</f>
        <v>8820.8092485549132</v>
      </c>
      <c r="O4" s="21">
        <f t="shared" ref="O4:O12" si="2">J4-L4</f>
        <v>717.40000000000009</v>
      </c>
      <c r="P4" s="22">
        <f t="shared" ref="P4:P12" si="3">((H4-J4)/H4)*100</f>
        <v>16.04854258818192</v>
      </c>
      <c r="R4" s="53" t="s">
        <v>494</v>
      </c>
      <c r="S4" s="53" t="s">
        <v>506</v>
      </c>
      <c r="T4" s="20" t="s">
        <v>497</v>
      </c>
      <c r="U4" s="23" t="s">
        <v>507</v>
      </c>
      <c r="V4" s="23" t="s">
        <v>508</v>
      </c>
      <c r="W4" s="20" t="s">
        <v>504</v>
      </c>
      <c r="Z4" s="190" t="s">
        <v>500</v>
      </c>
      <c r="AA4" s="190" t="s">
        <v>509</v>
      </c>
      <c r="AB4" s="190" t="s">
        <v>509</v>
      </c>
      <c r="AE4" t="s">
        <v>510</v>
      </c>
    </row>
    <row r="5" spans="1:31">
      <c r="B5" s="21" t="s">
        <v>115</v>
      </c>
      <c r="C5" s="21">
        <v>786</v>
      </c>
      <c r="D5" s="21">
        <v>667</v>
      </c>
      <c r="E5" s="21">
        <v>859</v>
      </c>
      <c r="F5" s="21">
        <v>735</v>
      </c>
      <c r="G5" s="21">
        <f t="shared" ref="G5:G26" si="4">C5+E5</f>
        <v>1645</v>
      </c>
      <c r="H5" s="21">
        <f t="shared" si="0"/>
        <v>1560.4</v>
      </c>
      <c r="I5" s="21">
        <f t="shared" ref="I5:I12" si="5">D5+F5</f>
        <v>1402</v>
      </c>
      <c r="J5" s="21">
        <f t="shared" si="1"/>
        <v>1317.4</v>
      </c>
      <c r="K5" s="21">
        <v>684.1</v>
      </c>
      <c r="L5" s="21">
        <f t="shared" ref="L5:L12" si="6">K5-$K$1</f>
        <v>664.7</v>
      </c>
      <c r="M5" s="193">
        <f t="shared" ref="M5:M12" si="7">L5/0.865</f>
        <v>768.4393063583816</v>
      </c>
      <c r="N5" s="193">
        <f t="shared" ref="N5:N12" si="8">((M5/1000)/(1/10000))</f>
        <v>7684.393063583816</v>
      </c>
      <c r="O5" s="21">
        <f t="shared" si="2"/>
        <v>652.70000000000005</v>
      </c>
      <c r="P5" s="22">
        <f t="shared" si="3"/>
        <v>15.572930017944117</v>
      </c>
      <c r="R5" s="24" t="s">
        <v>112</v>
      </c>
      <c r="S5" s="24">
        <v>52.9</v>
      </c>
      <c r="T5" s="24">
        <f t="shared" ref="T5:T13" si="9">S5-$Q$2</f>
        <v>18.839999999999996</v>
      </c>
      <c r="U5" s="25">
        <v>50.5</v>
      </c>
      <c r="V5" s="25">
        <f t="shared" ref="V5:V13" si="10">U5-$Q$2</f>
        <v>16.439999999999998</v>
      </c>
      <c r="W5" s="26">
        <f t="shared" ref="W5:W13" si="11">((T5-V5)/T5)*100</f>
        <v>12.738853503184707</v>
      </c>
      <c r="Y5" s="24" t="s">
        <v>112</v>
      </c>
      <c r="Z5" s="24">
        <f t="shared" ref="Z5:Z13" si="12">L4</f>
        <v>763</v>
      </c>
      <c r="AA5" s="21">
        <f t="shared" ref="AA5:AA13" si="13">O4+V5</f>
        <v>733.84000000000015</v>
      </c>
      <c r="AB5" s="29">
        <f>((AA5/1000)/(1/10000))</f>
        <v>7338.4000000000015</v>
      </c>
      <c r="AE5" s="27" t="s">
        <v>511</v>
      </c>
    </row>
    <row r="6" spans="1:31">
      <c r="B6" s="21" t="s">
        <v>118</v>
      </c>
      <c r="C6" s="21">
        <v>723</v>
      </c>
      <c r="D6" s="21">
        <v>621</v>
      </c>
      <c r="E6" s="21">
        <v>785</v>
      </c>
      <c r="F6" s="21">
        <v>660</v>
      </c>
      <c r="G6" s="21">
        <f t="shared" si="4"/>
        <v>1508</v>
      </c>
      <c r="H6" s="21">
        <f t="shared" si="0"/>
        <v>1423.4</v>
      </c>
      <c r="I6" s="21">
        <f t="shared" si="5"/>
        <v>1281</v>
      </c>
      <c r="J6" s="21">
        <f t="shared" si="1"/>
        <v>1196.4000000000001</v>
      </c>
      <c r="K6" s="21">
        <v>617.5</v>
      </c>
      <c r="L6" s="21">
        <f t="shared" si="6"/>
        <v>598.1</v>
      </c>
      <c r="M6" s="193">
        <f t="shared" si="7"/>
        <v>691.44508670520236</v>
      </c>
      <c r="N6" s="193">
        <f t="shared" si="8"/>
        <v>6914.4508670520227</v>
      </c>
      <c r="O6" s="21">
        <f t="shared" si="2"/>
        <v>598.30000000000007</v>
      </c>
      <c r="P6" s="22">
        <f t="shared" si="3"/>
        <v>15.947730785443303</v>
      </c>
      <c r="R6" s="24" t="s">
        <v>115</v>
      </c>
      <c r="S6" s="24">
        <v>59.5</v>
      </c>
      <c r="T6" s="24">
        <f t="shared" si="9"/>
        <v>25.439999999999998</v>
      </c>
      <c r="U6" s="25">
        <v>56.4</v>
      </c>
      <c r="V6" s="25">
        <f t="shared" si="10"/>
        <v>22.339999999999996</v>
      </c>
      <c r="W6" s="26">
        <f t="shared" si="11"/>
        <v>12.185534591194976</v>
      </c>
      <c r="Y6" s="24" t="s">
        <v>115</v>
      </c>
      <c r="Z6" s="24">
        <f t="shared" si="12"/>
        <v>664.7</v>
      </c>
      <c r="AA6" s="21">
        <f t="shared" si="13"/>
        <v>675.04000000000008</v>
      </c>
      <c r="AB6" s="29">
        <f t="shared" ref="AB6:AB22" si="14">((AA6/1000)/(1/10000))</f>
        <v>6750.4000000000005</v>
      </c>
      <c r="AE6" s="28">
        <f t="shared" ref="AE6:AE14" si="15">T5*1.053</f>
        <v>19.838519999999995</v>
      </c>
    </row>
    <row r="7" spans="1:31">
      <c r="B7" s="21" t="s">
        <v>121</v>
      </c>
      <c r="C7" s="21">
        <v>954</v>
      </c>
      <c r="D7" s="21">
        <v>818</v>
      </c>
      <c r="E7" s="21">
        <v>790</v>
      </c>
      <c r="F7" s="21">
        <v>668</v>
      </c>
      <c r="G7" s="21">
        <f t="shared" si="4"/>
        <v>1744</v>
      </c>
      <c r="H7" s="21">
        <f t="shared" si="0"/>
        <v>1659.4</v>
      </c>
      <c r="I7" s="21">
        <f t="shared" si="5"/>
        <v>1486</v>
      </c>
      <c r="J7" s="21">
        <f t="shared" si="1"/>
        <v>1401.4</v>
      </c>
      <c r="K7" s="21">
        <v>645.4</v>
      </c>
      <c r="L7" s="21">
        <f t="shared" si="6"/>
        <v>626</v>
      </c>
      <c r="M7" s="193">
        <f t="shared" si="7"/>
        <v>723.69942196531792</v>
      </c>
      <c r="N7" s="193">
        <f t="shared" si="8"/>
        <v>7236.9942196531783</v>
      </c>
      <c r="O7" s="21">
        <f t="shared" si="2"/>
        <v>775.40000000000009</v>
      </c>
      <c r="P7" s="22">
        <f t="shared" si="3"/>
        <v>15.547788357237554</v>
      </c>
      <c r="R7" s="24" t="s">
        <v>118</v>
      </c>
      <c r="S7" s="24">
        <v>80.900000000000006</v>
      </c>
      <c r="T7" s="24">
        <f t="shared" si="9"/>
        <v>46.84</v>
      </c>
      <c r="U7" s="25">
        <v>76.3</v>
      </c>
      <c r="V7" s="25">
        <f t="shared" si="10"/>
        <v>42.239999999999995</v>
      </c>
      <c r="W7" s="26">
        <f t="shared" si="11"/>
        <v>9.8206660973527082</v>
      </c>
      <c r="Y7" s="24" t="s">
        <v>118</v>
      </c>
      <c r="Z7" s="24">
        <f t="shared" si="12"/>
        <v>598.1</v>
      </c>
      <c r="AA7" s="21">
        <f t="shared" si="13"/>
        <v>640.54000000000008</v>
      </c>
      <c r="AB7" s="29">
        <f t="shared" si="14"/>
        <v>6405.4000000000005</v>
      </c>
      <c r="AE7" s="28">
        <f t="shared" si="15"/>
        <v>26.788319999999995</v>
      </c>
    </row>
    <row r="8" spans="1:31">
      <c r="B8" s="21" t="s">
        <v>124</v>
      </c>
      <c r="C8" s="21">
        <v>882</v>
      </c>
      <c r="D8" s="21">
        <v>742</v>
      </c>
      <c r="E8" s="21">
        <v>960</v>
      </c>
      <c r="F8" s="21">
        <v>787</v>
      </c>
      <c r="G8" s="21">
        <f t="shared" si="4"/>
        <v>1842</v>
      </c>
      <c r="H8" s="21">
        <f t="shared" si="0"/>
        <v>1757.4</v>
      </c>
      <c r="I8" s="21">
        <f t="shared" si="5"/>
        <v>1529</v>
      </c>
      <c r="J8" s="21">
        <f t="shared" si="1"/>
        <v>1444.4</v>
      </c>
      <c r="K8" s="21">
        <v>755</v>
      </c>
      <c r="L8" s="21">
        <f t="shared" si="6"/>
        <v>735.6</v>
      </c>
      <c r="M8" s="193">
        <f t="shared" si="7"/>
        <v>850.40462427745672</v>
      </c>
      <c r="N8" s="193">
        <f t="shared" si="8"/>
        <v>8504.0462427745661</v>
      </c>
      <c r="O8" s="21">
        <f t="shared" si="2"/>
        <v>708.80000000000007</v>
      </c>
      <c r="P8" s="22">
        <f t="shared" si="3"/>
        <v>17.810401729828154</v>
      </c>
      <c r="R8" s="24" t="s">
        <v>121</v>
      </c>
      <c r="S8" s="24">
        <v>70</v>
      </c>
      <c r="T8" s="24">
        <f t="shared" si="9"/>
        <v>35.94</v>
      </c>
      <c r="U8" s="25">
        <v>66.5</v>
      </c>
      <c r="V8" s="25">
        <f t="shared" si="10"/>
        <v>32.44</v>
      </c>
      <c r="W8" s="26">
        <f t="shared" si="11"/>
        <v>9.7384529771841954</v>
      </c>
      <c r="Y8" s="24" t="s">
        <v>121</v>
      </c>
      <c r="Z8" s="24">
        <f t="shared" si="12"/>
        <v>626</v>
      </c>
      <c r="AA8" s="21">
        <f t="shared" si="13"/>
        <v>807.84000000000015</v>
      </c>
      <c r="AB8" s="29">
        <f t="shared" si="14"/>
        <v>8078.4000000000005</v>
      </c>
      <c r="AE8" s="28">
        <f t="shared" si="15"/>
        <v>49.322519999999997</v>
      </c>
    </row>
    <row r="9" spans="1:31">
      <c r="B9" s="21" t="s">
        <v>127</v>
      </c>
      <c r="C9" s="21">
        <v>781</v>
      </c>
      <c r="D9" s="21">
        <v>661</v>
      </c>
      <c r="E9" s="21">
        <v>793</v>
      </c>
      <c r="F9" s="21">
        <v>673</v>
      </c>
      <c r="G9" s="21">
        <f t="shared" si="4"/>
        <v>1574</v>
      </c>
      <c r="H9" s="21">
        <f t="shared" si="0"/>
        <v>1489.4</v>
      </c>
      <c r="I9" s="21">
        <f t="shared" si="5"/>
        <v>1334</v>
      </c>
      <c r="J9" s="21">
        <f t="shared" si="1"/>
        <v>1249.4000000000001</v>
      </c>
      <c r="K9" s="21">
        <v>737.5</v>
      </c>
      <c r="L9" s="21">
        <f t="shared" si="6"/>
        <v>718.1</v>
      </c>
      <c r="M9" s="193">
        <f t="shared" si="7"/>
        <v>830.17341040462429</v>
      </c>
      <c r="N9" s="193">
        <f t="shared" si="8"/>
        <v>8301.7341040462434</v>
      </c>
      <c r="O9" s="21">
        <f t="shared" si="2"/>
        <v>531.30000000000007</v>
      </c>
      <c r="P9" s="22">
        <f t="shared" si="3"/>
        <v>16.113871357593663</v>
      </c>
      <c r="R9" s="24" t="s">
        <v>124</v>
      </c>
      <c r="S9" s="24">
        <v>51.9</v>
      </c>
      <c r="T9" s="24">
        <f t="shared" si="9"/>
        <v>17.839999999999996</v>
      </c>
      <c r="U9" s="25">
        <v>49.9</v>
      </c>
      <c r="V9" s="25">
        <f t="shared" si="10"/>
        <v>15.839999999999996</v>
      </c>
      <c r="W9" s="26">
        <f t="shared" si="11"/>
        <v>11.210762331838566</v>
      </c>
      <c r="Y9" s="24" t="s">
        <v>124</v>
      </c>
      <c r="Z9" s="24">
        <f t="shared" si="12"/>
        <v>735.6</v>
      </c>
      <c r="AA9" s="21">
        <f t="shared" si="13"/>
        <v>724.6400000000001</v>
      </c>
      <c r="AB9" s="29">
        <f t="shared" si="14"/>
        <v>7246.4000000000005</v>
      </c>
      <c r="AE9" s="28">
        <f t="shared" si="15"/>
        <v>37.844819999999999</v>
      </c>
    </row>
    <row r="10" spans="1:31">
      <c r="B10" s="21" t="s">
        <v>130</v>
      </c>
      <c r="C10" s="21">
        <v>681</v>
      </c>
      <c r="D10" s="21">
        <v>575</v>
      </c>
      <c r="E10" s="21">
        <v>722</v>
      </c>
      <c r="F10" s="21">
        <v>592</v>
      </c>
      <c r="G10" s="21">
        <f t="shared" si="4"/>
        <v>1403</v>
      </c>
      <c r="H10" s="21">
        <f t="shared" si="0"/>
        <v>1318.4</v>
      </c>
      <c r="I10" s="21">
        <f t="shared" si="5"/>
        <v>1167</v>
      </c>
      <c r="J10" s="21">
        <f t="shared" si="1"/>
        <v>1082.4000000000001</v>
      </c>
      <c r="K10" s="21">
        <v>583.6</v>
      </c>
      <c r="L10" s="21">
        <f t="shared" si="6"/>
        <v>564.20000000000005</v>
      </c>
      <c r="M10" s="193">
        <f t="shared" si="7"/>
        <v>652.25433526011568</v>
      </c>
      <c r="N10" s="193">
        <f t="shared" si="8"/>
        <v>6522.5433526011566</v>
      </c>
      <c r="O10" s="21">
        <f t="shared" si="2"/>
        <v>518.20000000000005</v>
      </c>
      <c r="P10" s="22">
        <f t="shared" si="3"/>
        <v>17.900485436893202</v>
      </c>
      <c r="R10" s="24" t="s">
        <v>127</v>
      </c>
      <c r="S10" s="24">
        <v>59.4</v>
      </c>
      <c r="T10" s="24">
        <f t="shared" si="9"/>
        <v>25.339999999999996</v>
      </c>
      <c r="U10" s="25">
        <v>57</v>
      </c>
      <c r="V10" s="25">
        <f t="shared" si="10"/>
        <v>22.939999999999998</v>
      </c>
      <c r="W10" s="26">
        <f t="shared" si="11"/>
        <v>9.4711917916337764</v>
      </c>
      <c r="Y10" s="24" t="s">
        <v>127</v>
      </c>
      <c r="Z10" s="24">
        <f t="shared" si="12"/>
        <v>718.1</v>
      </c>
      <c r="AA10" s="21">
        <f t="shared" si="13"/>
        <v>554.24</v>
      </c>
      <c r="AB10" s="29">
        <f t="shared" si="14"/>
        <v>5542.4</v>
      </c>
      <c r="AE10" s="28">
        <f t="shared" si="15"/>
        <v>18.785519999999995</v>
      </c>
    </row>
    <row r="11" spans="1:31">
      <c r="B11" s="21" t="s">
        <v>133</v>
      </c>
      <c r="C11" s="21">
        <v>741</v>
      </c>
      <c r="D11" s="21">
        <v>621</v>
      </c>
      <c r="E11" s="21">
        <v>767</v>
      </c>
      <c r="F11" s="21">
        <v>645</v>
      </c>
      <c r="G11" s="21">
        <f t="shared" si="4"/>
        <v>1508</v>
      </c>
      <c r="H11" s="21">
        <f t="shared" si="0"/>
        <v>1423.4</v>
      </c>
      <c r="I11" s="21">
        <f t="shared" si="5"/>
        <v>1266</v>
      </c>
      <c r="J11" s="21">
        <f t="shared" si="1"/>
        <v>1181.4000000000001</v>
      </c>
      <c r="K11" s="21">
        <v>651.9</v>
      </c>
      <c r="L11" s="21">
        <f t="shared" si="6"/>
        <v>632.5</v>
      </c>
      <c r="M11" s="193">
        <f t="shared" si="7"/>
        <v>731.21387283236993</v>
      </c>
      <c r="N11" s="193">
        <f t="shared" si="8"/>
        <v>7312.1387283236991</v>
      </c>
      <c r="O11" s="21">
        <f t="shared" si="2"/>
        <v>548.90000000000009</v>
      </c>
      <c r="P11" s="22">
        <f t="shared" si="3"/>
        <v>17.001545595054097</v>
      </c>
      <c r="R11" s="24" t="s">
        <v>130</v>
      </c>
      <c r="S11" s="24">
        <v>74.2</v>
      </c>
      <c r="T11" s="24">
        <f t="shared" si="9"/>
        <v>40.14</v>
      </c>
      <c r="U11" s="25">
        <v>70.599999999999994</v>
      </c>
      <c r="V11" s="25">
        <f t="shared" si="10"/>
        <v>36.539999999999992</v>
      </c>
      <c r="W11" s="26">
        <f t="shared" si="11"/>
        <v>8.9686098654708744</v>
      </c>
      <c r="Y11" s="24" t="s">
        <v>130</v>
      </c>
      <c r="Z11" s="24">
        <f t="shared" si="12"/>
        <v>564.20000000000005</v>
      </c>
      <c r="AA11" s="21">
        <f t="shared" si="13"/>
        <v>554.74</v>
      </c>
      <c r="AB11" s="29">
        <f t="shared" si="14"/>
        <v>5547.4</v>
      </c>
      <c r="AE11" s="28">
        <f t="shared" si="15"/>
        <v>26.683019999999996</v>
      </c>
    </row>
    <row r="12" spans="1:31">
      <c r="B12" s="21" t="s">
        <v>136</v>
      </c>
      <c r="C12" s="21">
        <v>860</v>
      </c>
      <c r="D12" s="21">
        <v>712</v>
      </c>
      <c r="E12" s="21">
        <v>882</v>
      </c>
      <c r="F12" s="21">
        <v>734</v>
      </c>
      <c r="G12" s="21">
        <f t="shared" si="4"/>
        <v>1742</v>
      </c>
      <c r="H12" s="21">
        <f t="shared" si="0"/>
        <v>1657.4</v>
      </c>
      <c r="I12" s="21">
        <f t="shared" si="5"/>
        <v>1446</v>
      </c>
      <c r="J12" s="21">
        <f t="shared" si="1"/>
        <v>1361.4</v>
      </c>
      <c r="K12" s="21">
        <v>775.3</v>
      </c>
      <c r="L12" s="21">
        <f t="shared" si="6"/>
        <v>755.9</v>
      </c>
      <c r="M12" s="193">
        <f t="shared" si="7"/>
        <v>873.87283236994222</v>
      </c>
      <c r="N12" s="193">
        <f t="shared" si="8"/>
        <v>8738.7283236994208</v>
      </c>
      <c r="O12" s="21">
        <f t="shared" si="2"/>
        <v>605.50000000000011</v>
      </c>
      <c r="P12" s="22">
        <f t="shared" si="3"/>
        <v>17.859297695185226</v>
      </c>
      <c r="R12" s="24" t="s">
        <v>133</v>
      </c>
      <c r="S12" s="24">
        <v>68.7</v>
      </c>
      <c r="T12" s="24">
        <f t="shared" si="9"/>
        <v>34.64</v>
      </c>
      <c r="U12" s="25">
        <v>65.599999999999994</v>
      </c>
      <c r="V12" s="25">
        <f t="shared" si="10"/>
        <v>31.539999999999992</v>
      </c>
      <c r="W12" s="26">
        <f t="shared" si="11"/>
        <v>8.9491916859122647</v>
      </c>
      <c r="Y12" s="24" t="s">
        <v>133</v>
      </c>
      <c r="Z12" s="24">
        <f t="shared" si="12"/>
        <v>632.5</v>
      </c>
      <c r="AA12" s="21">
        <f t="shared" si="13"/>
        <v>580.44000000000005</v>
      </c>
      <c r="AB12" s="29">
        <f t="shared" si="14"/>
        <v>5804.4000000000005</v>
      </c>
      <c r="AE12" s="28">
        <f t="shared" si="15"/>
        <v>42.267420000000001</v>
      </c>
    </row>
    <row r="13" spans="1:31" ht="18.5">
      <c r="B13" s="30" t="s">
        <v>512</v>
      </c>
      <c r="C13" s="14"/>
      <c r="D13" s="14"/>
      <c r="E13" s="14"/>
      <c r="F13" s="14"/>
      <c r="G13" s="31"/>
      <c r="H13" s="32"/>
      <c r="I13" s="31"/>
      <c r="J13" s="32"/>
      <c r="K13" s="32"/>
      <c r="L13" s="32">
        <f>AVERAGE(L4:L12)</f>
        <v>673.12222222222215</v>
      </c>
      <c r="M13" s="32">
        <f t="shared" ref="M13:P13" si="16">AVERAGE(M4:M12)</f>
        <v>778.17597944765589</v>
      </c>
      <c r="N13" s="32">
        <f>AVERAGE(N4:N12)</f>
        <v>7781.7597944765566</v>
      </c>
      <c r="O13" s="32">
        <f t="shared" si="16"/>
        <v>628.5</v>
      </c>
      <c r="P13" s="33">
        <f t="shared" si="16"/>
        <v>16.644732618151252</v>
      </c>
      <c r="R13" s="24" t="s">
        <v>136</v>
      </c>
      <c r="S13" s="24">
        <v>55.2</v>
      </c>
      <c r="T13" s="24">
        <f t="shared" si="9"/>
        <v>21.14</v>
      </c>
      <c r="U13" s="25">
        <v>52.1</v>
      </c>
      <c r="V13" s="25">
        <f t="shared" si="10"/>
        <v>18.04</v>
      </c>
      <c r="W13" s="26">
        <f t="shared" si="11"/>
        <v>14.664143803216657</v>
      </c>
      <c r="Y13" s="24" t="s">
        <v>136</v>
      </c>
      <c r="Z13" s="24">
        <f t="shared" si="12"/>
        <v>755.9</v>
      </c>
      <c r="AA13" s="21">
        <f t="shared" si="13"/>
        <v>623.54000000000008</v>
      </c>
      <c r="AB13" s="29">
        <f t="shared" si="14"/>
        <v>6235.4000000000005</v>
      </c>
      <c r="AE13" s="28">
        <f t="shared" si="15"/>
        <v>36.475919999999995</v>
      </c>
    </row>
    <row r="14" spans="1:31" ht="18.5">
      <c r="B14" s="30" t="s">
        <v>513</v>
      </c>
      <c r="C14" s="14"/>
      <c r="D14" s="14"/>
      <c r="E14" s="14"/>
      <c r="F14" s="14"/>
      <c r="G14" s="31"/>
      <c r="H14" s="32"/>
      <c r="I14" s="31"/>
      <c r="J14" s="32"/>
      <c r="K14" s="32"/>
      <c r="L14" s="32">
        <f t="shared" ref="L14:P14" si="17">_xlfn.STDEV.P(L4:L12)/SQRT(9)</f>
        <v>22.849652334269567</v>
      </c>
      <c r="M14" s="32">
        <f t="shared" si="17"/>
        <v>26.415783045397735</v>
      </c>
      <c r="N14" s="32">
        <f>STDEV(N4:N12)</f>
        <v>840.54506947891389</v>
      </c>
      <c r="O14" s="32">
        <f t="shared" si="17"/>
        <v>28.524990126701212</v>
      </c>
      <c r="P14" s="33">
        <f t="shared" si="17"/>
        <v>0.31453078430837428</v>
      </c>
      <c r="R14" s="34" t="s">
        <v>512</v>
      </c>
      <c r="S14" s="35"/>
      <c r="T14" s="36"/>
      <c r="U14" s="35"/>
      <c r="V14" s="35">
        <f>AVERAGE(V5:V13)</f>
        <v>26.484444444444438</v>
      </c>
      <c r="W14" s="35">
        <f>AVERAGE(W5:W13)</f>
        <v>10.860822960776526</v>
      </c>
      <c r="Y14" s="24" t="s">
        <v>139</v>
      </c>
      <c r="Z14" s="24">
        <f t="shared" ref="Z14:Z22" si="18">L18</f>
        <v>579.5</v>
      </c>
      <c r="AA14" s="21">
        <f t="shared" ref="AA14:AA22" si="19">O18+V19</f>
        <v>588.04000000000008</v>
      </c>
      <c r="AB14" s="29">
        <f t="shared" si="14"/>
        <v>5880.4000000000005</v>
      </c>
      <c r="AE14" s="28">
        <f t="shared" si="15"/>
        <v>22.26042</v>
      </c>
    </row>
    <row r="15" spans="1:31" ht="18.5">
      <c r="B15" s="14"/>
      <c r="C15" s="14"/>
      <c r="D15" s="14"/>
      <c r="E15" s="14"/>
      <c r="F15" s="14"/>
      <c r="G15" s="14"/>
      <c r="R15" s="34" t="s">
        <v>513</v>
      </c>
      <c r="S15" s="35"/>
      <c r="T15" s="36"/>
      <c r="U15" s="35"/>
      <c r="V15" s="35">
        <f>_xlfn.STDEV.P(V5:V13)/SQRT(9)</f>
        <v>2.9930417704703891</v>
      </c>
      <c r="W15" s="35">
        <f>_xlfn.STDEV.P(W5:W13)/SQRT(9)</f>
        <v>0.62239170917743314</v>
      </c>
      <c r="Y15" s="24" t="s">
        <v>142</v>
      </c>
      <c r="Z15" s="24">
        <f t="shared" si="18"/>
        <v>571.9</v>
      </c>
      <c r="AA15" s="21">
        <f t="shared" si="19"/>
        <v>736.74000000000012</v>
      </c>
      <c r="AB15" s="29">
        <f t="shared" si="14"/>
        <v>7367.4000000000015</v>
      </c>
      <c r="AE15" s="28">
        <f t="shared" ref="AE15:AE23" si="20">T19*1.071</f>
        <v>103.92983999999998</v>
      </c>
    </row>
    <row r="16" spans="1:31" ht="24">
      <c r="B16" s="188"/>
      <c r="C16" s="297" t="s">
        <v>489</v>
      </c>
      <c r="D16" s="297"/>
      <c r="E16" s="297" t="s">
        <v>489</v>
      </c>
      <c r="F16" s="297"/>
      <c r="G16" s="188" t="s">
        <v>490</v>
      </c>
      <c r="H16" s="188"/>
      <c r="I16" s="188" t="s">
        <v>490</v>
      </c>
      <c r="J16" s="188"/>
      <c r="K16" s="188"/>
      <c r="L16" s="18" t="s">
        <v>491</v>
      </c>
      <c r="M16" t="s">
        <v>491</v>
      </c>
      <c r="N16" t="s">
        <v>492</v>
      </c>
      <c r="Y16" s="24" t="s">
        <v>145</v>
      </c>
      <c r="Z16" s="24">
        <f t="shared" si="18"/>
        <v>745.5</v>
      </c>
      <c r="AA16" s="21">
        <f t="shared" si="19"/>
        <v>643.24000000000012</v>
      </c>
      <c r="AB16" s="29">
        <f t="shared" si="14"/>
        <v>6432.4000000000015</v>
      </c>
      <c r="AE16" s="28">
        <f t="shared" si="20"/>
        <v>96.754139999999992</v>
      </c>
    </row>
    <row r="17" spans="2:31" ht="18.5">
      <c r="B17" s="19" t="s">
        <v>494</v>
      </c>
      <c r="C17" s="19" t="s">
        <v>495</v>
      </c>
      <c r="D17" s="19" t="s">
        <v>496</v>
      </c>
      <c r="E17" s="19" t="s">
        <v>495</v>
      </c>
      <c r="F17" s="19" t="s">
        <v>496</v>
      </c>
      <c r="G17" s="19" t="s">
        <v>495</v>
      </c>
      <c r="H17" s="20" t="s">
        <v>497</v>
      </c>
      <c r="I17" s="20" t="s">
        <v>496</v>
      </c>
      <c r="J17" s="20" t="s">
        <v>514</v>
      </c>
      <c r="K17" s="20" t="s">
        <v>499</v>
      </c>
      <c r="L17" s="20" t="s">
        <v>500</v>
      </c>
      <c r="M17" s="194" t="s">
        <v>515</v>
      </c>
      <c r="N17" s="194" t="s">
        <v>502</v>
      </c>
      <c r="O17" s="20" t="s">
        <v>503</v>
      </c>
      <c r="P17" s="20" t="s">
        <v>504</v>
      </c>
      <c r="R17" s="17"/>
      <c r="S17" s="294" t="s">
        <v>505</v>
      </c>
      <c r="T17" s="295"/>
      <c r="U17" s="295"/>
      <c r="V17" s="295"/>
      <c r="W17" s="296"/>
      <c r="Y17" s="24" t="s">
        <v>148</v>
      </c>
      <c r="Z17" s="24">
        <f t="shared" si="18"/>
        <v>628.70000000000005</v>
      </c>
      <c r="AA17" s="21">
        <f t="shared" si="19"/>
        <v>660.04000000000008</v>
      </c>
      <c r="AB17" s="29">
        <f t="shared" si="14"/>
        <v>6600.4000000000005</v>
      </c>
      <c r="AE17" s="28">
        <f t="shared" si="20"/>
        <v>68.051339999999982</v>
      </c>
    </row>
    <row r="18" spans="2:31">
      <c r="B18" s="21" t="s">
        <v>139</v>
      </c>
      <c r="C18" s="21">
        <v>726</v>
      </c>
      <c r="D18" s="21">
        <v>606</v>
      </c>
      <c r="E18" s="21">
        <v>664</v>
      </c>
      <c r="F18" s="21">
        <v>556</v>
      </c>
      <c r="G18" s="21">
        <f>C18+E18</f>
        <v>1390</v>
      </c>
      <c r="H18" s="21">
        <f t="shared" ref="H18:H26" si="21">G18-$Q$1-$Q$1</f>
        <v>1305.4000000000001</v>
      </c>
      <c r="I18" s="21">
        <f>D18+F18</f>
        <v>1162</v>
      </c>
      <c r="J18" s="21">
        <f t="shared" ref="J18:J26" si="22">I18-$Q$1-$Q$1</f>
        <v>1077.4000000000001</v>
      </c>
      <c r="K18" s="21">
        <v>598.9</v>
      </c>
      <c r="L18" s="21">
        <f t="shared" ref="L18:L26" si="23">K18-$K$1</f>
        <v>579.5</v>
      </c>
      <c r="M18" s="193">
        <f>L18/0.865</f>
        <v>669.94219653179186</v>
      </c>
      <c r="N18" s="193">
        <f>((M18/1000)/(1/10000))</f>
        <v>6699.4219653179189</v>
      </c>
      <c r="O18" s="21">
        <f t="shared" ref="O18:O26" si="24">J18-L18</f>
        <v>497.90000000000009</v>
      </c>
      <c r="P18" s="22">
        <f t="shared" ref="P18:P26" si="25">((H18-J18)/H18)*100</f>
        <v>17.465910831928909</v>
      </c>
      <c r="R18" s="53" t="s">
        <v>494</v>
      </c>
      <c r="S18" s="53" t="s">
        <v>506</v>
      </c>
      <c r="T18" s="20" t="s">
        <v>497</v>
      </c>
      <c r="U18" s="23" t="s">
        <v>507</v>
      </c>
      <c r="V18" s="23" t="s">
        <v>508</v>
      </c>
      <c r="W18" s="20" t="s">
        <v>504</v>
      </c>
      <c r="Y18" s="24" t="s">
        <v>151</v>
      </c>
      <c r="Z18" s="24">
        <f t="shared" si="18"/>
        <v>760.80000000000007</v>
      </c>
      <c r="AA18" s="21">
        <f t="shared" si="19"/>
        <v>754.14</v>
      </c>
      <c r="AB18" s="29">
        <f t="shared" si="14"/>
        <v>7541.4</v>
      </c>
      <c r="AE18" s="28">
        <f t="shared" si="20"/>
        <v>74.048940000000002</v>
      </c>
    </row>
    <row r="19" spans="2:31">
      <c r="B19" s="21" t="s">
        <v>142</v>
      </c>
      <c r="C19" s="21">
        <v>877</v>
      </c>
      <c r="D19" s="21">
        <v>730</v>
      </c>
      <c r="E19" s="21">
        <v>688</v>
      </c>
      <c r="F19" s="21">
        <v>580</v>
      </c>
      <c r="G19" s="21">
        <f t="shared" si="4"/>
        <v>1565</v>
      </c>
      <c r="H19" s="21">
        <f t="shared" si="21"/>
        <v>1480.4</v>
      </c>
      <c r="I19" s="21">
        <f t="shared" ref="I19:I26" si="26">D19+F19</f>
        <v>1310</v>
      </c>
      <c r="J19" s="21">
        <f t="shared" si="22"/>
        <v>1225.4000000000001</v>
      </c>
      <c r="K19" s="21">
        <v>591.29999999999995</v>
      </c>
      <c r="L19" s="21">
        <f t="shared" si="23"/>
        <v>571.9</v>
      </c>
      <c r="M19" s="193">
        <f t="shared" ref="M19:M26" si="27">L19/0.865</f>
        <v>661.15606936416179</v>
      </c>
      <c r="N19" s="193">
        <f t="shared" ref="N19:N26" si="28">((M19/1000)/(1/10000))</f>
        <v>6611.5606936416179</v>
      </c>
      <c r="O19" s="21">
        <f t="shared" si="24"/>
        <v>653.50000000000011</v>
      </c>
      <c r="P19" s="22">
        <f t="shared" si="25"/>
        <v>17.225074304242096</v>
      </c>
      <c r="R19" s="24" t="s">
        <v>139</v>
      </c>
      <c r="S19" s="24">
        <v>131.1</v>
      </c>
      <c r="T19" s="24">
        <f t="shared" ref="T19:T27" si="29">S19-$Q$2</f>
        <v>97.039999999999992</v>
      </c>
      <c r="U19" s="25">
        <v>124.2</v>
      </c>
      <c r="V19" s="25">
        <f t="shared" ref="V19:V27" si="30">U19-$Q$2</f>
        <v>90.14</v>
      </c>
      <c r="W19" s="26">
        <f>((T19-V19)/T19)*100</f>
        <v>7.1104699093157375</v>
      </c>
      <c r="Y19" s="24" t="s">
        <v>154</v>
      </c>
      <c r="Z19" s="24">
        <f t="shared" si="18"/>
        <v>654.9</v>
      </c>
      <c r="AA19" s="21">
        <f t="shared" si="19"/>
        <v>677.1400000000001</v>
      </c>
      <c r="AB19" s="29">
        <f t="shared" si="14"/>
        <v>6771.4000000000005</v>
      </c>
      <c r="AE19" s="28">
        <f t="shared" si="20"/>
        <v>65.159639999999996</v>
      </c>
    </row>
    <row r="20" spans="2:31">
      <c r="B20" s="21" t="s">
        <v>145</v>
      </c>
      <c r="C20" s="21">
        <v>778</v>
      </c>
      <c r="D20" s="21">
        <v>660</v>
      </c>
      <c r="E20" s="21">
        <v>898</v>
      </c>
      <c r="F20" s="21">
        <v>761</v>
      </c>
      <c r="G20" s="21">
        <f t="shared" si="4"/>
        <v>1676</v>
      </c>
      <c r="H20" s="21">
        <f t="shared" si="21"/>
        <v>1591.4</v>
      </c>
      <c r="I20" s="21">
        <f t="shared" si="26"/>
        <v>1421</v>
      </c>
      <c r="J20" s="21">
        <f t="shared" si="22"/>
        <v>1336.4</v>
      </c>
      <c r="K20" s="21">
        <v>764.9</v>
      </c>
      <c r="L20" s="21">
        <f t="shared" si="23"/>
        <v>745.5</v>
      </c>
      <c r="M20" s="193">
        <f t="shared" si="27"/>
        <v>861.84971098265896</v>
      </c>
      <c r="N20" s="193">
        <f t="shared" si="28"/>
        <v>8618.4971098265887</v>
      </c>
      <c r="O20" s="21">
        <f t="shared" si="24"/>
        <v>590.90000000000009</v>
      </c>
      <c r="P20" s="22">
        <f t="shared" si="25"/>
        <v>16.023626995098656</v>
      </c>
      <c r="R20" s="24" t="s">
        <v>142</v>
      </c>
      <c r="S20" s="24">
        <v>124.4</v>
      </c>
      <c r="T20" s="24">
        <f t="shared" si="29"/>
        <v>90.34</v>
      </c>
      <c r="U20" s="25">
        <v>117.3</v>
      </c>
      <c r="V20" s="25">
        <f t="shared" si="30"/>
        <v>83.24</v>
      </c>
      <c r="W20" s="26">
        <f>((T20-V20)/T20)*100</f>
        <v>7.8591985831304054</v>
      </c>
      <c r="Y20" s="24" t="s">
        <v>157</v>
      </c>
      <c r="Z20" s="24">
        <f t="shared" si="18"/>
        <v>451.90000000000003</v>
      </c>
      <c r="AA20" s="21">
        <f t="shared" si="19"/>
        <v>515.74</v>
      </c>
      <c r="AB20" s="29">
        <f t="shared" si="14"/>
        <v>5157.3999999999996</v>
      </c>
      <c r="AE20" s="28">
        <f t="shared" si="20"/>
        <v>85.187339999999992</v>
      </c>
    </row>
    <row r="21" spans="2:31">
      <c r="B21" s="21" t="s">
        <v>148</v>
      </c>
      <c r="C21" s="21">
        <v>755</v>
      </c>
      <c r="D21" s="21">
        <v>636</v>
      </c>
      <c r="E21" s="21">
        <v>795</v>
      </c>
      <c r="F21" s="21">
        <v>673</v>
      </c>
      <c r="G21" s="21">
        <f t="shared" si="4"/>
        <v>1550</v>
      </c>
      <c r="H21" s="21">
        <f t="shared" si="21"/>
        <v>1465.4</v>
      </c>
      <c r="I21" s="21">
        <f t="shared" si="26"/>
        <v>1309</v>
      </c>
      <c r="J21" s="21">
        <f t="shared" si="22"/>
        <v>1224.4000000000001</v>
      </c>
      <c r="K21" s="21">
        <v>648.1</v>
      </c>
      <c r="L21" s="21">
        <f t="shared" si="23"/>
        <v>628.70000000000005</v>
      </c>
      <c r="M21" s="193">
        <f t="shared" si="27"/>
        <v>726.82080924855495</v>
      </c>
      <c r="N21" s="193">
        <f t="shared" si="28"/>
        <v>7268.2080924855491</v>
      </c>
      <c r="O21" s="21">
        <f t="shared" si="24"/>
        <v>595.70000000000005</v>
      </c>
      <c r="P21" s="22">
        <f t="shared" si="25"/>
        <v>16.446021564078066</v>
      </c>
      <c r="R21" s="24" t="s">
        <v>145</v>
      </c>
      <c r="S21" s="24">
        <v>97.6</v>
      </c>
      <c r="T21" s="24">
        <f t="shared" si="29"/>
        <v>63.539999999999992</v>
      </c>
      <c r="U21" s="25">
        <v>86.4</v>
      </c>
      <c r="V21" s="25">
        <f t="shared" si="30"/>
        <v>52.34</v>
      </c>
      <c r="W21" s="26">
        <f t="shared" ref="W21:W27" si="31">((T21-V21)/T21)*100</f>
        <v>17.626691847655003</v>
      </c>
      <c r="Y21" s="24" t="s">
        <v>160</v>
      </c>
      <c r="Z21" s="24">
        <f t="shared" si="18"/>
        <v>665</v>
      </c>
      <c r="AA21" s="21">
        <f t="shared" si="19"/>
        <v>687.24000000000012</v>
      </c>
      <c r="AB21" s="29">
        <f t="shared" si="14"/>
        <v>6872.4000000000005</v>
      </c>
      <c r="AE21" s="28">
        <f t="shared" si="20"/>
        <v>83.366640000000004</v>
      </c>
    </row>
    <row r="22" spans="2:31">
      <c r="B22" s="21" t="s">
        <v>151</v>
      </c>
      <c r="C22" s="21">
        <v>988</v>
      </c>
      <c r="D22" s="21">
        <v>832</v>
      </c>
      <c r="E22" s="21">
        <v>848</v>
      </c>
      <c r="F22" s="21">
        <v>712</v>
      </c>
      <c r="G22" s="21">
        <f t="shared" si="4"/>
        <v>1836</v>
      </c>
      <c r="H22" s="21">
        <f t="shared" si="21"/>
        <v>1751.4</v>
      </c>
      <c r="I22" s="21">
        <f t="shared" si="26"/>
        <v>1544</v>
      </c>
      <c r="J22" s="21">
        <f t="shared" si="22"/>
        <v>1459.4</v>
      </c>
      <c r="K22" s="21">
        <v>780.2</v>
      </c>
      <c r="L22" s="21">
        <f t="shared" si="23"/>
        <v>760.80000000000007</v>
      </c>
      <c r="M22" s="193">
        <f t="shared" si="27"/>
        <v>879.53757225433537</v>
      </c>
      <c r="N22" s="193">
        <f t="shared" si="28"/>
        <v>8795.3757225433528</v>
      </c>
      <c r="O22" s="21">
        <f t="shared" si="24"/>
        <v>698.6</v>
      </c>
      <c r="P22" s="22">
        <f t="shared" si="25"/>
        <v>16.672376384606601</v>
      </c>
      <c r="R22" s="24" t="s">
        <v>148</v>
      </c>
      <c r="S22" s="24">
        <v>103.2</v>
      </c>
      <c r="T22" s="24">
        <f t="shared" si="29"/>
        <v>69.14</v>
      </c>
      <c r="U22" s="25">
        <v>98.4</v>
      </c>
      <c r="V22" s="25">
        <f t="shared" si="30"/>
        <v>64.34</v>
      </c>
      <c r="W22" s="26">
        <f t="shared" si="31"/>
        <v>6.9424356378362697</v>
      </c>
      <c r="Y22" s="24" t="s">
        <v>163</v>
      </c>
      <c r="Z22" s="24">
        <f t="shared" si="18"/>
        <v>618.9</v>
      </c>
      <c r="AA22" s="21">
        <f t="shared" si="19"/>
        <v>601.34000000000015</v>
      </c>
      <c r="AB22" s="29">
        <f t="shared" si="14"/>
        <v>6013.4000000000005</v>
      </c>
      <c r="AE22" s="28">
        <f t="shared" si="20"/>
        <v>87.650639999999996</v>
      </c>
    </row>
    <row r="23" spans="2:31">
      <c r="B23" s="21" t="s">
        <v>154</v>
      </c>
      <c r="C23" s="21">
        <v>843</v>
      </c>
      <c r="D23" s="21">
        <v>715</v>
      </c>
      <c r="E23" s="21">
        <v>793</v>
      </c>
      <c r="F23" s="21">
        <v>628</v>
      </c>
      <c r="G23" s="21">
        <f t="shared" si="4"/>
        <v>1636</v>
      </c>
      <c r="H23" s="21">
        <f t="shared" si="21"/>
        <v>1551.4</v>
      </c>
      <c r="I23" s="21">
        <f t="shared" si="26"/>
        <v>1343</v>
      </c>
      <c r="J23" s="21">
        <f t="shared" si="22"/>
        <v>1258.4000000000001</v>
      </c>
      <c r="K23" s="21">
        <v>674.3</v>
      </c>
      <c r="L23" s="21">
        <f t="shared" si="23"/>
        <v>654.9</v>
      </c>
      <c r="M23" s="193">
        <f t="shared" si="27"/>
        <v>757.1098265895954</v>
      </c>
      <c r="N23" s="193">
        <f t="shared" si="28"/>
        <v>7571.0982658959529</v>
      </c>
      <c r="O23" s="21">
        <f t="shared" si="24"/>
        <v>603.50000000000011</v>
      </c>
      <c r="P23" s="22">
        <f t="shared" si="25"/>
        <v>18.886167332731727</v>
      </c>
      <c r="R23" s="24" t="s">
        <v>151</v>
      </c>
      <c r="S23" s="24">
        <v>94.9</v>
      </c>
      <c r="T23" s="24">
        <f t="shared" si="29"/>
        <v>60.84</v>
      </c>
      <c r="U23" s="25">
        <v>89.6</v>
      </c>
      <c r="V23" s="25">
        <f t="shared" si="30"/>
        <v>55.539999999999992</v>
      </c>
      <c r="W23" s="26">
        <f t="shared" si="31"/>
        <v>8.7113740959894983</v>
      </c>
      <c r="Y23" s="191" t="s">
        <v>516</v>
      </c>
      <c r="Z23" s="192">
        <f>AVERAGE(Z5:Z22)</f>
        <v>651.95555555555541</v>
      </c>
      <c r="AA23" s="192">
        <f>AVERAGE(AA5:AA22)</f>
        <v>653.25111111111107</v>
      </c>
      <c r="AB23">
        <f>AVERAGE(AB5:AB22)</f>
        <v>6532.51111111111</v>
      </c>
      <c r="AE23" s="28">
        <f t="shared" si="20"/>
        <v>71.585639999999998</v>
      </c>
    </row>
    <row r="24" spans="2:31">
      <c r="B24" s="21" t="s">
        <v>157</v>
      </c>
      <c r="C24" s="21">
        <v>537</v>
      </c>
      <c r="D24" s="21">
        <v>461</v>
      </c>
      <c r="E24" s="21">
        <v>614</v>
      </c>
      <c r="F24" s="21">
        <v>520</v>
      </c>
      <c r="G24" s="21">
        <f t="shared" si="4"/>
        <v>1151</v>
      </c>
      <c r="H24" s="21">
        <f t="shared" si="21"/>
        <v>1066.4000000000001</v>
      </c>
      <c r="I24" s="21">
        <f t="shared" si="26"/>
        <v>981</v>
      </c>
      <c r="J24" s="21">
        <f t="shared" si="22"/>
        <v>896.40000000000009</v>
      </c>
      <c r="K24" s="21">
        <v>471.3</v>
      </c>
      <c r="L24" s="21">
        <f t="shared" si="23"/>
        <v>451.90000000000003</v>
      </c>
      <c r="M24" s="193">
        <f t="shared" si="27"/>
        <v>522.42774566473997</v>
      </c>
      <c r="N24" s="193">
        <f t="shared" si="28"/>
        <v>5224.277456647399</v>
      </c>
      <c r="O24" s="21">
        <f t="shared" si="24"/>
        <v>444.50000000000006</v>
      </c>
      <c r="P24" s="22">
        <f t="shared" si="25"/>
        <v>15.941485371342834</v>
      </c>
      <c r="R24" s="24" t="s">
        <v>154</v>
      </c>
      <c r="S24" s="24">
        <v>113.6</v>
      </c>
      <c r="T24" s="24">
        <f t="shared" si="29"/>
        <v>79.539999999999992</v>
      </c>
      <c r="U24" s="25">
        <v>107.7</v>
      </c>
      <c r="V24" s="25">
        <f t="shared" si="30"/>
        <v>73.64</v>
      </c>
      <c r="W24" s="26">
        <f t="shared" si="31"/>
        <v>7.4176514961025797</v>
      </c>
      <c r="Y24" s="191" t="s">
        <v>517</v>
      </c>
      <c r="Z24" s="192">
        <f>_xlfn.STDEV.P(Z5:Z22)/SQRT(18)</f>
        <v>19.278162375642346</v>
      </c>
      <c r="AA24" s="192">
        <f>_xlfn.STDEV.P(AA5:AA22)/SQRT(18)</f>
        <v>18.146743898808744</v>
      </c>
    </row>
    <row r="25" spans="2:31">
      <c r="B25" s="21" t="s">
        <v>160</v>
      </c>
      <c r="C25" s="21">
        <v>908</v>
      </c>
      <c r="D25" s="21">
        <v>768</v>
      </c>
      <c r="E25" s="21">
        <v>700</v>
      </c>
      <c r="F25" s="21">
        <v>594</v>
      </c>
      <c r="G25" s="21">
        <f t="shared" si="4"/>
        <v>1608</v>
      </c>
      <c r="H25" s="21">
        <f t="shared" si="21"/>
        <v>1523.4</v>
      </c>
      <c r="I25" s="21">
        <f t="shared" si="26"/>
        <v>1362</v>
      </c>
      <c r="J25" s="21">
        <f t="shared" si="22"/>
        <v>1277.4000000000001</v>
      </c>
      <c r="K25" s="21">
        <v>684.4</v>
      </c>
      <c r="L25" s="21">
        <f t="shared" si="23"/>
        <v>665</v>
      </c>
      <c r="M25" s="193">
        <f t="shared" si="27"/>
        <v>768.78612716763007</v>
      </c>
      <c r="N25" s="193">
        <f t="shared" si="28"/>
        <v>7687.8612716763</v>
      </c>
      <c r="O25" s="21">
        <f t="shared" si="24"/>
        <v>612.40000000000009</v>
      </c>
      <c r="P25" s="22">
        <f t="shared" si="25"/>
        <v>16.148089799133515</v>
      </c>
      <c r="R25" s="24" t="s">
        <v>157</v>
      </c>
      <c r="S25" s="24">
        <v>111.9</v>
      </c>
      <c r="T25" s="24">
        <f t="shared" si="29"/>
        <v>77.84</v>
      </c>
      <c r="U25" s="25">
        <v>105.3</v>
      </c>
      <c r="V25" s="25">
        <f t="shared" si="30"/>
        <v>71.239999999999995</v>
      </c>
      <c r="W25" s="26">
        <f t="shared" si="31"/>
        <v>8.4789311408016541</v>
      </c>
      <c r="Y25" s="191" t="s">
        <v>518</v>
      </c>
      <c r="Z25" s="192">
        <f>STDEV(Z5:Z22)</f>
        <v>84.161540903910094</v>
      </c>
      <c r="AA25" s="192">
        <f>STDEV(AA5:AA22)</f>
        <v>79.222173729692969</v>
      </c>
      <c r="AB25">
        <f>STDEV(AB5:AB22)</f>
        <v>792.22173729693918</v>
      </c>
    </row>
    <row r="26" spans="2:31">
      <c r="B26" s="21" t="s">
        <v>163</v>
      </c>
      <c r="C26" s="21">
        <v>685</v>
      </c>
      <c r="D26" s="21">
        <v>592</v>
      </c>
      <c r="E26" s="21">
        <v>785</v>
      </c>
      <c r="F26" s="21">
        <v>653</v>
      </c>
      <c r="G26" s="21">
        <f t="shared" si="4"/>
        <v>1470</v>
      </c>
      <c r="H26" s="21">
        <f t="shared" si="21"/>
        <v>1385.4</v>
      </c>
      <c r="I26" s="21">
        <f t="shared" si="26"/>
        <v>1245</v>
      </c>
      <c r="J26" s="21">
        <f t="shared" si="22"/>
        <v>1160.4000000000001</v>
      </c>
      <c r="K26" s="21">
        <v>638.29999999999995</v>
      </c>
      <c r="L26" s="21">
        <f t="shared" si="23"/>
        <v>618.9</v>
      </c>
      <c r="M26" s="193">
        <f t="shared" si="27"/>
        <v>715.49132947976875</v>
      </c>
      <c r="N26" s="193">
        <f t="shared" si="28"/>
        <v>7154.9132947976877</v>
      </c>
      <c r="O26" s="21">
        <f t="shared" si="24"/>
        <v>541.50000000000011</v>
      </c>
      <c r="P26" s="22">
        <f t="shared" si="25"/>
        <v>16.240796881766997</v>
      </c>
      <c r="R26" s="24" t="s">
        <v>160</v>
      </c>
      <c r="S26" s="24">
        <v>115.9</v>
      </c>
      <c r="T26" s="24">
        <f t="shared" si="29"/>
        <v>81.84</v>
      </c>
      <c r="U26" s="25">
        <v>108.9</v>
      </c>
      <c r="V26" s="25">
        <f t="shared" si="30"/>
        <v>74.84</v>
      </c>
      <c r="W26" s="26">
        <f t="shared" si="31"/>
        <v>8.5532746823069399</v>
      </c>
    </row>
    <row r="27" spans="2:31" ht="18.5">
      <c r="B27" s="30" t="s">
        <v>512</v>
      </c>
      <c r="G27" s="31"/>
      <c r="H27" s="32"/>
      <c r="I27" s="31"/>
      <c r="J27" s="32"/>
      <c r="K27" s="32"/>
      <c r="L27" s="32">
        <f>AVERAGE(L18:L26)</f>
        <v>630.78888888888889</v>
      </c>
      <c r="M27" s="32">
        <f t="shared" ref="M27:P27" si="32">AVERAGE(M18:M26)</f>
        <v>729.2357096981375</v>
      </c>
      <c r="N27" s="32">
        <f>AVERAGE(N18:N26)</f>
        <v>7292.3570969813736</v>
      </c>
      <c r="O27" s="32">
        <f t="shared" si="32"/>
        <v>582.05555555555554</v>
      </c>
      <c r="P27" s="33">
        <f t="shared" si="32"/>
        <v>16.783283273881043</v>
      </c>
      <c r="R27" s="24" t="s">
        <v>163</v>
      </c>
      <c r="S27" s="24">
        <v>100.9</v>
      </c>
      <c r="T27" s="24">
        <f t="shared" si="29"/>
        <v>66.84</v>
      </c>
      <c r="U27" s="25">
        <v>93.9</v>
      </c>
      <c r="V27" s="25">
        <f t="shared" si="30"/>
        <v>59.84</v>
      </c>
      <c r="W27" s="26">
        <f t="shared" si="31"/>
        <v>10.472770795930581</v>
      </c>
    </row>
    <row r="28" spans="2:31" ht="18.5">
      <c r="B28" s="30" t="s">
        <v>513</v>
      </c>
      <c r="G28" s="31"/>
      <c r="H28" s="32"/>
      <c r="I28" s="31"/>
      <c r="J28" s="32"/>
      <c r="K28" s="32"/>
      <c r="L28" s="32">
        <f t="shared" ref="L28:P28" si="33">_xlfn.STDEV.P(L18:L26)/SQRT(9)</f>
        <v>29.409553518107341</v>
      </c>
      <c r="M28" s="32">
        <f t="shared" si="33"/>
        <v>33.999483835962373</v>
      </c>
      <c r="N28" s="32">
        <f>STDEV(N18:N26)</f>
        <v>1081.8569509763213</v>
      </c>
      <c r="O28" s="32">
        <f t="shared" si="33"/>
        <v>24.338254759098884</v>
      </c>
      <c r="P28" s="33">
        <f t="shared" si="33"/>
        <v>0.29799309106399746</v>
      </c>
      <c r="R28" s="34" t="s">
        <v>512</v>
      </c>
      <c r="S28" s="35"/>
      <c r="T28" s="36"/>
      <c r="U28" s="35"/>
      <c r="V28" s="35">
        <f>AVERAGE(V19:V27)</f>
        <v>69.462222222222238</v>
      </c>
      <c r="W28" s="35">
        <f>AVERAGE(W19:W27)</f>
        <v>9.2414220210076294</v>
      </c>
    </row>
    <row r="29" spans="2:31" ht="18.5">
      <c r="N29" s="37">
        <f>AVERAGE(N4:N12,N18:N26)</f>
        <v>7537.058445728966</v>
      </c>
      <c r="O29">
        <f>AVERAGE(O4:O12,O18:O26)</f>
        <v>605.27777777777771</v>
      </c>
      <c r="R29" s="34" t="s">
        <v>513</v>
      </c>
      <c r="S29" s="35"/>
      <c r="T29" s="36"/>
      <c r="U29" s="35"/>
      <c r="V29" s="35">
        <f>_xlfn.STDEV.P(V19:V27)/SQRT(9)</f>
        <v>3.9639666434101701</v>
      </c>
      <c r="W29" s="35">
        <f>_xlfn.STDEV.P(W19:W27)/SQRT(9)</f>
        <v>1.0436630388300772</v>
      </c>
    </row>
    <row r="30" spans="2:31">
      <c r="N30">
        <f>STDEV(N4:N12,N18:N26)</f>
        <v>972.9657907966307</v>
      </c>
      <c r="O30">
        <f>STDEV(O4:O12,O18:O26)</f>
        <v>85.266009747735268</v>
      </c>
    </row>
    <row r="31" spans="2:31">
      <c r="P31" s="37">
        <f>P27-W28</f>
        <v>7.5418612528734137</v>
      </c>
    </row>
    <row r="33" spans="2:26" ht="26">
      <c r="B33" s="233" t="s">
        <v>519</v>
      </c>
      <c r="C33" s="233"/>
      <c r="D33" s="233"/>
      <c r="E33" s="233"/>
      <c r="F33" s="233"/>
      <c r="G33" s="233"/>
      <c r="H33" s="233"/>
      <c r="I33" s="233"/>
      <c r="J33" s="233"/>
      <c r="K33" s="233"/>
      <c r="L33" s="233"/>
      <c r="M33" s="233"/>
      <c r="N33" s="233"/>
      <c r="P33" s="284" t="s">
        <v>520</v>
      </c>
      <c r="Q33" s="285"/>
      <c r="R33" s="285"/>
      <c r="S33" s="285"/>
      <c r="T33" s="285"/>
      <c r="U33" s="285"/>
      <c r="V33" s="285"/>
      <c r="W33" s="285"/>
      <c r="X33" s="285"/>
      <c r="Y33" s="285"/>
      <c r="Z33" s="286"/>
    </row>
    <row r="34" spans="2:26">
      <c r="P34" s="287"/>
      <c r="Z34" s="288"/>
    </row>
    <row r="35" spans="2:26">
      <c r="C35" s="198" t="s">
        <v>491</v>
      </c>
      <c r="D35" s="197" t="s">
        <v>492</v>
      </c>
      <c r="I35" s="198" t="s">
        <v>491</v>
      </c>
      <c r="J35" s="197" t="s">
        <v>492</v>
      </c>
      <c r="P35" s="287"/>
      <c r="Z35" s="288"/>
    </row>
    <row r="36" spans="2:26">
      <c r="B36" s="19" t="s">
        <v>494</v>
      </c>
      <c r="C36" s="199" t="s">
        <v>500</v>
      </c>
      <c r="D36" s="200" t="s">
        <v>521</v>
      </c>
      <c r="E36" s="200" t="s">
        <v>522</v>
      </c>
      <c r="F36" s="200" t="s">
        <v>523</v>
      </c>
      <c r="G36" s="200" t="s">
        <v>524</v>
      </c>
      <c r="H36" s="200" t="s">
        <v>525</v>
      </c>
      <c r="I36" s="203" t="s">
        <v>503</v>
      </c>
      <c r="J36" s="203" t="s">
        <v>503</v>
      </c>
      <c r="K36" s="203" t="s">
        <v>522</v>
      </c>
      <c r="L36" s="203" t="s">
        <v>523</v>
      </c>
      <c r="M36" s="203" t="s">
        <v>524</v>
      </c>
      <c r="N36" s="203" t="s">
        <v>525</v>
      </c>
      <c r="O36" s="293" t="s">
        <v>526</v>
      </c>
      <c r="P36" s="287"/>
      <c r="Z36" s="288"/>
    </row>
    <row r="37" spans="2:26">
      <c r="B37" s="21" t="s">
        <v>112</v>
      </c>
      <c r="C37" s="21">
        <v>763</v>
      </c>
      <c r="D37" s="21">
        <f>((C37/1000)/(1/10000))</f>
        <v>7630</v>
      </c>
      <c r="E37" s="21">
        <v>40.92</v>
      </c>
      <c r="F37" s="21">
        <f>D37*(E37/100)</f>
        <v>3122.1959999999999</v>
      </c>
      <c r="G37" s="21">
        <v>1.51</v>
      </c>
      <c r="H37" s="21">
        <f>D37*(G37/100)</f>
        <v>115.21300000000001</v>
      </c>
      <c r="I37" s="21">
        <v>717.40000000000009</v>
      </c>
      <c r="J37" s="21">
        <f>((I37/1000)/(1/10000))</f>
        <v>7174</v>
      </c>
      <c r="K37" s="21">
        <v>42.54</v>
      </c>
      <c r="L37" s="21">
        <f>J37*(K37/100)</f>
        <v>3051.8195999999998</v>
      </c>
      <c r="M37" s="21">
        <v>0.57999999999999996</v>
      </c>
      <c r="N37" s="21">
        <f>J37*(M37/100)</f>
        <v>41.609199999999994</v>
      </c>
      <c r="O37">
        <f>L37/N37</f>
        <v>73.344827586206904</v>
      </c>
      <c r="P37" s="287"/>
      <c r="Z37" s="288"/>
    </row>
    <row r="38" spans="2:26">
      <c r="B38" s="21" t="s">
        <v>115</v>
      </c>
      <c r="C38" s="21">
        <v>664.7</v>
      </c>
      <c r="D38" s="21">
        <f t="shared" ref="D38:D45" si="34">((C38/1000)/(1/10000))</f>
        <v>6647</v>
      </c>
      <c r="E38" s="21">
        <v>40.67</v>
      </c>
      <c r="F38" s="21">
        <f t="shared" ref="F38:F45" si="35">D38*(E38/100)</f>
        <v>2703.3348999999998</v>
      </c>
      <c r="G38" s="21">
        <v>1.44</v>
      </c>
      <c r="H38" s="21">
        <f t="shared" ref="H38:H45" si="36">D38*(G38/100)</f>
        <v>95.716799999999992</v>
      </c>
      <c r="I38" s="21">
        <v>652.70000000000005</v>
      </c>
      <c r="J38" s="21">
        <f t="shared" ref="J38:J45" si="37">((I38/1000)/(1/10000))</f>
        <v>6527</v>
      </c>
      <c r="K38" s="21">
        <v>42.53</v>
      </c>
      <c r="L38" s="21">
        <f t="shared" ref="L38:L45" si="38">J38*(K38/100)</f>
        <v>2775.9331000000002</v>
      </c>
      <c r="M38" s="21">
        <v>0.72</v>
      </c>
      <c r="N38" s="21">
        <f t="shared" ref="N38:N45" si="39">J38*(M38/100)</f>
        <v>46.994399999999999</v>
      </c>
      <c r="O38">
        <f t="shared" ref="O38:O45" si="40">L38/N38</f>
        <v>59.06944444444445</v>
      </c>
      <c r="P38" s="287"/>
      <c r="Z38" s="288"/>
    </row>
    <row r="39" spans="2:26">
      <c r="B39" s="21" t="s">
        <v>118</v>
      </c>
      <c r="C39" s="21">
        <v>598.1</v>
      </c>
      <c r="D39" s="21">
        <f t="shared" si="34"/>
        <v>5981.0000000000009</v>
      </c>
      <c r="E39" s="21">
        <v>41.17</v>
      </c>
      <c r="F39" s="21">
        <f t="shared" si="35"/>
        <v>2462.3777000000005</v>
      </c>
      <c r="G39" s="21">
        <v>1.39</v>
      </c>
      <c r="H39" s="21">
        <f t="shared" si="36"/>
        <v>83.135900000000007</v>
      </c>
      <c r="I39" s="21">
        <v>598.30000000000007</v>
      </c>
      <c r="J39" s="21">
        <f t="shared" si="37"/>
        <v>5983</v>
      </c>
      <c r="K39" s="21">
        <v>42.33</v>
      </c>
      <c r="L39" s="21">
        <f t="shared" si="38"/>
        <v>2532.6039000000001</v>
      </c>
      <c r="M39" s="21">
        <v>0.61</v>
      </c>
      <c r="N39" s="21">
        <f t="shared" si="39"/>
        <v>36.496299999999998</v>
      </c>
      <c r="O39">
        <f t="shared" si="40"/>
        <v>69.393442622950829</v>
      </c>
      <c r="P39" s="287"/>
      <c r="Z39" s="288"/>
    </row>
    <row r="40" spans="2:26">
      <c r="B40" s="21" t="s">
        <v>121</v>
      </c>
      <c r="C40" s="21">
        <v>626</v>
      </c>
      <c r="D40" s="21">
        <f t="shared" si="34"/>
        <v>6260</v>
      </c>
      <c r="E40" s="21">
        <v>40.869999999999997</v>
      </c>
      <c r="F40" s="21">
        <f t="shared" si="35"/>
        <v>2558.4619999999995</v>
      </c>
      <c r="G40" s="21">
        <v>1.27</v>
      </c>
      <c r="H40" s="21">
        <f t="shared" si="36"/>
        <v>79.501999999999995</v>
      </c>
      <c r="I40" s="21">
        <v>775.40000000000009</v>
      </c>
      <c r="J40" s="21">
        <f t="shared" si="37"/>
        <v>7754.0000000000009</v>
      </c>
      <c r="K40" s="21">
        <v>41.65</v>
      </c>
      <c r="L40" s="21">
        <f t="shared" si="38"/>
        <v>3229.5410000000002</v>
      </c>
      <c r="M40" s="21">
        <v>0.65</v>
      </c>
      <c r="N40" s="21">
        <f t="shared" si="39"/>
        <v>50.40100000000001</v>
      </c>
      <c r="O40">
        <f t="shared" si="40"/>
        <v>64.076923076923066</v>
      </c>
      <c r="P40" s="287"/>
      <c r="Z40" s="288"/>
    </row>
    <row r="41" spans="2:26">
      <c r="B41" s="21" t="s">
        <v>124</v>
      </c>
      <c r="C41" s="21">
        <v>735.6</v>
      </c>
      <c r="D41" s="21">
        <f t="shared" si="34"/>
        <v>7356</v>
      </c>
      <c r="E41" s="21">
        <v>40.65</v>
      </c>
      <c r="F41" s="21">
        <f t="shared" si="35"/>
        <v>2990.2139999999999</v>
      </c>
      <c r="G41" s="21">
        <v>1.44</v>
      </c>
      <c r="H41" s="21">
        <f t="shared" si="36"/>
        <v>105.9264</v>
      </c>
      <c r="I41" s="21">
        <v>708.80000000000007</v>
      </c>
      <c r="J41" s="21">
        <f t="shared" si="37"/>
        <v>7088.0000000000009</v>
      </c>
      <c r="K41" s="21">
        <v>40.9</v>
      </c>
      <c r="L41" s="21">
        <f t="shared" si="38"/>
        <v>2898.9920000000002</v>
      </c>
      <c r="M41" s="21">
        <v>0.68</v>
      </c>
      <c r="N41" s="21">
        <f t="shared" si="39"/>
        <v>48.198400000000007</v>
      </c>
      <c r="O41">
        <f t="shared" si="40"/>
        <v>60.147058823529406</v>
      </c>
      <c r="P41" s="287"/>
      <c r="Z41" s="288"/>
    </row>
    <row r="42" spans="2:26">
      <c r="B42" s="21" t="s">
        <v>127</v>
      </c>
      <c r="C42" s="21">
        <v>718.1</v>
      </c>
      <c r="D42" s="21">
        <f t="shared" si="34"/>
        <v>7181</v>
      </c>
      <c r="E42" s="21">
        <v>40.5</v>
      </c>
      <c r="F42" s="21">
        <f t="shared" si="35"/>
        <v>2908.3050000000003</v>
      </c>
      <c r="G42" s="21">
        <v>1.28</v>
      </c>
      <c r="H42" s="21">
        <f t="shared" si="36"/>
        <v>91.916800000000009</v>
      </c>
      <c r="I42" s="21">
        <v>531.30000000000007</v>
      </c>
      <c r="J42" s="21">
        <f t="shared" si="37"/>
        <v>5313.0000000000009</v>
      </c>
      <c r="K42" s="21">
        <v>42.15</v>
      </c>
      <c r="L42" s="21">
        <f t="shared" si="38"/>
        <v>2239.4295000000002</v>
      </c>
      <c r="M42" s="21">
        <v>0.63</v>
      </c>
      <c r="N42" s="21">
        <f t="shared" si="39"/>
        <v>33.471900000000005</v>
      </c>
      <c r="O42">
        <f t="shared" si="40"/>
        <v>66.904761904761898</v>
      </c>
      <c r="P42" s="287"/>
      <c r="Z42" s="288"/>
    </row>
    <row r="43" spans="2:26">
      <c r="B43" s="21" t="s">
        <v>130</v>
      </c>
      <c r="C43" s="21">
        <v>564.20000000000005</v>
      </c>
      <c r="D43" s="21">
        <f t="shared" si="34"/>
        <v>5642</v>
      </c>
      <c r="E43" s="21">
        <v>41.5</v>
      </c>
      <c r="F43" s="21">
        <f t="shared" si="35"/>
        <v>2341.4299999999998</v>
      </c>
      <c r="G43" s="21">
        <v>1.38</v>
      </c>
      <c r="H43" s="21">
        <f t="shared" si="36"/>
        <v>77.8596</v>
      </c>
      <c r="I43" s="21">
        <v>518.20000000000005</v>
      </c>
      <c r="J43" s="21">
        <f t="shared" si="37"/>
        <v>5182</v>
      </c>
      <c r="K43" s="21">
        <v>41.7</v>
      </c>
      <c r="L43" s="21">
        <f t="shared" si="38"/>
        <v>2160.8940000000002</v>
      </c>
      <c r="M43" s="21">
        <v>0.6</v>
      </c>
      <c r="N43" s="21">
        <f t="shared" si="39"/>
        <v>31.092000000000002</v>
      </c>
      <c r="O43">
        <f t="shared" si="40"/>
        <v>69.5</v>
      </c>
      <c r="P43" s="287"/>
      <c r="Z43" s="288"/>
    </row>
    <row r="44" spans="2:26">
      <c r="B44" s="21" t="s">
        <v>133</v>
      </c>
      <c r="C44" s="21">
        <v>632.5</v>
      </c>
      <c r="D44" s="21">
        <f t="shared" si="34"/>
        <v>6324.9999999999991</v>
      </c>
      <c r="E44" s="21">
        <v>40.71</v>
      </c>
      <c r="F44" s="21">
        <f t="shared" si="35"/>
        <v>2574.9074999999998</v>
      </c>
      <c r="G44" s="21">
        <v>1.49</v>
      </c>
      <c r="H44" s="21">
        <f t="shared" si="36"/>
        <v>94.242499999999993</v>
      </c>
      <c r="I44" s="21">
        <v>548.90000000000009</v>
      </c>
      <c r="J44" s="21">
        <f t="shared" si="37"/>
        <v>5489</v>
      </c>
      <c r="K44" s="21">
        <v>42.45</v>
      </c>
      <c r="L44" s="21">
        <f t="shared" si="38"/>
        <v>2330.0805</v>
      </c>
      <c r="M44" s="21">
        <v>0.66</v>
      </c>
      <c r="N44" s="21">
        <f t="shared" si="39"/>
        <v>36.227400000000003</v>
      </c>
      <c r="O44">
        <f t="shared" si="40"/>
        <v>64.318181818181813</v>
      </c>
      <c r="P44" s="287"/>
      <c r="Z44" s="288"/>
    </row>
    <row r="45" spans="2:26">
      <c r="B45" s="21" t="s">
        <v>136</v>
      </c>
      <c r="C45" s="21">
        <v>755.9</v>
      </c>
      <c r="D45" s="21">
        <f t="shared" si="34"/>
        <v>7559</v>
      </c>
      <c r="E45" s="21">
        <v>41.17</v>
      </c>
      <c r="F45" s="21">
        <f t="shared" si="35"/>
        <v>3112.0403000000001</v>
      </c>
      <c r="G45" s="21">
        <v>1.6</v>
      </c>
      <c r="H45" s="21">
        <f t="shared" si="36"/>
        <v>120.944</v>
      </c>
      <c r="I45" s="21">
        <v>605.50000000000011</v>
      </c>
      <c r="J45" s="21">
        <f t="shared" si="37"/>
        <v>6055.0000000000009</v>
      </c>
      <c r="K45" s="21">
        <v>42.06</v>
      </c>
      <c r="L45" s="21">
        <f t="shared" si="38"/>
        <v>2546.7330000000006</v>
      </c>
      <c r="M45" s="21">
        <v>0.77</v>
      </c>
      <c r="N45" s="21">
        <f t="shared" si="39"/>
        <v>46.623500000000007</v>
      </c>
      <c r="O45">
        <f t="shared" si="40"/>
        <v>54.623376623376629</v>
      </c>
      <c r="P45" s="287"/>
      <c r="Z45" s="288"/>
    </row>
    <row r="46" spans="2:26" ht="18.5">
      <c r="B46" s="204" t="s">
        <v>512</v>
      </c>
      <c r="C46" s="205"/>
      <c r="D46" s="204">
        <f>AVERAGE(D37:D45)</f>
        <v>6731.2222222222226</v>
      </c>
      <c r="E46" s="204"/>
      <c r="F46" s="204">
        <f>AVERAGE(F37:F45)</f>
        <v>2752.5852666666669</v>
      </c>
      <c r="G46" s="206"/>
      <c r="H46" s="204">
        <f>AVERAGE(H37:H45)</f>
        <v>96.050777777777768</v>
      </c>
      <c r="I46" s="204"/>
      <c r="J46" s="204">
        <f>AVERAGE(J37:J45)</f>
        <v>6285</v>
      </c>
      <c r="K46" s="206"/>
      <c r="L46" s="204">
        <f>AVERAGE(L37:L45)</f>
        <v>2640.6696222222222</v>
      </c>
      <c r="M46" s="204"/>
      <c r="N46" s="204">
        <f>AVERAGE(N37:N45)</f>
        <v>41.234900000000003</v>
      </c>
      <c r="O46">
        <f>AVERAGE(O37:O45)</f>
        <v>64.597557433375002</v>
      </c>
      <c r="P46" s="287"/>
      <c r="Z46" s="288"/>
    </row>
    <row r="47" spans="2:26" ht="18.5">
      <c r="B47" s="204" t="s">
        <v>527</v>
      </c>
      <c r="C47" s="205"/>
      <c r="D47" s="204">
        <f>STDEV(D37:D45)</f>
        <v>727.07148509926299</v>
      </c>
      <c r="E47" s="204"/>
      <c r="F47" s="204">
        <f>STDEV(F37:F45)</f>
        <v>289.71623628625827</v>
      </c>
      <c r="G47" s="206"/>
      <c r="H47" s="204">
        <f>STDEV(H37:H45)</f>
        <v>15.315178060569373</v>
      </c>
      <c r="I47" s="204"/>
      <c r="J47" s="204">
        <f>STDEV(J37:J45)</f>
        <v>907.65962783413477</v>
      </c>
      <c r="K47" s="206"/>
      <c r="L47" s="204">
        <f>STDEV(L37:L45)</f>
        <v>372.32154090755375</v>
      </c>
      <c r="M47" s="204"/>
      <c r="N47" s="204">
        <f>STDEV(N37:N45)</f>
        <v>7.1197669184110399</v>
      </c>
      <c r="O47">
        <f>STDEV(O37:O45)</f>
        <v>5.9062757963743922</v>
      </c>
      <c r="P47" s="287"/>
      <c r="Z47" s="288"/>
    </row>
    <row r="48" spans="2:26" ht="18.5">
      <c r="B48" s="207"/>
      <c r="C48" s="207"/>
      <c r="D48" s="90"/>
      <c r="E48" s="207"/>
      <c r="F48" s="207"/>
      <c r="G48" s="90"/>
      <c r="H48" s="90"/>
      <c r="I48" s="90"/>
      <c r="J48" s="90"/>
      <c r="K48" s="90"/>
      <c r="L48" s="90"/>
      <c r="M48" s="90"/>
      <c r="N48" s="90"/>
      <c r="P48" s="287"/>
      <c r="Z48" s="288"/>
    </row>
    <row r="49" spans="2:26">
      <c r="D49" s="14"/>
      <c r="G49" s="14"/>
      <c r="H49" s="14"/>
      <c r="I49" s="14"/>
      <c r="J49" s="14"/>
      <c r="K49" s="14"/>
      <c r="L49" s="14"/>
      <c r="M49" s="14"/>
      <c r="N49" s="14"/>
      <c r="P49" s="287"/>
      <c r="Z49" s="288"/>
    </row>
    <row r="50" spans="2:26">
      <c r="C50" s="198" t="s">
        <v>491</v>
      </c>
      <c r="D50" s="197" t="s">
        <v>492</v>
      </c>
      <c r="G50" s="14"/>
      <c r="H50" s="14"/>
      <c r="I50" s="198" t="s">
        <v>491</v>
      </c>
      <c r="J50" s="197" t="s">
        <v>492</v>
      </c>
      <c r="K50" s="14"/>
      <c r="L50" s="14"/>
      <c r="M50" s="14"/>
      <c r="N50" s="14"/>
      <c r="P50" s="287"/>
      <c r="Z50" s="288"/>
    </row>
    <row r="51" spans="2:26">
      <c r="B51" s="19" t="s">
        <v>494</v>
      </c>
      <c r="C51" s="199" t="s">
        <v>500</v>
      </c>
      <c r="D51" s="200" t="s">
        <v>521</v>
      </c>
      <c r="E51" s="200" t="s">
        <v>522</v>
      </c>
      <c r="F51" s="200" t="s">
        <v>523</v>
      </c>
      <c r="G51" s="200" t="s">
        <v>524</v>
      </c>
      <c r="H51" s="200" t="s">
        <v>525</v>
      </c>
      <c r="I51" s="203" t="s">
        <v>503</v>
      </c>
      <c r="J51" s="203" t="s">
        <v>503</v>
      </c>
      <c r="K51" s="203" t="s">
        <v>522</v>
      </c>
      <c r="L51" s="203" t="s">
        <v>523</v>
      </c>
      <c r="M51" s="203" t="s">
        <v>524</v>
      </c>
      <c r="N51" s="203" t="s">
        <v>525</v>
      </c>
      <c r="O51" s="293" t="s">
        <v>526</v>
      </c>
      <c r="P51" s="287"/>
      <c r="Z51" s="288"/>
    </row>
    <row r="52" spans="2:26">
      <c r="B52" s="21" t="s">
        <v>139</v>
      </c>
      <c r="C52" s="21">
        <v>579.5</v>
      </c>
      <c r="D52" s="21">
        <f>((C52/1000)/(1/10000))</f>
        <v>5795</v>
      </c>
      <c r="E52" s="21">
        <v>41.07</v>
      </c>
      <c r="F52" s="21">
        <f>D52*(E52/100)</f>
        <v>2380.0065</v>
      </c>
      <c r="G52" s="21">
        <v>1.54</v>
      </c>
      <c r="H52" s="21">
        <f>D52*(G52/100)</f>
        <v>89.243000000000009</v>
      </c>
      <c r="I52" s="21">
        <v>497.90000000000009</v>
      </c>
      <c r="J52" s="21">
        <f>((I52/1000)/(1/10000))</f>
        <v>4979</v>
      </c>
      <c r="K52" s="29">
        <v>42.46</v>
      </c>
      <c r="L52" s="29">
        <f>J52*(K52/100)</f>
        <v>2114.0834</v>
      </c>
      <c r="M52" s="29">
        <v>0.74</v>
      </c>
      <c r="N52" s="29">
        <f>J52*(M52/100)</f>
        <v>36.8446</v>
      </c>
      <c r="O52">
        <f>L52/N52</f>
        <v>57.378378378378379</v>
      </c>
      <c r="P52" s="287"/>
      <c r="Z52" s="288"/>
    </row>
    <row r="53" spans="2:26">
      <c r="B53" s="21" t="s">
        <v>142</v>
      </c>
      <c r="C53" s="21">
        <v>571.9</v>
      </c>
      <c r="D53" s="21">
        <f t="shared" ref="D53:D60" si="41">((C53/1000)/(1/10000))</f>
        <v>5718.9999999999991</v>
      </c>
      <c r="E53" s="21">
        <v>40.94</v>
      </c>
      <c r="F53" s="21">
        <f t="shared" ref="F53:F60" si="42">D53*(E53/100)</f>
        <v>2341.3585999999996</v>
      </c>
      <c r="G53" s="21">
        <v>1.49</v>
      </c>
      <c r="H53" s="21">
        <f t="shared" ref="H53:H60" si="43">D53*(G53/100)</f>
        <v>85.213099999999983</v>
      </c>
      <c r="I53" s="21">
        <v>653.50000000000011</v>
      </c>
      <c r="J53" s="21">
        <f t="shared" ref="J53:J60" si="44">((I53/1000)/(1/10000))</f>
        <v>6535.0000000000009</v>
      </c>
      <c r="K53" s="29">
        <v>42.2</v>
      </c>
      <c r="L53" s="29">
        <f t="shared" ref="L53:L60" si="45">J53*(K53/100)</f>
        <v>2757.7700000000004</v>
      </c>
      <c r="M53" s="29">
        <v>0.66</v>
      </c>
      <c r="N53" s="29">
        <f t="shared" ref="N53:N60" si="46">J53*(M53/100)</f>
        <v>43.131000000000007</v>
      </c>
      <c r="O53">
        <f t="shared" ref="O53:O60" si="47">L53/N53</f>
        <v>63.939393939393938</v>
      </c>
      <c r="P53" s="287"/>
      <c r="Z53" s="288"/>
    </row>
    <row r="54" spans="2:26">
      <c r="B54" s="21" t="s">
        <v>145</v>
      </c>
      <c r="C54" s="21">
        <v>745.5</v>
      </c>
      <c r="D54" s="21">
        <f t="shared" si="41"/>
        <v>7455</v>
      </c>
      <c r="E54" s="21">
        <v>40.72</v>
      </c>
      <c r="F54" s="21">
        <f t="shared" si="42"/>
        <v>3035.6759999999999</v>
      </c>
      <c r="G54" s="21">
        <v>1.49</v>
      </c>
      <c r="H54" s="21">
        <f t="shared" si="43"/>
        <v>111.0795</v>
      </c>
      <c r="I54" s="21">
        <v>590.90000000000009</v>
      </c>
      <c r="J54" s="21">
        <f t="shared" si="44"/>
        <v>5909.0000000000009</v>
      </c>
      <c r="K54" s="29">
        <v>41.4</v>
      </c>
      <c r="L54" s="29">
        <f t="shared" si="45"/>
        <v>2446.3260000000005</v>
      </c>
      <c r="M54" s="29">
        <v>0.69</v>
      </c>
      <c r="N54" s="29">
        <f t="shared" si="46"/>
        <v>40.772100000000009</v>
      </c>
      <c r="O54">
        <f t="shared" si="47"/>
        <v>60</v>
      </c>
      <c r="P54" s="287"/>
      <c r="Z54" s="288"/>
    </row>
    <row r="55" spans="2:26">
      <c r="B55" s="21" t="s">
        <v>148</v>
      </c>
      <c r="C55" s="21">
        <v>628.70000000000005</v>
      </c>
      <c r="D55" s="21">
        <f t="shared" si="41"/>
        <v>6287</v>
      </c>
      <c r="E55" s="21">
        <v>40.950000000000003</v>
      </c>
      <c r="F55" s="21">
        <f t="shared" si="42"/>
        <v>2574.5265000000004</v>
      </c>
      <c r="G55" s="21">
        <v>1.49</v>
      </c>
      <c r="H55" s="21">
        <f t="shared" si="43"/>
        <v>93.676299999999998</v>
      </c>
      <c r="I55" s="21">
        <v>595.70000000000005</v>
      </c>
      <c r="J55" s="21">
        <f t="shared" si="44"/>
        <v>5957</v>
      </c>
      <c r="K55" s="29">
        <v>41.83</v>
      </c>
      <c r="L55" s="29">
        <f t="shared" si="45"/>
        <v>2491.8130999999998</v>
      </c>
      <c r="M55" s="29">
        <v>0.73</v>
      </c>
      <c r="N55" s="29">
        <f t="shared" si="46"/>
        <v>43.4861</v>
      </c>
      <c r="O55">
        <f t="shared" si="47"/>
        <v>57.301369863013697</v>
      </c>
      <c r="P55" s="287"/>
      <c r="Z55" s="288"/>
    </row>
    <row r="56" spans="2:26">
      <c r="B56" s="21" t="s">
        <v>151</v>
      </c>
      <c r="C56" s="21">
        <v>760.80000000000007</v>
      </c>
      <c r="D56" s="21">
        <f t="shared" si="41"/>
        <v>7608</v>
      </c>
      <c r="E56" s="21">
        <v>40.99</v>
      </c>
      <c r="F56" s="21">
        <f t="shared" si="42"/>
        <v>3118.5192000000002</v>
      </c>
      <c r="G56" s="21">
        <v>1.47</v>
      </c>
      <c r="H56" s="21">
        <f t="shared" si="43"/>
        <v>111.83759999999999</v>
      </c>
      <c r="I56" s="21">
        <v>698.6</v>
      </c>
      <c r="J56" s="21">
        <f t="shared" si="44"/>
        <v>6986</v>
      </c>
      <c r="K56" s="29">
        <v>41.61</v>
      </c>
      <c r="L56" s="29">
        <f t="shared" si="45"/>
        <v>2906.8745999999996</v>
      </c>
      <c r="M56" s="29">
        <v>0.77</v>
      </c>
      <c r="N56" s="29">
        <f t="shared" si="46"/>
        <v>53.792200000000001</v>
      </c>
      <c r="O56">
        <f t="shared" si="47"/>
        <v>54.038961038961034</v>
      </c>
      <c r="P56" s="287"/>
      <c r="Z56" s="288"/>
    </row>
    <row r="57" spans="2:26">
      <c r="B57" s="21" t="s">
        <v>154</v>
      </c>
      <c r="C57" s="21">
        <v>654.9</v>
      </c>
      <c r="D57" s="21">
        <f t="shared" si="41"/>
        <v>6548.9999999999991</v>
      </c>
      <c r="E57" s="21">
        <v>40.72</v>
      </c>
      <c r="F57" s="21">
        <f t="shared" si="42"/>
        <v>2666.7527999999998</v>
      </c>
      <c r="G57" s="21">
        <v>1.52</v>
      </c>
      <c r="H57" s="21">
        <f t="shared" si="43"/>
        <v>99.544799999999981</v>
      </c>
      <c r="I57" s="21">
        <v>603.50000000000011</v>
      </c>
      <c r="J57" s="21">
        <f t="shared" si="44"/>
        <v>6035.0000000000009</v>
      </c>
      <c r="K57" s="29">
        <v>41.65</v>
      </c>
      <c r="L57" s="29">
        <f t="shared" si="45"/>
        <v>2513.5775000000003</v>
      </c>
      <c r="M57" s="29">
        <v>0.59</v>
      </c>
      <c r="N57" s="29">
        <f t="shared" si="46"/>
        <v>35.606500000000004</v>
      </c>
      <c r="O57">
        <f t="shared" si="47"/>
        <v>70.593220338983059</v>
      </c>
      <c r="P57" s="287"/>
      <c r="Z57" s="288"/>
    </row>
    <row r="58" spans="2:26">
      <c r="B58" s="21" t="s">
        <v>157</v>
      </c>
      <c r="C58" s="21">
        <v>451.90000000000003</v>
      </c>
      <c r="D58" s="21">
        <f t="shared" si="41"/>
        <v>4519</v>
      </c>
      <c r="E58" s="21">
        <v>41.41</v>
      </c>
      <c r="F58" s="21">
        <f t="shared" si="42"/>
        <v>1871.3178999999998</v>
      </c>
      <c r="G58" s="21">
        <v>1.34</v>
      </c>
      <c r="H58" s="21">
        <f t="shared" si="43"/>
        <v>60.554600000000001</v>
      </c>
      <c r="I58" s="21">
        <v>444.50000000000006</v>
      </c>
      <c r="J58" s="21">
        <f t="shared" si="44"/>
        <v>4445</v>
      </c>
      <c r="K58" s="29">
        <v>41.48</v>
      </c>
      <c r="L58" s="29">
        <f t="shared" si="45"/>
        <v>1843.7859999999998</v>
      </c>
      <c r="M58" s="29">
        <v>0.62</v>
      </c>
      <c r="N58" s="29">
        <f t="shared" si="46"/>
        <v>27.558999999999997</v>
      </c>
      <c r="O58">
        <f t="shared" si="47"/>
        <v>66.903225806451616</v>
      </c>
      <c r="P58" s="287"/>
      <c r="Z58" s="288"/>
    </row>
    <row r="59" spans="2:26">
      <c r="B59" s="21" t="s">
        <v>160</v>
      </c>
      <c r="C59" s="21">
        <v>665</v>
      </c>
      <c r="D59" s="21">
        <f t="shared" si="41"/>
        <v>6650</v>
      </c>
      <c r="E59" s="21">
        <v>41.11</v>
      </c>
      <c r="F59" s="21">
        <f t="shared" si="42"/>
        <v>2733.8150000000001</v>
      </c>
      <c r="G59" s="21">
        <v>1.45</v>
      </c>
      <c r="H59" s="21">
        <f t="shared" si="43"/>
        <v>96.424999999999997</v>
      </c>
      <c r="I59" s="21">
        <v>612.40000000000009</v>
      </c>
      <c r="J59" s="21">
        <f t="shared" si="44"/>
        <v>6124</v>
      </c>
      <c r="K59" s="29">
        <v>40.78</v>
      </c>
      <c r="L59" s="29">
        <f t="shared" si="45"/>
        <v>2497.3672000000001</v>
      </c>
      <c r="M59" s="29">
        <v>0.65</v>
      </c>
      <c r="N59" s="29">
        <f t="shared" si="46"/>
        <v>39.806000000000004</v>
      </c>
      <c r="O59">
        <f t="shared" si="47"/>
        <v>62.738461538461536</v>
      </c>
      <c r="P59" s="287"/>
      <c r="Z59" s="288"/>
    </row>
    <row r="60" spans="2:26">
      <c r="B60" s="21" t="s">
        <v>163</v>
      </c>
      <c r="C60" s="21">
        <v>618.9</v>
      </c>
      <c r="D60" s="21">
        <f t="shared" si="41"/>
        <v>6189</v>
      </c>
      <c r="E60" s="21">
        <v>40.82</v>
      </c>
      <c r="F60" s="21">
        <f t="shared" si="42"/>
        <v>2526.3498</v>
      </c>
      <c r="G60" s="21">
        <v>1.53</v>
      </c>
      <c r="H60" s="21">
        <f t="shared" si="43"/>
        <v>94.691700000000012</v>
      </c>
      <c r="I60" s="21">
        <v>541.50000000000011</v>
      </c>
      <c r="J60" s="21">
        <f t="shared" si="44"/>
        <v>5415.0000000000009</v>
      </c>
      <c r="K60" s="29">
        <v>40.61</v>
      </c>
      <c r="L60" s="29">
        <f t="shared" si="45"/>
        <v>2199.0315000000005</v>
      </c>
      <c r="M60" s="29">
        <v>0.63</v>
      </c>
      <c r="N60" s="29">
        <f t="shared" si="46"/>
        <v>34.114500000000007</v>
      </c>
      <c r="O60">
        <f t="shared" si="47"/>
        <v>64.460317460317469</v>
      </c>
      <c r="P60" s="287"/>
      <c r="Z60" s="288"/>
    </row>
    <row r="61" spans="2:26" ht="18.5">
      <c r="B61" s="204" t="s">
        <v>512</v>
      </c>
      <c r="C61" s="208"/>
      <c r="D61" s="204">
        <f>AVERAGE(D52:D60)</f>
        <v>6307.8888888888887</v>
      </c>
      <c r="E61" s="209"/>
      <c r="F61" s="209">
        <f>AVERAGE(F52:F60)</f>
        <v>2583.1469222222217</v>
      </c>
      <c r="G61" s="209"/>
      <c r="H61" s="209">
        <f>AVERAGE(H52:H60)</f>
        <v>93.585066666666663</v>
      </c>
      <c r="I61" s="209"/>
      <c r="J61" s="209">
        <f>AVERAGE(J52:J60)</f>
        <v>5820.5555555555557</v>
      </c>
      <c r="K61" s="209"/>
      <c r="L61" s="209">
        <f>AVERAGE(L52:L60)</f>
        <v>2418.9588111111111</v>
      </c>
      <c r="M61" s="209"/>
      <c r="N61" s="209">
        <f>AVERAGE(N52:N60)</f>
        <v>39.456888888888891</v>
      </c>
      <c r="O61">
        <f>AVERAGE(O52:O60)</f>
        <v>61.928147595995625</v>
      </c>
      <c r="P61" s="289"/>
      <c r="Q61" s="290"/>
      <c r="R61" s="290"/>
      <c r="S61" s="290"/>
      <c r="T61" s="290"/>
      <c r="U61" s="290"/>
      <c r="V61" s="290"/>
      <c r="W61" s="290"/>
      <c r="X61" s="290"/>
      <c r="Y61" s="290"/>
      <c r="Z61" s="291"/>
    </row>
    <row r="62" spans="2:26" ht="18.5">
      <c r="B62" s="204" t="s">
        <v>527</v>
      </c>
      <c r="C62" s="208"/>
      <c r="D62" s="204">
        <f>STDEV(D52:D60)</f>
        <v>935.80626259451367</v>
      </c>
      <c r="E62" s="209"/>
      <c r="F62" s="209">
        <f>STDEV(F52:F60)</f>
        <v>375.96962311820357</v>
      </c>
      <c r="G62" s="209"/>
      <c r="H62" s="209">
        <f>STDEV(H52:H60)</f>
        <v>15.264263294374855</v>
      </c>
      <c r="I62" s="209"/>
      <c r="J62" s="209">
        <f>STDEV(J52:J60)</f>
        <v>774.43852420820087</v>
      </c>
      <c r="K62" s="209"/>
      <c r="L62" s="209">
        <f>STDEV(L52:L60)</f>
        <v>325.22164020286891</v>
      </c>
      <c r="M62" s="209"/>
      <c r="N62" s="209">
        <f>STDEV(N52:N60)</f>
        <v>7.3215167913562205</v>
      </c>
      <c r="O62">
        <f>STDEV(O52:O60)</f>
        <v>5.2322674746473332</v>
      </c>
    </row>
    <row r="63" spans="2:26" ht="18.5">
      <c r="B63" s="195"/>
      <c r="C63" s="195"/>
      <c r="D63" s="195"/>
      <c r="E63" s="195"/>
      <c r="F63" s="195"/>
      <c r="G63" s="195"/>
      <c r="H63" s="195"/>
      <c r="I63" s="195"/>
      <c r="J63" s="195"/>
      <c r="K63" s="195"/>
      <c r="L63" s="195"/>
      <c r="M63" s="195"/>
      <c r="N63" s="195"/>
    </row>
    <row r="64" spans="2:26" ht="18.5">
      <c r="B64" s="195"/>
      <c r="C64" s="195">
        <f>AVERAGE(D37:D45,D52:D60)</f>
        <v>6519.5555555555557</v>
      </c>
      <c r="D64" s="195"/>
      <c r="E64" s="195"/>
      <c r="F64" s="195"/>
      <c r="G64" s="195"/>
      <c r="H64" s="195">
        <f>AVERAGE(H46,H61)</f>
        <v>94.817922222222222</v>
      </c>
      <c r="I64" s="195"/>
      <c r="J64" s="195">
        <f>AVERAGE(J37:J45,J52:J60)</f>
        <v>6052.7777777777774</v>
      </c>
      <c r="K64" s="195"/>
      <c r="L64" s="195"/>
      <c r="M64" s="195"/>
      <c r="N64" s="195">
        <f>AVERAGE(N37:N45,N52:N60)</f>
        <v>40.345894444444447</v>
      </c>
      <c r="O64">
        <f>AVERAGE(O37:O45,O52:O60)</f>
        <v>63.262852514685314</v>
      </c>
    </row>
    <row r="65" spans="10:15">
      <c r="J65">
        <f>STDEV(J37:J45,J52:J60)</f>
        <v>852.66009747734097</v>
      </c>
      <c r="O65">
        <f>STDEV(O37:O45,O52:O60)</f>
        <v>5.5843879207086449</v>
      </c>
    </row>
  </sheetData>
  <mergeCells count="9">
    <mergeCell ref="S3:W3"/>
    <mergeCell ref="C16:D16"/>
    <mergeCell ref="E16:F16"/>
    <mergeCell ref="S17:W17"/>
    <mergeCell ref="B1:D1"/>
    <mergeCell ref="E1:G1"/>
    <mergeCell ref="R1:V2"/>
    <mergeCell ref="C2:D2"/>
    <mergeCell ref="E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60C9F-2BEF-594E-B49E-09F2A892F974}">
  <dimension ref="A1:AA62"/>
  <sheetViews>
    <sheetView topLeftCell="K1" workbookViewId="0">
      <selection activeCell="R33" sqref="R33:R59"/>
    </sheetView>
  </sheetViews>
  <sheetFormatPr defaultColWidth="11" defaultRowHeight="15.5"/>
  <cols>
    <col min="2" max="2" width="18.5" customWidth="1"/>
    <col min="3" max="3" width="19.08203125" customWidth="1"/>
    <col min="4" max="4" width="16.33203125" customWidth="1"/>
    <col min="5" max="5" width="17.33203125" customWidth="1"/>
    <col min="6" max="6" width="16" customWidth="1"/>
    <col min="7" max="7" width="23.5" customWidth="1"/>
    <col min="8" max="8" width="22.5" customWidth="1"/>
    <col min="9" max="9" width="24.08203125" customWidth="1"/>
    <col min="10" max="10" width="26.83203125" customWidth="1"/>
    <col min="11" max="11" width="32.83203125" customWidth="1"/>
    <col min="12" max="12" width="34" customWidth="1"/>
    <col min="13" max="13" width="14.58203125" customWidth="1"/>
    <col min="14" max="14" width="17.08203125" customWidth="1"/>
    <col min="15" max="15" width="18" customWidth="1"/>
    <col min="16" max="16" width="14.08203125" customWidth="1"/>
    <col min="17" max="17" width="4.58203125" customWidth="1"/>
    <col min="18" max="18" width="24.83203125" customWidth="1"/>
    <col min="19" max="19" width="13" customWidth="1"/>
    <col min="20" max="20" width="11.83203125" customWidth="1"/>
    <col min="21" max="21" width="12.5" customWidth="1"/>
    <col min="22" max="22" width="17.83203125" customWidth="1"/>
    <col min="23" max="23" width="15.58203125" customWidth="1"/>
    <col min="25" max="25" width="21.58203125" customWidth="1"/>
    <col min="26" max="26" width="25" customWidth="1"/>
    <col min="27" max="27" width="27.83203125" customWidth="1"/>
    <col min="28" max="28" width="27.5" customWidth="1"/>
    <col min="29" max="29" width="24.08203125" customWidth="1"/>
    <col min="30" max="30" width="29.83203125" customWidth="1"/>
  </cols>
  <sheetData>
    <row r="1" spans="1:27" ht="26">
      <c r="A1" s="16"/>
      <c r="B1" s="298" t="s">
        <v>528</v>
      </c>
      <c r="C1" s="298"/>
      <c r="D1" s="298"/>
      <c r="E1" s="298" t="s">
        <v>529</v>
      </c>
      <c r="F1" s="298"/>
      <c r="G1" s="298"/>
      <c r="H1" s="188"/>
      <c r="I1" s="210"/>
      <c r="J1" s="211"/>
      <c r="K1" s="211">
        <v>19.399999999999999</v>
      </c>
      <c r="L1" s="217"/>
      <c r="P1" s="17" t="s">
        <v>530</v>
      </c>
      <c r="Q1" s="17">
        <v>42.3</v>
      </c>
    </row>
    <row r="2" spans="1:27" ht="26">
      <c r="A2" s="16"/>
      <c r="B2" s="188"/>
      <c r="C2" s="300" t="s">
        <v>489</v>
      </c>
      <c r="D2" s="300"/>
      <c r="E2" s="300" t="s">
        <v>489</v>
      </c>
      <c r="F2" s="300"/>
      <c r="G2" s="188" t="s">
        <v>490</v>
      </c>
      <c r="H2" s="188"/>
      <c r="I2" s="210" t="s">
        <v>490</v>
      </c>
      <c r="J2" s="211"/>
      <c r="K2" s="211" t="s">
        <v>531</v>
      </c>
      <c r="L2" s="217"/>
      <c r="N2" s="247" t="s">
        <v>532</v>
      </c>
      <c r="O2" s="247"/>
      <c r="Q2" s="188"/>
    </row>
    <row r="3" spans="1:27" ht="21" customHeight="1">
      <c r="A3" s="38"/>
      <c r="B3" s="39" t="s">
        <v>494</v>
      </c>
      <c r="C3" s="39" t="s">
        <v>495</v>
      </c>
      <c r="D3" s="39" t="s">
        <v>496</v>
      </c>
      <c r="E3" s="39" t="s">
        <v>495</v>
      </c>
      <c r="F3" s="39" t="s">
        <v>496</v>
      </c>
      <c r="G3" s="20" t="s">
        <v>495</v>
      </c>
      <c r="H3" s="20" t="s">
        <v>497</v>
      </c>
      <c r="I3" s="212" t="s">
        <v>533</v>
      </c>
      <c r="J3" s="213" t="s">
        <v>514</v>
      </c>
      <c r="K3" s="213" t="s">
        <v>499</v>
      </c>
      <c r="L3" s="213" t="s">
        <v>500</v>
      </c>
      <c r="M3" s="245" t="s">
        <v>534</v>
      </c>
      <c r="N3" s="20" t="s">
        <v>535</v>
      </c>
      <c r="O3" s="20" t="s">
        <v>536</v>
      </c>
      <c r="P3" s="20" t="s">
        <v>504</v>
      </c>
      <c r="Q3" s="38"/>
      <c r="R3" s="20" t="s">
        <v>537</v>
      </c>
      <c r="S3" s="196" t="s">
        <v>492</v>
      </c>
      <c r="T3" s="38"/>
      <c r="U3" s="211"/>
      <c r="V3" s="211" t="s">
        <v>538</v>
      </c>
      <c r="W3" s="242"/>
      <c r="X3" s="38"/>
      <c r="Y3" s="38"/>
      <c r="Z3" s="38"/>
      <c r="AA3" s="38"/>
    </row>
    <row r="4" spans="1:27">
      <c r="B4" s="29" t="s">
        <v>57</v>
      </c>
      <c r="C4" s="29">
        <v>826.5</v>
      </c>
      <c r="D4" s="29">
        <v>558.20000000000005</v>
      </c>
      <c r="E4" s="29">
        <v>935.5</v>
      </c>
      <c r="F4" s="29">
        <v>649.1</v>
      </c>
      <c r="G4" s="21">
        <f t="shared" ref="G4:G12" si="0">C4+E4</f>
        <v>1762</v>
      </c>
      <c r="H4" s="21">
        <f t="shared" ref="H4:H12" si="1">G4-$Q$1-$Q$1</f>
        <v>1677.4</v>
      </c>
      <c r="I4" s="214">
        <f t="shared" ref="I4:I12" si="2">D4+F4</f>
        <v>1207.3000000000002</v>
      </c>
      <c r="J4" s="215">
        <f t="shared" ref="J4:J12" si="3">I4-$Q$1-$Q$1</f>
        <v>1122.7000000000003</v>
      </c>
      <c r="K4" s="215">
        <v>562.20000000000005</v>
      </c>
      <c r="L4" s="215">
        <f>K4-$K$1</f>
        <v>542.80000000000007</v>
      </c>
      <c r="M4" s="21">
        <f>L4/0.85</f>
        <v>638.58823529411779</v>
      </c>
      <c r="N4" s="21">
        <f>J4-L4</f>
        <v>579.9000000000002</v>
      </c>
      <c r="O4" s="21">
        <f>((N4/1000)/(1/10000))</f>
        <v>5799.0000000000018</v>
      </c>
      <c r="P4" s="22">
        <f t="shared" ref="P4:P12" si="4">((H4-J4)/H4)*100</f>
        <v>33.069035411947048</v>
      </c>
      <c r="R4" s="21">
        <f>L4/0.87</f>
        <v>623.90804597701162</v>
      </c>
      <c r="S4" s="21">
        <f>((R4/1000)/(1/10000))</f>
        <v>6239.0804597701162</v>
      </c>
      <c r="U4" s="196" t="s">
        <v>539</v>
      </c>
      <c r="V4" s="196" t="s">
        <v>540</v>
      </c>
      <c r="W4" s="196" t="s">
        <v>541</v>
      </c>
    </row>
    <row r="5" spans="1:27">
      <c r="B5" s="29" t="s">
        <v>60</v>
      </c>
      <c r="C5" s="29">
        <v>906.19</v>
      </c>
      <c r="D5" s="29">
        <v>601.70000000000005</v>
      </c>
      <c r="E5" s="29">
        <v>956</v>
      </c>
      <c r="F5" s="29">
        <v>614.1</v>
      </c>
      <c r="G5" s="21">
        <f t="shared" si="0"/>
        <v>1862.19</v>
      </c>
      <c r="H5" s="21">
        <f t="shared" si="1"/>
        <v>1777.5900000000001</v>
      </c>
      <c r="I5" s="214">
        <f t="shared" si="2"/>
        <v>1215.8000000000002</v>
      </c>
      <c r="J5" s="215">
        <f t="shared" si="3"/>
        <v>1131.2000000000003</v>
      </c>
      <c r="K5" s="215">
        <v>571.1</v>
      </c>
      <c r="L5" s="215">
        <f t="shared" ref="L5:L25" si="5">K5-$K$1</f>
        <v>551.70000000000005</v>
      </c>
      <c r="M5" s="21">
        <f t="shared" ref="M5:M11" si="6">L5/0.85</f>
        <v>649.05882352941182</v>
      </c>
      <c r="N5" s="21">
        <f t="shared" ref="N5:N11" si="7">J5-L5</f>
        <v>579.50000000000023</v>
      </c>
      <c r="O5" s="21">
        <f t="shared" ref="O5:O12" si="8">((N5/1000)/(1/10000))</f>
        <v>5795.0000000000018</v>
      </c>
      <c r="P5" s="22">
        <f t="shared" si="4"/>
        <v>36.363278371277957</v>
      </c>
      <c r="R5" s="21">
        <f t="shared" ref="R5:R12" si="9">L5/0.87</f>
        <v>634.13793103448279</v>
      </c>
      <c r="S5" s="21">
        <f t="shared" ref="S5:S26" si="10">((R5/1000)/(1/10000))</f>
        <v>6341.3793103448279</v>
      </c>
      <c r="U5" s="21" t="s">
        <v>57</v>
      </c>
      <c r="V5" s="21">
        <f>S4</f>
        <v>6239.0804597701162</v>
      </c>
      <c r="W5" s="21">
        <f>V5*0.87</f>
        <v>5428.0000000000009</v>
      </c>
    </row>
    <row r="6" spans="1:27">
      <c r="B6" s="29" t="s">
        <v>63</v>
      </c>
      <c r="C6" s="29">
        <v>923.1</v>
      </c>
      <c r="D6" s="29">
        <v>595</v>
      </c>
      <c r="E6" s="29">
        <v>895.8</v>
      </c>
      <c r="F6" s="29">
        <v>595.20000000000005</v>
      </c>
      <c r="G6" s="21">
        <f t="shared" si="0"/>
        <v>1818.9</v>
      </c>
      <c r="H6" s="21">
        <f t="shared" si="1"/>
        <v>1734.3000000000002</v>
      </c>
      <c r="I6" s="214">
        <f t="shared" si="2"/>
        <v>1190.2</v>
      </c>
      <c r="J6" s="215">
        <f t="shared" si="3"/>
        <v>1105.6000000000001</v>
      </c>
      <c r="K6" s="215">
        <v>550.29999999999995</v>
      </c>
      <c r="L6" s="215">
        <f t="shared" si="5"/>
        <v>530.9</v>
      </c>
      <c r="M6" s="21">
        <f t="shared" si="6"/>
        <v>624.58823529411768</v>
      </c>
      <c r="N6" s="21">
        <f t="shared" si="7"/>
        <v>574.70000000000016</v>
      </c>
      <c r="O6" s="21">
        <f t="shared" si="8"/>
        <v>5747.0000000000018</v>
      </c>
      <c r="P6" s="22">
        <f t="shared" si="4"/>
        <v>36.250936977454877</v>
      </c>
      <c r="R6" s="21">
        <f t="shared" si="9"/>
        <v>610.22988505747128</v>
      </c>
      <c r="S6" s="21">
        <f t="shared" si="10"/>
        <v>6102.2988505747135</v>
      </c>
      <c r="U6" s="21" t="s">
        <v>60</v>
      </c>
      <c r="V6" s="21">
        <f t="shared" ref="V6:V13" si="11">S5</f>
        <v>6341.3793103448279</v>
      </c>
      <c r="W6" s="21">
        <f t="shared" ref="W6:W22" si="12">V6*0.87</f>
        <v>5517</v>
      </c>
    </row>
    <row r="7" spans="1:27">
      <c r="B7" s="29" t="s">
        <v>66</v>
      </c>
      <c r="C7" s="29">
        <v>955.2</v>
      </c>
      <c r="D7" s="29">
        <v>599.70000000000005</v>
      </c>
      <c r="E7" s="29">
        <v>712.3</v>
      </c>
      <c r="F7" s="29">
        <v>451.6</v>
      </c>
      <c r="G7" s="21">
        <f t="shared" si="0"/>
        <v>1667.5</v>
      </c>
      <c r="H7" s="21">
        <f t="shared" si="1"/>
        <v>1582.9</v>
      </c>
      <c r="I7" s="214">
        <f t="shared" si="2"/>
        <v>1051.3000000000002</v>
      </c>
      <c r="J7" s="215">
        <f t="shared" si="3"/>
        <v>966.70000000000027</v>
      </c>
      <c r="K7" s="215">
        <v>485.9</v>
      </c>
      <c r="L7" s="215">
        <f t="shared" si="5"/>
        <v>466.5</v>
      </c>
      <c r="M7" s="21">
        <f t="shared" si="6"/>
        <v>548.82352941176475</v>
      </c>
      <c r="N7" s="21">
        <f t="shared" si="7"/>
        <v>500.20000000000027</v>
      </c>
      <c r="O7" s="21">
        <f t="shared" si="8"/>
        <v>5002.0000000000027</v>
      </c>
      <c r="P7" s="22">
        <f t="shared" si="4"/>
        <v>38.928548866005421</v>
      </c>
      <c r="R7" s="21">
        <f t="shared" si="9"/>
        <v>536.20689655172418</v>
      </c>
      <c r="S7" s="21">
        <f t="shared" si="10"/>
        <v>5362.0689655172409</v>
      </c>
      <c r="U7" s="21" t="s">
        <v>63</v>
      </c>
      <c r="V7" s="21">
        <f t="shared" si="11"/>
        <v>6102.2988505747135</v>
      </c>
      <c r="W7" s="21">
        <f t="shared" si="12"/>
        <v>5309.0000000000009</v>
      </c>
    </row>
    <row r="8" spans="1:27">
      <c r="B8" s="29" t="s">
        <v>69</v>
      </c>
      <c r="C8" s="29">
        <v>621.5</v>
      </c>
      <c r="D8" s="29">
        <v>477.5</v>
      </c>
      <c r="E8" s="29">
        <v>635.6</v>
      </c>
      <c r="F8" s="29">
        <v>481.4</v>
      </c>
      <c r="G8" s="21">
        <f t="shared" si="0"/>
        <v>1257.0999999999999</v>
      </c>
      <c r="H8" s="21">
        <f t="shared" si="1"/>
        <v>1172.5</v>
      </c>
      <c r="I8" s="214">
        <f t="shared" si="2"/>
        <v>958.9</v>
      </c>
      <c r="J8" s="215">
        <f t="shared" si="3"/>
        <v>874.30000000000007</v>
      </c>
      <c r="K8" s="215">
        <v>507.9</v>
      </c>
      <c r="L8" s="215">
        <f t="shared" si="5"/>
        <v>488.5</v>
      </c>
      <c r="M8" s="21">
        <f t="shared" si="6"/>
        <v>574.70588235294122</v>
      </c>
      <c r="N8" s="21">
        <f t="shared" si="7"/>
        <v>385.80000000000007</v>
      </c>
      <c r="O8" s="21">
        <f t="shared" si="8"/>
        <v>3858.0000000000009</v>
      </c>
      <c r="P8" s="22">
        <f t="shared" si="4"/>
        <v>25.432835820895516</v>
      </c>
      <c r="R8" s="21">
        <f t="shared" si="9"/>
        <v>561.49425287356325</v>
      </c>
      <c r="S8" s="21">
        <f t="shared" si="10"/>
        <v>5614.9425287356325</v>
      </c>
      <c r="U8" s="21" t="s">
        <v>66</v>
      </c>
      <c r="V8" s="21">
        <f t="shared" si="11"/>
        <v>5362.0689655172409</v>
      </c>
      <c r="W8" s="21">
        <f t="shared" si="12"/>
        <v>4665</v>
      </c>
    </row>
    <row r="9" spans="1:27">
      <c r="B9" s="29" t="s">
        <v>72</v>
      </c>
      <c r="C9" s="29">
        <v>828</v>
      </c>
      <c r="D9" s="29">
        <v>559.1</v>
      </c>
      <c r="E9" s="29">
        <v>1020.7</v>
      </c>
      <c r="F9" s="29">
        <v>621.70000000000005</v>
      </c>
      <c r="G9" s="21">
        <f t="shared" si="0"/>
        <v>1848.7</v>
      </c>
      <c r="H9" s="21">
        <f t="shared" si="1"/>
        <v>1764.1000000000001</v>
      </c>
      <c r="I9" s="214">
        <f t="shared" si="2"/>
        <v>1180.8000000000002</v>
      </c>
      <c r="J9" s="215">
        <f t="shared" si="3"/>
        <v>1096.2000000000003</v>
      </c>
      <c r="K9" s="215">
        <v>573.9</v>
      </c>
      <c r="L9" s="215">
        <f t="shared" si="5"/>
        <v>554.5</v>
      </c>
      <c r="M9" s="21">
        <f t="shared" si="6"/>
        <v>652.35294117647061</v>
      </c>
      <c r="N9" s="21">
        <f t="shared" si="7"/>
        <v>541.70000000000027</v>
      </c>
      <c r="O9" s="21">
        <f t="shared" si="8"/>
        <v>5417.0000000000027</v>
      </c>
      <c r="P9" s="22">
        <f t="shared" si="4"/>
        <v>37.86066549515332</v>
      </c>
      <c r="R9" s="21">
        <f t="shared" si="9"/>
        <v>637.35632183908046</v>
      </c>
      <c r="S9" s="21">
        <f t="shared" si="10"/>
        <v>6373.5632183908037</v>
      </c>
      <c r="U9" s="21" t="s">
        <v>69</v>
      </c>
      <c r="V9" s="21">
        <f t="shared" si="11"/>
        <v>5614.9425287356325</v>
      </c>
      <c r="W9" s="21">
        <f t="shared" si="12"/>
        <v>4885</v>
      </c>
    </row>
    <row r="10" spans="1:27">
      <c r="B10" s="29" t="s">
        <v>75</v>
      </c>
      <c r="C10" s="29">
        <v>622.79999999999995</v>
      </c>
      <c r="D10" s="29">
        <v>515.9</v>
      </c>
      <c r="E10" s="29">
        <v>821.6</v>
      </c>
      <c r="F10" s="29">
        <v>622.79999999999995</v>
      </c>
      <c r="G10" s="21">
        <f t="shared" si="0"/>
        <v>1444.4</v>
      </c>
      <c r="H10" s="21">
        <f t="shared" si="1"/>
        <v>1359.8000000000002</v>
      </c>
      <c r="I10" s="214">
        <f t="shared" si="2"/>
        <v>1138.6999999999998</v>
      </c>
      <c r="J10" s="215">
        <f t="shared" si="3"/>
        <v>1054.0999999999999</v>
      </c>
      <c r="K10" s="215">
        <v>584.4</v>
      </c>
      <c r="L10" s="215">
        <f t="shared" si="5"/>
        <v>565</v>
      </c>
      <c r="M10" s="21">
        <f t="shared" si="6"/>
        <v>664.70588235294122</v>
      </c>
      <c r="N10" s="21">
        <f t="shared" si="7"/>
        <v>489.09999999999991</v>
      </c>
      <c r="O10" s="21">
        <f t="shared" si="8"/>
        <v>4890.9999999999991</v>
      </c>
      <c r="P10" s="22">
        <f t="shared" si="4"/>
        <v>22.481247242241523</v>
      </c>
      <c r="R10" s="21">
        <f t="shared" si="9"/>
        <v>649.42528735632186</v>
      </c>
      <c r="S10" s="21">
        <f t="shared" si="10"/>
        <v>6494.2528735632186</v>
      </c>
      <c r="U10" s="21" t="s">
        <v>72</v>
      </c>
      <c r="V10" s="21">
        <f t="shared" si="11"/>
        <v>6373.5632183908037</v>
      </c>
      <c r="W10" s="21">
        <f t="shared" si="12"/>
        <v>5544.9999999999991</v>
      </c>
    </row>
    <row r="11" spans="1:27">
      <c r="B11" s="29" t="s">
        <v>78</v>
      </c>
      <c r="C11" s="29">
        <v>779.1</v>
      </c>
      <c r="D11" s="29">
        <v>537.5</v>
      </c>
      <c r="E11" s="29">
        <v>752</v>
      </c>
      <c r="F11" s="29">
        <v>507</v>
      </c>
      <c r="G11" s="21">
        <f t="shared" si="0"/>
        <v>1531.1</v>
      </c>
      <c r="H11" s="21">
        <f t="shared" si="1"/>
        <v>1446.5</v>
      </c>
      <c r="I11" s="214">
        <f t="shared" si="2"/>
        <v>1044.5</v>
      </c>
      <c r="J11" s="215">
        <f t="shared" si="3"/>
        <v>959.90000000000009</v>
      </c>
      <c r="K11" s="215">
        <v>486.7</v>
      </c>
      <c r="L11" s="215">
        <f t="shared" si="5"/>
        <v>467.3</v>
      </c>
      <c r="M11" s="21">
        <f t="shared" si="6"/>
        <v>549.76470588235293</v>
      </c>
      <c r="N11" s="21">
        <f t="shared" si="7"/>
        <v>492.60000000000008</v>
      </c>
      <c r="O11" s="21">
        <f t="shared" si="8"/>
        <v>4926.0000000000009</v>
      </c>
      <c r="P11" s="22">
        <f t="shared" si="4"/>
        <v>33.639820255789829</v>
      </c>
      <c r="R11" s="21">
        <f t="shared" si="9"/>
        <v>537.12643678160919</v>
      </c>
      <c r="S11" s="21">
        <f t="shared" si="10"/>
        <v>5371.2643678160921</v>
      </c>
      <c r="U11" s="21" t="s">
        <v>75</v>
      </c>
      <c r="V11" s="21">
        <f t="shared" si="11"/>
        <v>6494.2528735632186</v>
      </c>
      <c r="W11" s="21">
        <f t="shared" si="12"/>
        <v>5650</v>
      </c>
    </row>
    <row r="12" spans="1:27">
      <c r="B12" s="29" t="s">
        <v>81</v>
      </c>
      <c r="C12" s="29">
        <v>816.9</v>
      </c>
      <c r="D12" s="29">
        <v>568.4</v>
      </c>
      <c r="E12" s="29">
        <v>912.8</v>
      </c>
      <c r="F12" s="29">
        <v>648.79999999999995</v>
      </c>
      <c r="G12" s="21">
        <f t="shared" si="0"/>
        <v>1729.6999999999998</v>
      </c>
      <c r="H12" s="21">
        <f t="shared" si="1"/>
        <v>1645.1</v>
      </c>
      <c r="I12" s="214">
        <f t="shared" si="2"/>
        <v>1217.1999999999998</v>
      </c>
      <c r="J12" s="215">
        <f t="shared" si="3"/>
        <v>1132.5999999999999</v>
      </c>
      <c r="K12" s="215">
        <v>552.1</v>
      </c>
      <c r="L12" s="215">
        <f t="shared" si="5"/>
        <v>532.70000000000005</v>
      </c>
      <c r="M12" s="21">
        <f>L12/0.85</f>
        <v>626.70588235294122</v>
      </c>
      <c r="N12" s="21">
        <f>J12-L12</f>
        <v>599.89999999999986</v>
      </c>
      <c r="O12" s="21">
        <f t="shared" si="8"/>
        <v>5998.9999999999982</v>
      </c>
      <c r="P12" s="22">
        <f t="shared" si="4"/>
        <v>31.153121390796912</v>
      </c>
      <c r="R12" s="21">
        <f t="shared" si="9"/>
        <v>612.29885057471267</v>
      </c>
      <c r="S12" s="21">
        <f t="shared" si="10"/>
        <v>6122.9885057471265</v>
      </c>
      <c r="U12" s="21" t="s">
        <v>78</v>
      </c>
      <c r="V12" s="21">
        <f t="shared" si="11"/>
        <v>5371.2643678160921</v>
      </c>
      <c r="W12" s="21">
        <f t="shared" si="12"/>
        <v>4673</v>
      </c>
    </row>
    <row r="13" spans="1:27" ht="18.5">
      <c r="B13" s="40" t="s">
        <v>512</v>
      </c>
      <c r="L13" s="243">
        <f t="shared" ref="L13:N13" si="13">AVERAGE(L4:L12)</f>
        <v>522.21111111111111</v>
      </c>
      <c r="M13" s="243">
        <f t="shared" si="13"/>
        <v>614.36601307189551</v>
      </c>
      <c r="N13" s="243">
        <f t="shared" si="13"/>
        <v>527.04444444444459</v>
      </c>
      <c r="O13" s="243">
        <f>AVERAGE(O4:O12)</f>
        <v>5270.4444444444462</v>
      </c>
      <c r="P13" s="33">
        <f t="shared" ref="P13" si="14">AVERAGE(P4:P12)</f>
        <v>32.797721092395825</v>
      </c>
      <c r="R13" s="243">
        <f>AVERAGE(R4:R12)</f>
        <v>600.24265644955312</v>
      </c>
      <c r="S13" s="246">
        <f>AVERAGE(S4:S12)</f>
        <v>6002.4265644955294</v>
      </c>
      <c r="U13" s="21" t="s">
        <v>81</v>
      </c>
      <c r="V13" s="21">
        <f t="shared" si="11"/>
        <v>6122.9885057471265</v>
      </c>
      <c r="W13" s="21">
        <f t="shared" si="12"/>
        <v>5327</v>
      </c>
    </row>
    <row r="14" spans="1:27" ht="18.5">
      <c r="B14" s="40" t="s">
        <v>513</v>
      </c>
      <c r="L14" s="243">
        <f t="shared" ref="L14:N14" si="15">_xlfn.STDEV.P(L4:L12)/SQRT(9)</f>
        <v>11.971091149916782</v>
      </c>
      <c r="M14" s="243">
        <f t="shared" si="15"/>
        <v>14.083636646960926</v>
      </c>
      <c r="N14" s="243">
        <f t="shared" si="15"/>
        <v>21.267224601476652</v>
      </c>
      <c r="O14" s="243">
        <f>STDEV(O4:O12)</f>
        <v>676.71894297246376</v>
      </c>
      <c r="P14" s="33">
        <f t="shared" ref="P14" si="16">_xlfn.STDEV.P(P4:P12)/SQRT(9)</f>
        <v>1.7638936037580077</v>
      </c>
      <c r="R14" s="243">
        <f>_xlfn.STDEV.P(R4:R12)/SQRT(9)</f>
        <v>13.759874884961819</v>
      </c>
      <c r="S14" s="246">
        <f>STDEV(S4:S12)</f>
        <v>437.83653777457363</v>
      </c>
      <c r="U14" s="21" t="s">
        <v>84</v>
      </c>
      <c r="V14" s="41">
        <f>S18</f>
        <v>5944.8275862068976</v>
      </c>
      <c r="W14" s="21">
        <f t="shared" si="12"/>
        <v>5172.0000000000009</v>
      </c>
    </row>
    <row r="15" spans="1:27">
      <c r="I15" s="216"/>
      <c r="J15" s="217"/>
      <c r="K15" s="217"/>
      <c r="L15" s="242"/>
      <c r="M15" s="14"/>
      <c r="N15" s="14"/>
      <c r="O15" s="14"/>
      <c r="R15" s="14"/>
      <c r="S15" s="14"/>
      <c r="U15" s="21" t="s">
        <v>87</v>
      </c>
      <c r="V15" s="41">
        <f t="shared" ref="V15:V22" si="17">S19</f>
        <v>6381.6091954022986</v>
      </c>
      <c r="W15" s="21">
        <f t="shared" si="12"/>
        <v>5552</v>
      </c>
    </row>
    <row r="16" spans="1:27" ht="24">
      <c r="C16" s="300" t="s">
        <v>489</v>
      </c>
      <c r="D16" s="300"/>
      <c r="E16" s="300" t="s">
        <v>489</v>
      </c>
      <c r="F16" s="300"/>
      <c r="G16" s="188" t="s">
        <v>490</v>
      </c>
      <c r="H16" s="188"/>
      <c r="I16" s="210" t="s">
        <v>490</v>
      </c>
      <c r="J16" s="211"/>
      <c r="K16" s="211" t="s">
        <v>531</v>
      </c>
      <c r="L16" s="242"/>
      <c r="M16" s="14"/>
      <c r="N16" s="247" t="s">
        <v>532</v>
      </c>
      <c r="O16" s="247"/>
      <c r="R16" s="14"/>
      <c r="S16" s="14"/>
      <c r="U16" s="21" t="s">
        <v>90</v>
      </c>
      <c r="V16" s="41">
        <f t="shared" si="17"/>
        <v>6156.3218390804604</v>
      </c>
      <c r="W16" s="21">
        <f t="shared" si="12"/>
        <v>5356.0000000000009</v>
      </c>
    </row>
    <row r="17" spans="1:23" ht="21" customHeight="1">
      <c r="B17" s="39" t="s">
        <v>494</v>
      </c>
      <c r="C17" s="39" t="s">
        <v>495</v>
      </c>
      <c r="D17" s="39" t="s">
        <v>496</v>
      </c>
      <c r="E17" s="39" t="s">
        <v>495</v>
      </c>
      <c r="F17" s="39" t="s">
        <v>496</v>
      </c>
      <c r="G17" s="20" t="s">
        <v>495</v>
      </c>
      <c r="H17" s="20" t="s">
        <v>497</v>
      </c>
      <c r="I17" s="212" t="s">
        <v>496</v>
      </c>
      <c r="J17" s="213" t="s">
        <v>514</v>
      </c>
      <c r="K17" s="213" t="s">
        <v>499</v>
      </c>
      <c r="L17" s="213" t="s">
        <v>500</v>
      </c>
      <c r="M17" s="245" t="s">
        <v>534</v>
      </c>
      <c r="N17" s="20" t="s">
        <v>535</v>
      </c>
      <c r="O17" s="20" t="s">
        <v>536</v>
      </c>
      <c r="P17" s="20" t="s">
        <v>504</v>
      </c>
      <c r="R17" s="20" t="s">
        <v>542</v>
      </c>
      <c r="S17" s="20" t="s">
        <v>492</v>
      </c>
      <c r="U17" s="21" t="s">
        <v>93</v>
      </c>
      <c r="V17" s="41">
        <f t="shared" si="17"/>
        <v>6313.7931034482763</v>
      </c>
      <c r="W17" s="21">
        <f t="shared" si="12"/>
        <v>5493</v>
      </c>
    </row>
    <row r="18" spans="1:23">
      <c r="B18" s="29" t="s">
        <v>84</v>
      </c>
      <c r="C18" s="29">
        <v>825.3</v>
      </c>
      <c r="D18" s="29">
        <v>622.79999999999995</v>
      </c>
      <c r="E18" s="29">
        <v>858</v>
      </c>
      <c r="F18" s="29">
        <v>556.70000000000005</v>
      </c>
      <c r="G18" s="21">
        <f>C18+E18</f>
        <v>1683.3</v>
      </c>
      <c r="H18" s="21">
        <f t="shared" ref="H18:H26" si="18">G18-$Q$1-$Q$1</f>
        <v>1598.7</v>
      </c>
      <c r="I18" s="214">
        <f t="shared" ref="I18:I26" si="19">D18+F18</f>
        <v>1179.5</v>
      </c>
      <c r="J18" s="215">
        <f t="shared" ref="J18:J26" si="20">I18-$Q$1-$Q$1</f>
        <v>1094.9000000000001</v>
      </c>
      <c r="K18" s="215">
        <v>536.6</v>
      </c>
      <c r="L18" s="215">
        <f t="shared" si="5"/>
        <v>517.20000000000005</v>
      </c>
      <c r="M18" s="21">
        <f t="shared" ref="M18:M26" si="21">L18/0.85</f>
        <v>608.47058823529414</v>
      </c>
      <c r="N18" s="21">
        <f t="shared" ref="N18:N26" si="22">J18-L18</f>
        <v>577.70000000000005</v>
      </c>
      <c r="O18" s="21">
        <f>((N18/1000)/(1/10000))</f>
        <v>5777</v>
      </c>
      <c r="P18" s="22">
        <f t="shared" ref="P18:P26" si="23">((H18-J18)/H18)*100</f>
        <v>31.51310439732282</v>
      </c>
      <c r="R18" s="21">
        <f>L18/0.87</f>
        <v>594.48275862068976</v>
      </c>
      <c r="S18" s="21">
        <f t="shared" si="10"/>
        <v>5944.8275862068976</v>
      </c>
      <c r="U18" s="21" t="s">
        <v>96</v>
      </c>
      <c r="V18" s="41">
        <f t="shared" si="17"/>
        <v>5574.71264367816</v>
      </c>
      <c r="W18" s="21">
        <f t="shared" si="12"/>
        <v>4849.9999999999991</v>
      </c>
    </row>
    <row r="19" spans="1:23">
      <c r="B19" s="29" t="s">
        <v>87</v>
      </c>
      <c r="C19" s="29">
        <v>972.1</v>
      </c>
      <c r="D19" s="29">
        <v>589.5</v>
      </c>
      <c r="E19" s="29">
        <v>1018.6</v>
      </c>
      <c r="F19" s="29">
        <v>673.6</v>
      </c>
      <c r="G19" s="21">
        <f t="shared" ref="G19:G26" si="24">C19+E19</f>
        <v>1990.7</v>
      </c>
      <c r="H19" s="21">
        <f t="shared" si="18"/>
        <v>1906.1000000000001</v>
      </c>
      <c r="I19" s="214">
        <f t="shared" si="19"/>
        <v>1263.0999999999999</v>
      </c>
      <c r="J19" s="215">
        <f t="shared" si="20"/>
        <v>1178.5</v>
      </c>
      <c r="K19" s="215">
        <v>574.6</v>
      </c>
      <c r="L19" s="215">
        <f t="shared" si="5"/>
        <v>555.20000000000005</v>
      </c>
      <c r="M19" s="21">
        <f t="shared" si="21"/>
        <v>653.17647058823536</v>
      </c>
      <c r="N19" s="21">
        <f t="shared" si="22"/>
        <v>623.29999999999995</v>
      </c>
      <c r="O19" s="21">
        <f t="shared" ref="O19:O26" si="25">((N19/1000)/(1/10000))</f>
        <v>6232.9999999999991</v>
      </c>
      <c r="P19" s="22">
        <f t="shared" si="23"/>
        <v>38.172184040711407</v>
      </c>
      <c r="R19" s="21">
        <f t="shared" ref="R19:R26" si="26">L19/0.87</f>
        <v>638.16091954022988</v>
      </c>
      <c r="S19" s="21">
        <f t="shared" si="10"/>
        <v>6381.6091954022986</v>
      </c>
      <c r="U19" s="21" t="s">
        <v>99</v>
      </c>
      <c r="V19" s="41">
        <f t="shared" si="17"/>
        <v>5636.7816091954028</v>
      </c>
      <c r="W19" s="21">
        <f t="shared" si="12"/>
        <v>4904</v>
      </c>
    </row>
    <row r="20" spans="1:23">
      <c r="B20" s="29" t="s">
        <v>90</v>
      </c>
      <c r="C20" s="29">
        <v>951.9</v>
      </c>
      <c r="D20" s="29">
        <v>604.4</v>
      </c>
      <c r="E20" s="29">
        <v>943.8</v>
      </c>
      <c r="F20" s="29">
        <v>610.79999999999995</v>
      </c>
      <c r="G20" s="21">
        <f t="shared" si="24"/>
        <v>1895.6999999999998</v>
      </c>
      <c r="H20" s="21">
        <f t="shared" si="18"/>
        <v>1811.1</v>
      </c>
      <c r="I20" s="214">
        <f t="shared" si="19"/>
        <v>1215.1999999999998</v>
      </c>
      <c r="J20" s="215">
        <f t="shared" si="20"/>
        <v>1130.5999999999999</v>
      </c>
      <c r="K20" s="215">
        <v>555</v>
      </c>
      <c r="L20" s="215">
        <f t="shared" si="5"/>
        <v>535.6</v>
      </c>
      <c r="M20" s="21">
        <f t="shared" si="21"/>
        <v>630.11764705882354</v>
      </c>
      <c r="N20" s="21">
        <f t="shared" si="22"/>
        <v>594.99999999999989</v>
      </c>
      <c r="O20" s="21">
        <f t="shared" si="25"/>
        <v>5949.9999999999982</v>
      </c>
      <c r="P20" s="22">
        <f t="shared" si="23"/>
        <v>37.57385014631992</v>
      </c>
      <c r="R20" s="21">
        <f t="shared" si="26"/>
        <v>615.63218390804604</v>
      </c>
      <c r="S20" s="21">
        <f t="shared" si="10"/>
        <v>6156.3218390804604</v>
      </c>
      <c r="U20" s="21" t="s">
        <v>102</v>
      </c>
      <c r="V20" s="41">
        <f t="shared" si="17"/>
        <v>5633.333333333333</v>
      </c>
      <c r="W20" s="21">
        <f t="shared" si="12"/>
        <v>4901</v>
      </c>
    </row>
    <row r="21" spans="1:23">
      <c r="B21" s="29" t="s">
        <v>93</v>
      </c>
      <c r="C21" s="29">
        <v>829.8</v>
      </c>
      <c r="D21" s="29">
        <v>555.20000000000005</v>
      </c>
      <c r="E21" s="29">
        <v>832.6</v>
      </c>
      <c r="F21" s="29">
        <v>527.70000000000005</v>
      </c>
      <c r="G21" s="21">
        <f t="shared" si="24"/>
        <v>1662.4</v>
      </c>
      <c r="H21" s="21">
        <f t="shared" si="18"/>
        <v>1577.8000000000002</v>
      </c>
      <c r="I21" s="214">
        <f t="shared" si="19"/>
        <v>1082.9000000000001</v>
      </c>
      <c r="J21" s="215">
        <f t="shared" si="20"/>
        <v>998.30000000000018</v>
      </c>
      <c r="K21" s="215">
        <v>568.70000000000005</v>
      </c>
      <c r="L21" s="215">
        <f t="shared" si="5"/>
        <v>549.30000000000007</v>
      </c>
      <c r="M21" s="21">
        <f t="shared" si="21"/>
        <v>646.23529411764719</v>
      </c>
      <c r="N21" s="21">
        <f t="shared" si="22"/>
        <v>449.00000000000011</v>
      </c>
      <c r="O21" s="21">
        <f t="shared" si="25"/>
        <v>4490.0000000000009</v>
      </c>
      <c r="P21" s="22">
        <f t="shared" si="23"/>
        <v>36.728355938648747</v>
      </c>
      <c r="R21" s="21">
        <f t="shared" si="26"/>
        <v>631.37931034482767</v>
      </c>
      <c r="S21" s="21">
        <f t="shared" si="10"/>
        <v>6313.7931034482763</v>
      </c>
      <c r="U21" s="21" t="s">
        <v>105</v>
      </c>
      <c r="V21" s="41">
        <f t="shared" si="17"/>
        <v>6304.5977011494251</v>
      </c>
      <c r="W21" s="21">
        <f t="shared" si="12"/>
        <v>5485</v>
      </c>
    </row>
    <row r="22" spans="1:23">
      <c r="B22" s="29" t="s">
        <v>96</v>
      </c>
      <c r="C22" s="29">
        <v>818.1</v>
      </c>
      <c r="D22" s="29">
        <v>559.29999999999995</v>
      </c>
      <c r="E22" s="29">
        <v>753.1</v>
      </c>
      <c r="F22" s="29">
        <v>524.5</v>
      </c>
      <c r="G22" s="21">
        <f t="shared" si="24"/>
        <v>1571.2</v>
      </c>
      <c r="H22" s="21">
        <f t="shared" si="18"/>
        <v>1486.6000000000001</v>
      </c>
      <c r="I22" s="214">
        <f t="shared" si="19"/>
        <v>1083.8</v>
      </c>
      <c r="J22" s="215">
        <f t="shared" si="20"/>
        <v>999.2</v>
      </c>
      <c r="K22" s="215">
        <v>504.4</v>
      </c>
      <c r="L22" s="215">
        <f t="shared" si="5"/>
        <v>485</v>
      </c>
      <c r="M22" s="21">
        <f t="shared" si="21"/>
        <v>570.58823529411768</v>
      </c>
      <c r="N22" s="21">
        <f t="shared" si="22"/>
        <v>514.20000000000005</v>
      </c>
      <c r="O22" s="21">
        <f t="shared" si="25"/>
        <v>5142</v>
      </c>
      <c r="P22" s="22">
        <f t="shared" si="23"/>
        <v>32.786223597470745</v>
      </c>
      <c r="R22" s="21">
        <f t="shared" si="26"/>
        <v>557.47126436781605</v>
      </c>
      <c r="S22" s="21">
        <f t="shared" si="10"/>
        <v>5574.71264367816</v>
      </c>
      <c r="U22" s="21" t="s">
        <v>108</v>
      </c>
      <c r="V22" s="41">
        <f t="shared" si="17"/>
        <v>4973.5632183908046</v>
      </c>
      <c r="W22" s="21">
        <f t="shared" si="12"/>
        <v>4327</v>
      </c>
    </row>
    <row r="23" spans="1:23">
      <c r="B23" s="29" t="s">
        <v>99</v>
      </c>
      <c r="C23" s="29">
        <v>854.5</v>
      </c>
      <c r="D23" s="29">
        <v>608.29999999999995</v>
      </c>
      <c r="E23" s="29">
        <v>697.8</v>
      </c>
      <c r="F23" s="29">
        <v>477.3</v>
      </c>
      <c r="G23" s="21">
        <f t="shared" si="24"/>
        <v>1552.3</v>
      </c>
      <c r="H23" s="21">
        <f t="shared" si="18"/>
        <v>1467.7</v>
      </c>
      <c r="I23" s="214">
        <f t="shared" si="19"/>
        <v>1085.5999999999999</v>
      </c>
      <c r="J23" s="215">
        <f t="shared" si="20"/>
        <v>1001</v>
      </c>
      <c r="K23" s="215">
        <v>509.8</v>
      </c>
      <c r="L23" s="215">
        <f t="shared" si="5"/>
        <v>490.40000000000003</v>
      </c>
      <c r="M23" s="21">
        <f t="shared" si="21"/>
        <v>576.94117647058829</v>
      </c>
      <c r="N23" s="21">
        <f t="shared" si="22"/>
        <v>510.59999999999997</v>
      </c>
      <c r="O23" s="21">
        <f t="shared" si="25"/>
        <v>5105.9999999999991</v>
      </c>
      <c r="P23" s="22">
        <f t="shared" si="23"/>
        <v>31.798051372896367</v>
      </c>
      <c r="R23" s="21">
        <f t="shared" si="26"/>
        <v>563.67816091954023</v>
      </c>
      <c r="S23" s="21">
        <f t="shared" si="10"/>
        <v>5636.7816091954028</v>
      </c>
      <c r="U23" s="244" t="s">
        <v>516</v>
      </c>
      <c r="V23" s="246">
        <f>AVERAGE(V5:V22)</f>
        <v>5941.1877394635994</v>
      </c>
      <c r="W23" s="246">
        <f>AVERAGE(W5:W22)</f>
        <v>5168.833333333333</v>
      </c>
    </row>
    <row r="24" spans="1:23">
      <c r="B24" s="29" t="s">
        <v>102</v>
      </c>
      <c r="C24" s="29">
        <v>812.2</v>
      </c>
      <c r="D24" s="29">
        <v>585.1</v>
      </c>
      <c r="E24" s="29">
        <v>573</v>
      </c>
      <c r="F24" s="29">
        <v>485.8</v>
      </c>
      <c r="G24" s="21">
        <f t="shared" si="24"/>
        <v>1385.2</v>
      </c>
      <c r="H24" s="21">
        <f t="shared" si="18"/>
        <v>1300.6000000000001</v>
      </c>
      <c r="I24" s="214">
        <f t="shared" si="19"/>
        <v>1070.9000000000001</v>
      </c>
      <c r="J24" s="215">
        <f t="shared" si="20"/>
        <v>986.30000000000018</v>
      </c>
      <c r="K24" s="215">
        <v>509.5</v>
      </c>
      <c r="L24" s="215">
        <f t="shared" si="5"/>
        <v>490.1</v>
      </c>
      <c r="M24" s="21">
        <f t="shared" si="21"/>
        <v>576.58823529411768</v>
      </c>
      <c r="N24" s="21">
        <f t="shared" si="22"/>
        <v>496.20000000000016</v>
      </c>
      <c r="O24" s="21">
        <f t="shared" si="25"/>
        <v>4962.0000000000009</v>
      </c>
      <c r="P24" s="22">
        <f t="shared" si="23"/>
        <v>24.165769644779324</v>
      </c>
      <c r="R24" s="21">
        <f t="shared" si="26"/>
        <v>563.33333333333337</v>
      </c>
      <c r="S24" s="21">
        <f t="shared" si="10"/>
        <v>5633.333333333333</v>
      </c>
      <c r="U24" s="244" t="s">
        <v>543</v>
      </c>
      <c r="V24" s="246">
        <f>_xlfn.STDEV.P(V5:V22)/SQRT(18)</f>
        <v>101.47926864411022</v>
      </c>
      <c r="W24" s="246">
        <f>_xlfn.STDEV.P(W5:W22)/SQRT(18)</f>
        <v>88.28696372037588</v>
      </c>
    </row>
    <row r="25" spans="1:23">
      <c r="B25" s="29" t="s">
        <v>105</v>
      </c>
      <c r="C25" s="29">
        <v>699.3</v>
      </c>
      <c r="D25" s="29">
        <v>532.29999999999995</v>
      </c>
      <c r="E25" s="29">
        <v>887.5</v>
      </c>
      <c r="F25" s="29">
        <v>675.9</v>
      </c>
      <c r="G25" s="21">
        <f t="shared" si="24"/>
        <v>1586.8</v>
      </c>
      <c r="H25" s="21">
        <f t="shared" si="18"/>
        <v>1502.2</v>
      </c>
      <c r="I25" s="214">
        <f t="shared" si="19"/>
        <v>1208.1999999999998</v>
      </c>
      <c r="J25" s="215">
        <f t="shared" si="20"/>
        <v>1123.5999999999999</v>
      </c>
      <c r="K25" s="215">
        <v>567.9</v>
      </c>
      <c r="L25" s="215">
        <f t="shared" si="5"/>
        <v>548.5</v>
      </c>
      <c r="M25" s="21">
        <f t="shared" si="21"/>
        <v>645.2941176470589</v>
      </c>
      <c r="N25" s="21">
        <f t="shared" si="22"/>
        <v>575.09999999999991</v>
      </c>
      <c r="O25" s="21">
        <f t="shared" si="25"/>
        <v>5750.9999999999991</v>
      </c>
      <c r="P25" s="22">
        <f t="shared" si="23"/>
        <v>25.203035547863145</v>
      </c>
      <c r="R25" s="21">
        <f t="shared" si="26"/>
        <v>630.45977011494256</v>
      </c>
      <c r="S25" s="21">
        <f t="shared" si="10"/>
        <v>6304.5977011494251</v>
      </c>
      <c r="U25" s="244" t="s">
        <v>518</v>
      </c>
      <c r="V25" s="246">
        <f>STDEV(V5:V22)</f>
        <v>443.0220812789259</v>
      </c>
      <c r="W25" s="246">
        <f>STDEV(W5:W22)</f>
        <v>385.42921071266545</v>
      </c>
    </row>
    <row r="26" spans="1:23">
      <c r="B26" s="29" t="s">
        <v>108</v>
      </c>
      <c r="C26" s="29">
        <v>774.8</v>
      </c>
      <c r="D26" s="29">
        <v>510.3</v>
      </c>
      <c r="E26" s="29">
        <v>777.6</v>
      </c>
      <c r="F26" s="29">
        <v>483.2</v>
      </c>
      <c r="G26" s="21">
        <f t="shared" si="24"/>
        <v>1552.4</v>
      </c>
      <c r="H26" s="21">
        <f t="shared" si="18"/>
        <v>1467.8000000000002</v>
      </c>
      <c r="I26" s="214">
        <f t="shared" si="19"/>
        <v>993.5</v>
      </c>
      <c r="J26" s="215">
        <f t="shared" si="20"/>
        <v>908.90000000000009</v>
      </c>
      <c r="K26" s="215">
        <v>452.1</v>
      </c>
      <c r="L26" s="215">
        <f>K26-$K$1</f>
        <v>432.70000000000005</v>
      </c>
      <c r="M26" s="21">
        <f t="shared" si="21"/>
        <v>509.05882352941182</v>
      </c>
      <c r="N26" s="21">
        <f t="shared" si="22"/>
        <v>476.20000000000005</v>
      </c>
      <c r="O26" s="21">
        <f t="shared" si="25"/>
        <v>4762</v>
      </c>
      <c r="P26" s="22">
        <f t="shared" si="23"/>
        <v>38.077394740427849</v>
      </c>
      <c r="R26" s="21">
        <f t="shared" si="26"/>
        <v>497.35632183908052</v>
      </c>
      <c r="S26" s="21">
        <f t="shared" si="10"/>
        <v>4973.5632183908046</v>
      </c>
      <c r="V26" s="14"/>
      <c r="W26" s="14"/>
    </row>
    <row r="27" spans="1:23" ht="18.5">
      <c r="A27" s="42"/>
      <c r="B27" s="40" t="s">
        <v>512</v>
      </c>
      <c r="L27" s="243">
        <f t="shared" ref="L27:N27" si="27">AVERAGE(L18:L26)</f>
        <v>511.55555555555554</v>
      </c>
      <c r="M27" s="243">
        <f t="shared" si="27"/>
        <v>601.8300653594772</v>
      </c>
      <c r="N27" s="243">
        <f t="shared" si="27"/>
        <v>535.25555555555559</v>
      </c>
      <c r="O27" s="243">
        <f>AVERAGE(O18:O26)</f>
        <v>5352.5555555555557</v>
      </c>
      <c r="P27" s="33">
        <f t="shared" ref="P27" si="28">AVERAGE(P18:P26)</f>
        <v>32.890885491826708</v>
      </c>
      <c r="R27" s="243">
        <f>AVERAGE(R18:R26,R4:R12)</f>
        <v>594.11877394636019</v>
      </c>
      <c r="S27" s="244">
        <f>AVERAGE(S18:S26)</f>
        <v>5879.9489144316722</v>
      </c>
    </row>
    <row r="28" spans="1:23" ht="18.5">
      <c r="A28" s="42"/>
      <c r="B28" s="40" t="s">
        <v>513</v>
      </c>
      <c r="L28" s="243">
        <f t="shared" ref="L28:N28" si="29">_xlfn.STDEV.P(L18:L26)/SQRT(9)</f>
        <v>12.734546297774054</v>
      </c>
      <c r="M28" s="243">
        <f t="shared" si="29"/>
        <v>14.981819173851832</v>
      </c>
      <c r="N28" s="243">
        <f t="shared" si="29"/>
        <v>18.66351898799055</v>
      </c>
      <c r="O28" s="243">
        <f>STDEV(O18:O26)</f>
        <v>593.86953767454042</v>
      </c>
      <c r="P28" s="33">
        <f t="shared" ref="P28" si="30">_xlfn.STDEV.P(P18:P26)/SQRT(9)</f>
        <v>1.68428661862141</v>
      </c>
      <c r="R28" s="243">
        <f>_xlfn.STDEV.P(R18:R26)/SQRT(9)</f>
        <v>14.63740953767133</v>
      </c>
      <c r="S28" s="244">
        <f>STDEV(S18:S26)</f>
        <v>465.75951943914208</v>
      </c>
    </row>
    <row r="31" spans="1:23" ht="23.5">
      <c r="B31" s="232" t="s">
        <v>519</v>
      </c>
      <c r="C31" s="232"/>
      <c r="D31" s="232"/>
      <c r="E31" s="232"/>
      <c r="F31" s="232"/>
      <c r="G31" s="232"/>
      <c r="H31" s="232"/>
      <c r="I31" s="232"/>
      <c r="J31" s="232"/>
      <c r="K31" s="232"/>
      <c r="L31" s="232"/>
      <c r="M31" s="232"/>
    </row>
    <row r="33" spans="2:14">
      <c r="C33" s="198" t="s">
        <v>491</v>
      </c>
      <c r="D33" s="197" t="s">
        <v>492</v>
      </c>
      <c r="I33" s="197" t="s">
        <v>492</v>
      </c>
    </row>
    <row r="34" spans="2:14">
      <c r="B34" s="19" t="s">
        <v>494</v>
      </c>
      <c r="C34" s="199" t="s">
        <v>500</v>
      </c>
      <c r="D34" s="200" t="s">
        <v>521</v>
      </c>
      <c r="E34" s="200" t="s">
        <v>522</v>
      </c>
      <c r="F34" s="200" t="s">
        <v>523</v>
      </c>
      <c r="G34" s="200" t="s">
        <v>524</v>
      </c>
      <c r="H34" s="200" t="s">
        <v>525</v>
      </c>
      <c r="I34" s="203" t="s">
        <v>503</v>
      </c>
      <c r="J34" s="203" t="s">
        <v>522</v>
      </c>
      <c r="K34" s="203" t="s">
        <v>523</v>
      </c>
      <c r="L34" s="203" t="s">
        <v>524</v>
      </c>
      <c r="M34" s="203" t="s">
        <v>525</v>
      </c>
    </row>
    <row r="35" spans="2:14">
      <c r="B35" s="21" t="s">
        <v>57</v>
      </c>
      <c r="C35" s="21">
        <v>542.80000000000007</v>
      </c>
      <c r="D35" s="21">
        <f>((C35/1000)/(1/10000))</f>
        <v>5428</v>
      </c>
      <c r="E35" s="21">
        <v>49.15</v>
      </c>
      <c r="F35" s="21">
        <f>D35*(E35/100)</f>
        <v>2667.8620000000001</v>
      </c>
      <c r="G35" s="21">
        <v>5.73</v>
      </c>
      <c r="H35" s="21">
        <f>D35*(G35/100)</f>
        <v>311.02440000000001</v>
      </c>
      <c r="I35" s="21">
        <v>5799.0000000000018</v>
      </c>
      <c r="J35" s="21">
        <v>41.89</v>
      </c>
      <c r="K35" s="21">
        <f>I35*(J35/100)</f>
        <v>2429.2011000000007</v>
      </c>
      <c r="L35" s="21">
        <v>1.02</v>
      </c>
      <c r="M35" s="21">
        <f>I35*(L35/100)</f>
        <v>59.14980000000002</v>
      </c>
    </row>
    <row r="36" spans="2:14">
      <c r="B36" s="21" t="s">
        <v>60</v>
      </c>
      <c r="C36" s="21">
        <v>551.70000000000005</v>
      </c>
      <c r="D36" s="21">
        <f t="shared" ref="D36:D43" si="31">((C36/1000)/(1/10000))</f>
        <v>5517.0000000000009</v>
      </c>
      <c r="E36" s="21">
        <v>49.22</v>
      </c>
      <c r="F36" s="21">
        <f t="shared" ref="F36:F43" si="32">D36*(E36/100)</f>
        <v>2715.4674000000005</v>
      </c>
      <c r="G36" s="21">
        <v>5.49</v>
      </c>
      <c r="H36" s="21">
        <f t="shared" ref="H36:H43" si="33">D36*(G36/100)</f>
        <v>302.88330000000008</v>
      </c>
      <c r="I36" s="21">
        <v>5795.0000000000018</v>
      </c>
      <c r="J36" s="21">
        <v>40.24</v>
      </c>
      <c r="K36" s="21">
        <f t="shared" ref="K36:K43" si="34">I36*(J36/100)</f>
        <v>2331.9080000000008</v>
      </c>
      <c r="L36" s="21">
        <v>0.78</v>
      </c>
      <c r="M36" s="21">
        <f t="shared" ref="M36:M43" si="35">I36*(L36/100)</f>
        <v>45.201000000000015</v>
      </c>
    </row>
    <row r="37" spans="2:14">
      <c r="B37" s="21" t="s">
        <v>63</v>
      </c>
      <c r="C37" s="21">
        <v>530.9</v>
      </c>
      <c r="D37" s="21">
        <f t="shared" si="31"/>
        <v>5308.9999999999991</v>
      </c>
      <c r="E37" s="21">
        <v>48.73</v>
      </c>
      <c r="F37" s="21">
        <f t="shared" si="32"/>
        <v>2587.0756999999994</v>
      </c>
      <c r="G37" s="21">
        <v>5.77</v>
      </c>
      <c r="H37" s="21">
        <f t="shared" si="33"/>
        <v>306.32929999999993</v>
      </c>
      <c r="I37" s="21">
        <v>5747.0000000000018</v>
      </c>
      <c r="J37" s="21">
        <v>42.51</v>
      </c>
      <c r="K37" s="21">
        <f t="shared" si="34"/>
        <v>2443.0497000000005</v>
      </c>
      <c r="L37" s="21">
        <v>0.75</v>
      </c>
      <c r="M37" s="21">
        <f t="shared" si="35"/>
        <v>43.102500000000013</v>
      </c>
    </row>
    <row r="38" spans="2:14">
      <c r="B38" s="21" t="s">
        <v>66</v>
      </c>
      <c r="C38" s="21">
        <v>466.5</v>
      </c>
      <c r="D38" s="21">
        <f t="shared" si="31"/>
        <v>4665</v>
      </c>
      <c r="E38" s="21">
        <v>48.81</v>
      </c>
      <c r="F38" s="21">
        <f t="shared" si="32"/>
        <v>2276.9865</v>
      </c>
      <c r="G38" s="21">
        <v>5.76</v>
      </c>
      <c r="H38" s="21">
        <f t="shared" si="33"/>
        <v>268.70400000000001</v>
      </c>
      <c r="I38" s="21">
        <v>5002.0000000000027</v>
      </c>
      <c r="J38" s="21">
        <v>40.81</v>
      </c>
      <c r="K38" s="21">
        <f t="shared" si="34"/>
        <v>2041.3162000000011</v>
      </c>
      <c r="L38" s="21">
        <v>0.83</v>
      </c>
      <c r="M38" s="21">
        <f t="shared" si="35"/>
        <v>41.516600000000025</v>
      </c>
    </row>
    <row r="39" spans="2:14">
      <c r="B39" s="21" t="s">
        <v>69</v>
      </c>
      <c r="C39" s="21">
        <v>488.5</v>
      </c>
      <c r="D39" s="21">
        <f t="shared" si="31"/>
        <v>4885</v>
      </c>
      <c r="E39" s="21">
        <v>48.98</v>
      </c>
      <c r="F39" s="21">
        <f t="shared" si="32"/>
        <v>2392.6729999999998</v>
      </c>
      <c r="G39" s="21">
        <v>5.98</v>
      </c>
      <c r="H39" s="21">
        <f t="shared" si="33"/>
        <v>292.12300000000005</v>
      </c>
      <c r="I39" s="21">
        <v>3858.0000000000009</v>
      </c>
      <c r="J39" s="21">
        <v>42.02</v>
      </c>
      <c r="K39" s="21">
        <f t="shared" si="34"/>
        <v>1621.1316000000004</v>
      </c>
      <c r="L39" s="21">
        <v>0.75</v>
      </c>
      <c r="M39" s="21">
        <f t="shared" si="35"/>
        <v>28.935000000000006</v>
      </c>
    </row>
    <row r="40" spans="2:14">
      <c r="B40" s="21" t="s">
        <v>72</v>
      </c>
      <c r="C40" s="21">
        <v>554.5</v>
      </c>
      <c r="D40" s="21">
        <f t="shared" si="31"/>
        <v>5545</v>
      </c>
      <c r="E40" s="21">
        <v>49.13</v>
      </c>
      <c r="F40" s="21">
        <f t="shared" si="32"/>
        <v>2724.2584999999999</v>
      </c>
      <c r="G40" s="21">
        <v>5.86</v>
      </c>
      <c r="H40" s="21">
        <f t="shared" si="33"/>
        <v>324.93700000000001</v>
      </c>
      <c r="I40" s="21">
        <v>5417.0000000000027</v>
      </c>
      <c r="J40" s="21">
        <v>42</v>
      </c>
      <c r="K40" s="21">
        <f t="shared" si="34"/>
        <v>2275.1400000000012</v>
      </c>
      <c r="L40" s="21">
        <v>0.82</v>
      </c>
      <c r="M40" s="21">
        <f t="shared" si="35"/>
        <v>44.419400000000017</v>
      </c>
    </row>
    <row r="41" spans="2:14">
      <c r="B41" s="21" t="s">
        <v>75</v>
      </c>
      <c r="C41" s="21">
        <v>565</v>
      </c>
      <c r="D41" s="21">
        <f t="shared" si="31"/>
        <v>5649.9999999999991</v>
      </c>
      <c r="E41" s="21">
        <v>48.4</v>
      </c>
      <c r="F41" s="21">
        <f t="shared" si="32"/>
        <v>2734.5999999999995</v>
      </c>
      <c r="G41" s="21">
        <v>5.6</v>
      </c>
      <c r="H41" s="21">
        <f t="shared" si="33"/>
        <v>316.39999999999992</v>
      </c>
      <c r="I41" s="21">
        <v>4890.9999999999991</v>
      </c>
      <c r="J41" s="21">
        <v>40.56</v>
      </c>
      <c r="K41" s="21">
        <f t="shared" si="34"/>
        <v>1983.7895999999996</v>
      </c>
      <c r="L41" s="21">
        <v>0.84</v>
      </c>
      <c r="M41" s="21">
        <f t="shared" si="35"/>
        <v>41.084399999999988</v>
      </c>
    </row>
    <row r="42" spans="2:14">
      <c r="B42" s="21" t="s">
        <v>78</v>
      </c>
      <c r="C42" s="21">
        <v>467.3</v>
      </c>
      <c r="D42" s="21">
        <f t="shared" si="31"/>
        <v>4673</v>
      </c>
      <c r="E42" s="21">
        <v>48.97</v>
      </c>
      <c r="F42" s="21">
        <f t="shared" si="32"/>
        <v>2288.3680999999997</v>
      </c>
      <c r="G42" s="21">
        <v>5.54</v>
      </c>
      <c r="H42" s="21">
        <f t="shared" si="33"/>
        <v>258.88419999999996</v>
      </c>
      <c r="I42" s="21">
        <v>4926.0000000000009</v>
      </c>
      <c r="J42" s="21">
        <v>40.549999999999997</v>
      </c>
      <c r="K42" s="21">
        <f t="shared" si="34"/>
        <v>1997.4930000000002</v>
      </c>
      <c r="L42" s="21">
        <v>1.07</v>
      </c>
      <c r="M42" s="21">
        <f t="shared" si="35"/>
        <v>52.708200000000012</v>
      </c>
    </row>
    <row r="43" spans="2:14">
      <c r="B43" s="21" t="s">
        <v>81</v>
      </c>
      <c r="C43" s="21">
        <v>532.70000000000005</v>
      </c>
      <c r="D43" s="21">
        <f t="shared" si="31"/>
        <v>5327</v>
      </c>
      <c r="E43" s="21">
        <v>49.48</v>
      </c>
      <c r="F43" s="21">
        <f t="shared" si="32"/>
        <v>2635.7995999999998</v>
      </c>
      <c r="G43" s="21">
        <v>5.5</v>
      </c>
      <c r="H43" s="21">
        <f t="shared" si="33"/>
        <v>292.98500000000001</v>
      </c>
      <c r="I43" s="21">
        <v>5998.9999999999982</v>
      </c>
      <c r="J43" s="21">
        <v>40.71</v>
      </c>
      <c r="K43" s="21">
        <f t="shared" si="34"/>
        <v>2442.1928999999996</v>
      </c>
      <c r="L43" s="21">
        <v>0.88</v>
      </c>
      <c r="M43" s="21">
        <f t="shared" si="35"/>
        <v>52.791199999999989</v>
      </c>
    </row>
    <row r="44" spans="2:14" ht="18.5">
      <c r="B44" s="204" t="s">
        <v>512</v>
      </c>
      <c r="C44" s="205"/>
      <c r="D44" s="204">
        <f>AVERAGE(D35:D43)</f>
        <v>5222.1111111111113</v>
      </c>
      <c r="E44" s="204"/>
      <c r="F44" s="204">
        <f>AVERAGE(F35:F43)</f>
        <v>2558.1211999999996</v>
      </c>
      <c r="G44" s="206"/>
      <c r="H44" s="204">
        <f>AVERAGE(H35:H43)</f>
        <v>297.14113333333336</v>
      </c>
      <c r="I44" s="204">
        <f>AVERAGE(I35:I43)</f>
        <v>5270.4444444444462</v>
      </c>
      <c r="J44" s="206"/>
      <c r="K44" s="204">
        <f>AVERAGE(K35:K43)</f>
        <v>2173.9135666666671</v>
      </c>
      <c r="L44" s="204"/>
      <c r="M44" s="204">
        <f>AVERAGE(M35:M43)</f>
        <v>45.434233333333346</v>
      </c>
    </row>
    <row r="45" spans="2:14" ht="18.5">
      <c r="B45" s="204" t="s">
        <v>527</v>
      </c>
      <c r="C45" s="205"/>
      <c r="D45" s="204">
        <f>STDEV(D35:D43)</f>
        <v>380.91778786387891</v>
      </c>
      <c r="E45" s="204"/>
      <c r="F45" s="204">
        <f>STDEV(F35:F43)</f>
        <v>187.61533033828823</v>
      </c>
      <c r="G45" s="206"/>
      <c r="H45" s="204">
        <f>STDEV(H35:H43)</f>
        <v>21.703607804406619</v>
      </c>
      <c r="I45" s="204">
        <f>STDEV(I35:I43)</f>
        <v>676.71894297246376</v>
      </c>
      <c r="J45" s="206"/>
      <c r="K45" s="204">
        <f>STDEV(K35:K43)</f>
        <v>281.78230044827785</v>
      </c>
      <c r="L45" s="204"/>
      <c r="M45" s="204">
        <f>STDEV(M35:M43)</f>
        <v>8.7189963940811364</v>
      </c>
    </row>
    <row r="46" spans="2:14" ht="18.5">
      <c r="B46" s="207"/>
      <c r="C46" s="207"/>
      <c r="D46" s="90"/>
      <c r="E46" s="207"/>
      <c r="F46" s="207"/>
      <c r="G46" s="90"/>
      <c r="H46" s="90"/>
      <c r="I46" s="90"/>
      <c r="J46" s="90"/>
      <c r="K46" s="90"/>
      <c r="L46" s="90"/>
      <c r="M46" s="90"/>
      <c r="N46" s="90">
        <f>AVERAGE(M35:M43,M49:M57)</f>
        <v>48.374377777777774</v>
      </c>
    </row>
    <row r="47" spans="2:14">
      <c r="C47" s="198" t="s">
        <v>491</v>
      </c>
      <c r="D47" s="197" t="s">
        <v>492</v>
      </c>
      <c r="G47" s="14"/>
      <c r="H47" s="14"/>
      <c r="I47" s="197" t="s">
        <v>492</v>
      </c>
      <c r="J47" s="14"/>
      <c r="K47" s="14"/>
      <c r="L47" s="14"/>
      <c r="M47" s="14"/>
      <c r="N47" s="14">
        <f>STDEV(M35:M43,M49:M57)</f>
        <v>11.82152459594019</v>
      </c>
    </row>
    <row r="48" spans="2:14">
      <c r="B48" s="19" t="s">
        <v>494</v>
      </c>
      <c r="C48" s="199" t="s">
        <v>500</v>
      </c>
      <c r="D48" s="200" t="s">
        <v>521</v>
      </c>
      <c r="E48" s="200" t="s">
        <v>522</v>
      </c>
      <c r="F48" s="200" t="s">
        <v>523</v>
      </c>
      <c r="G48" s="200" t="s">
        <v>524</v>
      </c>
      <c r="H48" s="200" t="s">
        <v>525</v>
      </c>
      <c r="I48" s="203" t="s">
        <v>503</v>
      </c>
      <c r="J48" s="203" t="s">
        <v>522</v>
      </c>
      <c r="K48" s="203" t="s">
        <v>523</v>
      </c>
      <c r="L48" s="203" t="s">
        <v>524</v>
      </c>
      <c r="M48" s="203" t="s">
        <v>525</v>
      </c>
    </row>
    <row r="49" spans="2:14">
      <c r="B49" s="21" t="s">
        <v>84</v>
      </c>
      <c r="C49" s="21">
        <v>517.20000000000005</v>
      </c>
      <c r="D49" s="21">
        <f>((C49/1000)/(1/10000))</f>
        <v>5172</v>
      </c>
      <c r="E49" s="21">
        <v>48.59</v>
      </c>
      <c r="F49" s="21">
        <f>D49*(E49/100)</f>
        <v>2513.0748000000003</v>
      </c>
      <c r="G49" s="21">
        <v>5.94</v>
      </c>
      <c r="H49" s="21">
        <f>D49*(G49/100)</f>
        <v>307.21680000000003</v>
      </c>
      <c r="I49" s="21">
        <v>5777</v>
      </c>
      <c r="J49" s="21">
        <v>41.17</v>
      </c>
      <c r="K49" s="21">
        <f>I49*(J49/100)</f>
        <v>2378.3908999999999</v>
      </c>
      <c r="L49" s="21">
        <v>0.85</v>
      </c>
      <c r="M49" s="21">
        <f>I49*(L49/100)</f>
        <v>49.104500000000002</v>
      </c>
    </row>
    <row r="50" spans="2:14">
      <c r="B50" s="21" t="s">
        <v>87</v>
      </c>
      <c r="C50" s="21">
        <v>555.20000000000005</v>
      </c>
      <c r="D50" s="21">
        <f t="shared" ref="D50:D57" si="36">((C50/1000)/(1/10000))</f>
        <v>5552</v>
      </c>
      <c r="E50" s="21">
        <v>48.62</v>
      </c>
      <c r="F50" s="21">
        <f t="shared" ref="F50:F57" si="37">D50*(E50/100)</f>
        <v>2699.3824</v>
      </c>
      <c r="G50" s="21">
        <v>5.71</v>
      </c>
      <c r="H50" s="21">
        <f t="shared" ref="H50:H57" si="38">D50*(G50/100)</f>
        <v>317.01920000000001</v>
      </c>
      <c r="I50" s="21">
        <v>6232.9999999999991</v>
      </c>
      <c r="J50" s="21">
        <v>41.32</v>
      </c>
      <c r="K50" s="21">
        <f t="shared" ref="K50:K57" si="39">I50*(J50/100)</f>
        <v>2575.4755999999998</v>
      </c>
      <c r="L50" s="21">
        <v>1.28</v>
      </c>
      <c r="M50" s="21">
        <f t="shared" ref="M50:M57" si="40">I50*(L50/100)</f>
        <v>79.782399999999996</v>
      </c>
    </row>
    <row r="51" spans="2:14">
      <c r="B51" s="21" t="s">
        <v>90</v>
      </c>
      <c r="C51" s="21">
        <v>535.6</v>
      </c>
      <c r="D51" s="21">
        <f t="shared" si="36"/>
        <v>5356.0000000000009</v>
      </c>
      <c r="E51" s="21">
        <v>49</v>
      </c>
      <c r="F51" s="21">
        <f t="shared" si="37"/>
        <v>2624.4400000000005</v>
      </c>
      <c r="G51" s="21">
        <v>5.89</v>
      </c>
      <c r="H51" s="21">
        <f t="shared" si="38"/>
        <v>315.46840000000003</v>
      </c>
      <c r="I51" s="21">
        <v>5949.9999999999982</v>
      </c>
      <c r="J51" s="21">
        <v>40.07</v>
      </c>
      <c r="K51" s="21">
        <f t="shared" si="39"/>
        <v>2384.1649999999991</v>
      </c>
      <c r="L51" s="21">
        <v>0.98</v>
      </c>
      <c r="M51" s="21">
        <f t="shared" si="40"/>
        <v>58.309999999999981</v>
      </c>
    </row>
    <row r="52" spans="2:14">
      <c r="B52" s="21" t="s">
        <v>93</v>
      </c>
      <c r="C52" s="21">
        <v>549.30000000000007</v>
      </c>
      <c r="D52" s="21">
        <f t="shared" si="36"/>
        <v>5493.0000000000009</v>
      </c>
      <c r="E52" s="21">
        <v>48.85</v>
      </c>
      <c r="F52" s="21">
        <f t="shared" si="37"/>
        <v>2683.3305000000005</v>
      </c>
      <c r="G52" s="21">
        <v>5.85</v>
      </c>
      <c r="H52" s="21">
        <f t="shared" si="38"/>
        <v>321.34050000000002</v>
      </c>
      <c r="I52" s="21">
        <v>4490.0000000000009</v>
      </c>
      <c r="J52" s="21">
        <v>42.46</v>
      </c>
      <c r="K52" s="21">
        <f t="shared" si="39"/>
        <v>1906.4540000000006</v>
      </c>
      <c r="L52" s="21">
        <v>0.77</v>
      </c>
      <c r="M52" s="21">
        <f t="shared" si="40"/>
        <v>34.573000000000008</v>
      </c>
    </row>
    <row r="53" spans="2:14">
      <c r="B53" s="21" t="s">
        <v>96</v>
      </c>
      <c r="C53" s="21">
        <v>485</v>
      </c>
      <c r="D53" s="21">
        <f t="shared" si="36"/>
        <v>4850</v>
      </c>
      <c r="E53" s="21">
        <v>49.02</v>
      </c>
      <c r="F53" s="21">
        <f t="shared" si="37"/>
        <v>2377.4700000000003</v>
      </c>
      <c r="G53" s="21">
        <v>5.66</v>
      </c>
      <c r="H53" s="21">
        <f t="shared" si="38"/>
        <v>274.51000000000005</v>
      </c>
      <c r="I53" s="21">
        <v>5142</v>
      </c>
      <c r="J53" s="21">
        <v>40.729999999999997</v>
      </c>
      <c r="K53" s="21">
        <f t="shared" si="39"/>
        <v>2094.3366000000001</v>
      </c>
      <c r="L53" s="21">
        <v>1</v>
      </c>
      <c r="M53" s="21">
        <f t="shared" si="40"/>
        <v>51.42</v>
      </c>
    </row>
    <row r="54" spans="2:14">
      <c r="B54" s="21" t="s">
        <v>99</v>
      </c>
      <c r="C54" s="21">
        <v>490.40000000000003</v>
      </c>
      <c r="D54" s="21">
        <f t="shared" si="36"/>
        <v>4904</v>
      </c>
      <c r="E54" s="21">
        <v>48.69</v>
      </c>
      <c r="F54" s="21">
        <f t="shared" si="37"/>
        <v>2387.7575999999999</v>
      </c>
      <c r="G54" s="21">
        <v>5.65</v>
      </c>
      <c r="H54" s="21">
        <f t="shared" si="38"/>
        <v>277.07600000000002</v>
      </c>
      <c r="I54" s="21">
        <v>5105.9999999999991</v>
      </c>
      <c r="J54" s="21">
        <v>40.49</v>
      </c>
      <c r="K54" s="21">
        <f t="shared" si="39"/>
        <v>2067.4193999999998</v>
      </c>
      <c r="L54" s="21">
        <v>1.24</v>
      </c>
      <c r="M54" s="21">
        <f t="shared" si="40"/>
        <v>63.314399999999985</v>
      </c>
    </row>
    <row r="55" spans="2:14">
      <c r="B55" s="21" t="s">
        <v>102</v>
      </c>
      <c r="C55" s="21">
        <v>490.1</v>
      </c>
      <c r="D55" s="21">
        <f t="shared" si="36"/>
        <v>4901</v>
      </c>
      <c r="E55" s="21">
        <v>48.39</v>
      </c>
      <c r="F55" s="21">
        <f t="shared" si="37"/>
        <v>2371.5938999999998</v>
      </c>
      <c r="G55" s="21">
        <v>5.71</v>
      </c>
      <c r="H55" s="21">
        <f t="shared" si="38"/>
        <v>279.84710000000001</v>
      </c>
      <c r="I55" s="21">
        <v>4962.0000000000009</v>
      </c>
      <c r="J55" s="21">
        <v>41.48</v>
      </c>
      <c r="K55" s="21">
        <f t="shared" si="39"/>
        <v>2058.2375999999999</v>
      </c>
      <c r="L55" s="21">
        <v>0.75</v>
      </c>
      <c r="M55" s="21">
        <f t="shared" si="40"/>
        <v>37.215000000000003</v>
      </c>
    </row>
    <row r="56" spans="2:14">
      <c r="B56" s="21" t="s">
        <v>105</v>
      </c>
      <c r="C56" s="21">
        <v>548.5</v>
      </c>
      <c r="D56" s="21">
        <f t="shared" si="36"/>
        <v>5485</v>
      </c>
      <c r="E56" s="21">
        <v>48.38</v>
      </c>
      <c r="F56" s="21">
        <f t="shared" si="37"/>
        <v>2653.643</v>
      </c>
      <c r="G56" s="21">
        <v>5.58</v>
      </c>
      <c r="H56" s="21">
        <f t="shared" si="38"/>
        <v>306.06299999999999</v>
      </c>
      <c r="I56" s="21">
        <v>5750.9999999999991</v>
      </c>
      <c r="J56" s="21">
        <v>41.65</v>
      </c>
      <c r="K56" s="21">
        <f t="shared" si="39"/>
        <v>2395.2914999999994</v>
      </c>
      <c r="L56" s="21">
        <v>0.82</v>
      </c>
      <c r="M56" s="21">
        <f t="shared" si="40"/>
        <v>47.158199999999987</v>
      </c>
    </row>
    <row r="57" spans="2:14">
      <c r="B57" s="21" t="s">
        <v>108</v>
      </c>
      <c r="C57" s="21">
        <v>432.70000000000005</v>
      </c>
      <c r="D57" s="21">
        <f t="shared" si="36"/>
        <v>4327</v>
      </c>
      <c r="E57" s="21">
        <v>48.72</v>
      </c>
      <c r="F57" s="21">
        <f t="shared" si="37"/>
        <v>2108.1143999999999</v>
      </c>
      <c r="G57" s="21">
        <v>5.56</v>
      </c>
      <c r="H57" s="21">
        <f t="shared" si="38"/>
        <v>240.5812</v>
      </c>
      <c r="I57" s="21">
        <v>4762</v>
      </c>
      <c r="J57" s="21">
        <v>41.96</v>
      </c>
      <c r="K57" s="21">
        <f t="shared" si="39"/>
        <v>1998.1352000000002</v>
      </c>
      <c r="L57" s="21">
        <v>0.86</v>
      </c>
      <c r="M57" s="21">
        <f t="shared" si="40"/>
        <v>40.953200000000002</v>
      </c>
    </row>
    <row r="58" spans="2:14" ht="18.5">
      <c r="B58" s="204" t="s">
        <v>512</v>
      </c>
      <c r="C58" s="208"/>
      <c r="D58" s="204">
        <f>AVERAGE(D49:D57)</f>
        <v>5115.5555555555557</v>
      </c>
      <c r="E58" s="209"/>
      <c r="F58" s="209">
        <f>AVERAGE(F49:F57)</f>
        <v>2490.9785111111109</v>
      </c>
      <c r="G58" s="209"/>
      <c r="H58" s="209">
        <f>AVERAGE(H49:H57)</f>
        <v>293.23580000000004</v>
      </c>
      <c r="I58" s="209">
        <f>AVERAGE(I49:I57)</f>
        <v>5352.5555555555557</v>
      </c>
      <c r="J58" s="209"/>
      <c r="K58" s="209">
        <f>AVERAGE(K49:K57)</f>
        <v>2206.4339777777777</v>
      </c>
      <c r="L58" s="209"/>
      <c r="M58" s="209">
        <f>AVERAGE(M49:M57)</f>
        <v>51.314522222222216</v>
      </c>
    </row>
    <row r="59" spans="2:14" ht="18.5">
      <c r="B59" s="204" t="s">
        <v>527</v>
      </c>
      <c r="C59" s="208"/>
      <c r="D59" s="204">
        <f>STDEV(D49:D57)</f>
        <v>405.21078191205368</v>
      </c>
      <c r="E59" s="209"/>
      <c r="F59" s="209">
        <f>STDEV(F49:F57)</f>
        <v>196.71291614000251</v>
      </c>
      <c r="G59" s="209"/>
      <c r="H59" s="209">
        <f>STDEV(H49:H57)</f>
        <v>26.863956130333822</v>
      </c>
      <c r="I59" s="209">
        <f>STDEV(I49:I57)</f>
        <v>593.86953767454042</v>
      </c>
      <c r="J59" s="209"/>
      <c r="K59" s="209">
        <f>STDEV(K49:K57)</f>
        <v>229.19581999071622</v>
      </c>
      <c r="L59" s="209"/>
      <c r="M59" s="209">
        <f>STDEV(M49:M57)</f>
        <v>14.194877028331204</v>
      </c>
    </row>
    <row r="61" spans="2:14" ht="18.5">
      <c r="B61" s="195"/>
      <c r="C61" s="195"/>
      <c r="D61" s="195">
        <f>AVERAGE(D35:D43,D49:D57)</f>
        <v>5168.833333333333</v>
      </c>
      <c r="E61" s="195"/>
      <c r="F61" s="195"/>
      <c r="G61" s="195"/>
      <c r="H61" s="195">
        <f>AVERAGE('17-Sept-2020 - Soybeans'!H44,'17-Sept-2020 - Soybeans'!H58)</f>
        <v>295.18846666666673</v>
      </c>
      <c r="I61" s="195">
        <f>AVERAGE(I44,I58)</f>
        <v>5311.5000000000009</v>
      </c>
      <c r="J61" s="195"/>
      <c r="K61" s="195"/>
      <c r="L61" s="195"/>
      <c r="M61" s="195">
        <f>AVERAGE(M44,M58)</f>
        <v>48.374377777777781</v>
      </c>
      <c r="N61" s="195"/>
    </row>
    <row r="62" spans="2:14">
      <c r="D62">
        <f>STDEV(D35:D43,D49:D57)</f>
        <v>385.42921071266539</v>
      </c>
      <c r="I62">
        <f>STDEV(I35:I43,I49:I57)</f>
        <v>619.07789588748085</v>
      </c>
    </row>
  </sheetData>
  <mergeCells count="6">
    <mergeCell ref="B1:D1"/>
    <mergeCell ref="E1:G1"/>
    <mergeCell ref="C2:D2"/>
    <mergeCell ref="E2:F2"/>
    <mergeCell ref="C16:D16"/>
    <mergeCell ref="E16: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78A7-FF51-4B4A-A6B7-30563F4977A4}">
  <dimension ref="A1:AV75"/>
  <sheetViews>
    <sheetView topLeftCell="X1" zoomScale="62" zoomScaleNormal="80" workbookViewId="0">
      <selection activeCell="AV6" sqref="AV6"/>
    </sheetView>
  </sheetViews>
  <sheetFormatPr defaultColWidth="11" defaultRowHeight="15.5"/>
  <cols>
    <col min="2" max="2" width="14.33203125" customWidth="1"/>
    <col min="3" max="3" width="14" customWidth="1"/>
    <col min="4" max="4" width="16" customWidth="1"/>
    <col min="5" max="5" width="13.58203125" customWidth="1"/>
    <col min="6" max="6" width="18.58203125" customWidth="1"/>
    <col min="7" max="7" width="16.83203125" customWidth="1"/>
    <col min="8" max="8" width="20.33203125" customWidth="1"/>
    <col min="9" max="9" width="13.58203125" customWidth="1"/>
    <col min="10" max="10" width="18.5" customWidth="1"/>
    <col min="11" max="11" width="14.83203125" customWidth="1"/>
    <col min="12" max="12" width="22.33203125" customWidth="1"/>
    <col min="14" max="14" width="21.83203125" customWidth="1"/>
    <col min="15" max="15" width="15" customWidth="1"/>
    <col min="16" max="16" width="21.5" customWidth="1"/>
    <col min="17" max="17" width="12.83203125" customWidth="1"/>
    <col min="18" max="18" width="16.08203125" customWidth="1"/>
    <col min="19" max="19" width="19.33203125" customWidth="1"/>
    <col min="20" max="20" width="17" customWidth="1"/>
    <col min="21" max="21" width="13.83203125" customWidth="1"/>
    <col min="24" max="24" width="13.5" customWidth="1"/>
    <col min="25" max="25" width="24" customWidth="1"/>
    <col min="26" max="26" width="12.33203125" customWidth="1"/>
    <col min="27" max="27" width="13.5" customWidth="1"/>
    <col min="28" max="28" width="12.08203125" customWidth="1"/>
    <col min="29" max="29" width="16" customWidth="1"/>
    <col min="33" max="33" width="17.33203125" customWidth="1"/>
    <col min="34" max="34" width="13.58203125" customWidth="1"/>
    <col min="35" max="35" width="13.5" customWidth="1"/>
    <col min="36" max="36" width="14.08203125" customWidth="1"/>
    <col min="37" max="37" width="18.58203125" customWidth="1"/>
    <col min="38" max="39" width="16.83203125" customWidth="1"/>
    <col min="40" max="40" width="13.83203125" customWidth="1"/>
    <col min="41" max="41" width="20.08203125" customWidth="1"/>
    <col min="42" max="42" width="12.33203125" bestFit="1" customWidth="1"/>
    <col min="43" max="43" width="14.33203125" customWidth="1"/>
  </cols>
  <sheetData>
    <row r="1" spans="1:48" ht="21">
      <c r="A1" s="43"/>
      <c r="B1" s="303" t="s">
        <v>544</v>
      </c>
      <c r="C1" s="303"/>
      <c r="D1" s="303"/>
      <c r="E1" s="303"/>
      <c r="F1" s="303" t="s">
        <v>545</v>
      </c>
      <c r="G1" s="303"/>
      <c r="H1" s="303"/>
      <c r="I1" s="303"/>
      <c r="J1" s="303"/>
      <c r="K1" s="303"/>
      <c r="L1" s="17" t="s">
        <v>546</v>
      </c>
      <c r="M1" s="17"/>
      <c r="N1" s="17"/>
      <c r="O1" s="17"/>
      <c r="P1" s="17" t="s">
        <v>547</v>
      </c>
      <c r="Q1" s="17" t="s">
        <v>548</v>
      </c>
      <c r="R1" s="17">
        <v>42.3</v>
      </c>
      <c r="S1" s="17" t="s">
        <v>549</v>
      </c>
      <c r="T1" s="44">
        <v>34.06</v>
      </c>
      <c r="U1" s="17"/>
      <c r="V1" s="17"/>
      <c r="W1" s="17"/>
      <c r="X1" s="17"/>
      <c r="Y1" s="17"/>
      <c r="Z1" s="17"/>
      <c r="AA1" s="17"/>
      <c r="AB1" s="17"/>
      <c r="AC1" s="17"/>
      <c r="AI1" s="14"/>
    </row>
    <row r="2" spans="1:48" ht="26">
      <c r="A2" s="45"/>
      <c r="B2" s="46" t="s">
        <v>550</v>
      </c>
      <c r="C2" s="17"/>
      <c r="D2" s="17"/>
      <c r="E2" s="17"/>
      <c r="F2" s="17"/>
      <c r="G2" s="17"/>
      <c r="H2" s="47"/>
      <c r="I2" s="47"/>
      <c r="J2" s="47" t="s">
        <v>551</v>
      </c>
      <c r="K2" s="17"/>
      <c r="L2" s="17"/>
      <c r="M2" s="17"/>
      <c r="N2" s="17"/>
      <c r="O2" s="17"/>
      <c r="P2" s="17"/>
      <c r="Q2" s="17"/>
      <c r="R2" s="17"/>
      <c r="S2" s="17" t="s">
        <v>552</v>
      </c>
      <c r="T2" s="44">
        <v>21.8</v>
      </c>
      <c r="U2" s="17"/>
      <c r="V2" s="17"/>
      <c r="W2" s="17"/>
      <c r="X2" s="17"/>
      <c r="Y2" s="17"/>
      <c r="Z2" s="17"/>
      <c r="AA2" s="17"/>
      <c r="AB2" s="17"/>
    </row>
    <row r="3" spans="1:48" ht="26">
      <c r="A3" s="17"/>
      <c r="B3" s="17"/>
      <c r="C3" s="17"/>
      <c r="D3" s="304" t="s">
        <v>553</v>
      </c>
      <c r="E3" s="305"/>
      <c r="F3" s="306"/>
      <c r="G3" s="307"/>
      <c r="H3" s="23" t="s">
        <v>554</v>
      </c>
      <c r="I3" s="48"/>
      <c r="J3" s="17"/>
      <c r="K3" s="17"/>
      <c r="L3" s="238" t="s">
        <v>555</v>
      </c>
      <c r="M3" s="17"/>
      <c r="N3" s="17"/>
      <c r="P3" s="304" t="s">
        <v>556</v>
      </c>
      <c r="Q3" s="308"/>
      <c r="R3" s="308"/>
      <c r="S3" s="308"/>
      <c r="T3" s="305"/>
      <c r="V3" s="25"/>
      <c r="W3" s="25"/>
      <c r="X3" s="25"/>
      <c r="Y3" s="49" t="s">
        <v>557</v>
      </c>
      <c r="Z3" s="49"/>
      <c r="AA3" s="49"/>
      <c r="AB3" s="49"/>
      <c r="AC3" s="201"/>
      <c r="AD3" s="226"/>
      <c r="AE3" s="3"/>
      <c r="AF3" s="233" t="s">
        <v>558</v>
      </c>
      <c r="AG3" s="3"/>
      <c r="AH3" s="3"/>
      <c r="AI3" s="3"/>
      <c r="AJ3" s="76"/>
      <c r="AK3" s="3"/>
      <c r="AL3" s="3"/>
      <c r="AM3" s="3"/>
      <c r="AN3" s="3"/>
      <c r="AO3" s="3"/>
      <c r="AP3" s="201"/>
      <c r="AQ3" s="201"/>
    </row>
    <row r="4" spans="1:48" ht="21">
      <c r="A4" s="88" t="s">
        <v>559</v>
      </c>
      <c r="B4" s="48" t="s">
        <v>560</v>
      </c>
      <c r="C4" s="53" t="s">
        <v>561</v>
      </c>
      <c r="D4" s="50" t="s">
        <v>562</v>
      </c>
      <c r="E4" s="50" t="s">
        <v>563</v>
      </c>
      <c r="F4" s="53" t="s">
        <v>564</v>
      </c>
      <c r="G4" s="53" t="s">
        <v>565</v>
      </c>
      <c r="H4" s="23"/>
      <c r="I4" s="23" t="s">
        <v>566</v>
      </c>
      <c r="J4" s="53" t="s">
        <v>567</v>
      </c>
      <c r="K4" s="189" t="s">
        <v>568</v>
      </c>
      <c r="L4" s="239" t="s">
        <v>569</v>
      </c>
      <c r="M4" s="234" t="s">
        <v>559</v>
      </c>
      <c r="N4" s="86" t="s">
        <v>570</v>
      </c>
      <c r="O4" s="23" t="s">
        <v>506</v>
      </c>
      <c r="P4" s="23" t="s">
        <v>571</v>
      </c>
      <c r="Q4" s="23" t="s">
        <v>554</v>
      </c>
      <c r="R4" s="23" t="s">
        <v>572</v>
      </c>
      <c r="S4" s="53" t="s">
        <v>567</v>
      </c>
      <c r="T4" s="53" t="s">
        <v>568</v>
      </c>
      <c r="U4" s="20" t="s">
        <v>504</v>
      </c>
      <c r="V4" s="17"/>
      <c r="W4" s="301" t="s">
        <v>573</v>
      </c>
      <c r="X4" s="301"/>
      <c r="Y4" s="301"/>
      <c r="Z4" s="301"/>
      <c r="AA4" s="301"/>
      <c r="AB4" s="302"/>
      <c r="AC4" s="201"/>
      <c r="AD4" s="230" t="s">
        <v>574</v>
      </c>
      <c r="AE4" s="227"/>
      <c r="AF4" s="228"/>
      <c r="AG4" s="229"/>
      <c r="AH4" s="202"/>
      <c r="AI4" s="241" t="s">
        <v>575</v>
      </c>
      <c r="AJ4" s="202"/>
      <c r="AK4" s="201"/>
      <c r="AL4" s="201"/>
      <c r="AM4" s="201"/>
      <c r="AN4" s="201"/>
      <c r="AO4" s="201"/>
      <c r="AP4" s="201"/>
      <c r="AQ4" s="201"/>
    </row>
    <row r="5" spans="1:48">
      <c r="A5" s="89" t="s">
        <v>167</v>
      </c>
      <c r="B5" s="86" t="s">
        <v>112</v>
      </c>
      <c r="C5" s="25">
        <v>1159.3</v>
      </c>
      <c r="D5" s="51">
        <v>318.39999999999998</v>
      </c>
      <c r="E5" s="51">
        <f t="shared" ref="E5:E13" si="0">D5-$R$1</f>
        <v>276.09999999999997</v>
      </c>
      <c r="F5" s="25"/>
      <c r="G5" s="25"/>
      <c r="H5" s="25">
        <v>123.3</v>
      </c>
      <c r="I5" s="25">
        <f t="shared" ref="I5:I13" si="1">H5-$R$1</f>
        <v>81</v>
      </c>
      <c r="J5" s="24">
        <f t="shared" ref="J5:J13" si="2">(D5/1000)/(1/10000)</f>
        <v>3183.9999999999995</v>
      </c>
      <c r="K5" s="81">
        <f>(I5/1000)/(1/10000)</f>
        <v>810</v>
      </c>
      <c r="L5" s="240">
        <f>K5-$R$14</f>
        <v>776.16</v>
      </c>
      <c r="M5" s="235"/>
      <c r="N5" s="86"/>
      <c r="O5" s="25"/>
      <c r="P5" s="25"/>
      <c r="Q5" s="25"/>
      <c r="R5" s="25"/>
      <c r="S5" s="25"/>
      <c r="T5" s="25"/>
      <c r="U5" s="81"/>
      <c r="V5" s="85" t="s">
        <v>559</v>
      </c>
      <c r="W5" s="83" t="s">
        <v>494</v>
      </c>
      <c r="X5" s="39" t="s">
        <v>495</v>
      </c>
      <c r="Y5" s="39" t="s">
        <v>576</v>
      </c>
      <c r="Z5" s="39" t="s">
        <v>496</v>
      </c>
      <c r="AA5" s="39" t="s">
        <v>498</v>
      </c>
      <c r="AB5" s="20" t="s">
        <v>504</v>
      </c>
      <c r="AC5" s="248" t="s">
        <v>577</v>
      </c>
      <c r="AD5" s="249" t="s">
        <v>578</v>
      </c>
      <c r="AE5" s="250" t="s">
        <v>523</v>
      </c>
      <c r="AF5" s="250" t="s">
        <v>524</v>
      </c>
      <c r="AG5" s="250" t="s">
        <v>525</v>
      </c>
      <c r="AH5" s="201"/>
      <c r="AI5" s="223" t="s">
        <v>559</v>
      </c>
      <c r="AJ5" s="224" t="s">
        <v>579</v>
      </c>
      <c r="AK5" s="225" t="s">
        <v>568</v>
      </c>
      <c r="AL5" s="203" t="s">
        <v>578</v>
      </c>
      <c r="AM5" s="203" t="s">
        <v>523</v>
      </c>
      <c r="AN5" s="203" t="s">
        <v>524</v>
      </c>
      <c r="AO5" s="203" t="s">
        <v>525</v>
      </c>
      <c r="AP5" s="201"/>
      <c r="AQ5" s="201"/>
      <c r="AT5" t="s">
        <v>523</v>
      </c>
      <c r="AU5" t="s">
        <v>525</v>
      </c>
      <c r="AV5" t="s">
        <v>580</v>
      </c>
    </row>
    <row r="6" spans="1:48">
      <c r="A6" s="89" t="s">
        <v>170</v>
      </c>
      <c r="B6" s="86" t="s">
        <v>115</v>
      </c>
      <c r="C6" s="25">
        <v>878.1</v>
      </c>
      <c r="D6" s="51">
        <v>365</v>
      </c>
      <c r="E6" s="51">
        <f t="shared" si="0"/>
        <v>322.7</v>
      </c>
      <c r="F6" s="25"/>
      <c r="G6" s="25"/>
      <c r="H6" s="25">
        <v>150.80000000000001</v>
      </c>
      <c r="I6" s="25">
        <f t="shared" si="1"/>
        <v>108.50000000000001</v>
      </c>
      <c r="J6" s="24">
        <f t="shared" si="2"/>
        <v>3649.9999999999995</v>
      </c>
      <c r="K6" s="81">
        <f t="shared" ref="K6:K13" si="3">(I6/1000)/(1/10000)</f>
        <v>1085</v>
      </c>
      <c r="L6" s="240">
        <f t="shared" ref="L6:L13" si="4">K6-$P$14</f>
        <v>1040.1099999999999</v>
      </c>
      <c r="M6" s="235"/>
      <c r="N6" s="86"/>
      <c r="O6" s="25"/>
      <c r="P6" s="25"/>
      <c r="Q6" s="25"/>
      <c r="R6" s="25"/>
      <c r="S6" s="25"/>
      <c r="T6" s="25"/>
      <c r="U6" s="81"/>
      <c r="V6" s="80" t="s">
        <v>235</v>
      </c>
      <c r="W6" s="84">
        <v>1</v>
      </c>
      <c r="X6" s="21">
        <v>131.9</v>
      </c>
      <c r="Y6" s="21">
        <f>X6-$T$1</f>
        <v>97.84</v>
      </c>
      <c r="Z6" s="21">
        <v>39.200000000000003</v>
      </c>
      <c r="AA6" s="21">
        <f t="shared" ref="AA6:AA17" si="5">Z6-$T$1</f>
        <v>5.1400000000000006</v>
      </c>
      <c r="AB6" s="22">
        <f>((Y6-AA6)/Y6)*100</f>
        <v>94.746524938675392</v>
      </c>
      <c r="AC6" s="21">
        <f>(((AA6*$Y$40)/1000)/(1/10000))</f>
        <v>402.28526747514081</v>
      </c>
      <c r="AD6" s="21">
        <v>36.1</v>
      </c>
      <c r="AE6" s="21">
        <f>AC6*(AD6/100)</f>
        <v>145.22498155852583</v>
      </c>
      <c r="AF6" s="21">
        <v>1.94</v>
      </c>
      <c r="AG6" s="21">
        <f>AC6*(AF6/100)</f>
        <v>7.804334189017732</v>
      </c>
      <c r="AH6" s="201"/>
      <c r="AI6" s="89" t="s">
        <v>167</v>
      </c>
      <c r="AJ6" s="220" t="s">
        <v>112</v>
      </c>
      <c r="AK6" s="21">
        <v>776.16</v>
      </c>
      <c r="AL6" s="21">
        <v>40.799999999999997</v>
      </c>
      <c r="AM6" s="21">
        <f>AK6*(AL6/100)</f>
        <v>316.67327999999998</v>
      </c>
      <c r="AN6" s="21">
        <v>2.4</v>
      </c>
      <c r="AO6" s="21">
        <f>AK6*(AN6/100)</f>
        <v>18.627839999999999</v>
      </c>
      <c r="AP6" s="201"/>
      <c r="AQ6" s="201"/>
      <c r="AT6">
        <v>316.67327999999998</v>
      </c>
      <c r="AU6">
        <v>18.627839999999999</v>
      </c>
      <c r="AV6">
        <f>AT6/AU6</f>
        <v>17</v>
      </c>
    </row>
    <row r="7" spans="1:48">
      <c r="A7" s="89" t="s">
        <v>172</v>
      </c>
      <c r="B7" s="86" t="s">
        <v>118</v>
      </c>
      <c r="C7" s="25">
        <v>899</v>
      </c>
      <c r="D7" s="51">
        <v>436.1</v>
      </c>
      <c r="E7" s="51">
        <f t="shared" si="0"/>
        <v>393.8</v>
      </c>
      <c r="F7" s="25"/>
      <c r="G7" s="25"/>
      <c r="H7" s="25">
        <v>209.8</v>
      </c>
      <c r="I7" s="25">
        <f t="shared" si="1"/>
        <v>167.5</v>
      </c>
      <c r="J7" s="24">
        <f t="shared" si="2"/>
        <v>4361</v>
      </c>
      <c r="K7" s="81">
        <f t="shared" si="3"/>
        <v>1675</v>
      </c>
      <c r="L7" s="240">
        <f t="shared" si="4"/>
        <v>1630.11</v>
      </c>
      <c r="M7" s="235"/>
      <c r="N7" s="86"/>
      <c r="O7" s="25"/>
      <c r="P7" s="25"/>
      <c r="Q7" s="25"/>
      <c r="R7" s="25"/>
      <c r="S7" s="25"/>
      <c r="T7" s="25"/>
      <c r="U7" s="81"/>
      <c r="V7" s="80" t="s">
        <v>237</v>
      </c>
      <c r="W7" s="84">
        <v>2</v>
      </c>
      <c r="X7" s="21">
        <v>117.7</v>
      </c>
      <c r="Y7" s="21">
        <f t="shared" ref="Y7:Y17" si="6">X7-$T$1</f>
        <v>83.64</v>
      </c>
      <c r="Z7" s="21">
        <v>38.9</v>
      </c>
      <c r="AA7" s="21">
        <f t="shared" si="5"/>
        <v>4.8399999999999963</v>
      </c>
      <c r="AB7" s="22">
        <f t="shared" ref="AB7:AB17" si="7">((Y7-AA7)/Y7)*100</f>
        <v>94.213295074127217</v>
      </c>
      <c r="AC7" s="21">
        <f t="shared" ref="AC7:AC17" si="8">(((AA7*$Y$40)/1000)/(1/10000))</f>
        <v>378.80558260305054</v>
      </c>
      <c r="AD7" s="21">
        <v>36.119999999999997</v>
      </c>
      <c r="AE7" s="21">
        <f t="shared" ref="AE7:AE17" si="9">AC7*(AD7/100)</f>
        <v>136.82457643622183</v>
      </c>
      <c r="AF7" s="21">
        <v>1.84</v>
      </c>
      <c r="AG7" s="21">
        <f t="shared" ref="AG7:AG17" si="10">AC7*(AF7/100)</f>
        <v>6.9700227198961295</v>
      </c>
      <c r="AH7" s="201"/>
      <c r="AI7" s="89" t="s">
        <v>170</v>
      </c>
      <c r="AJ7" s="221" t="s">
        <v>115</v>
      </c>
      <c r="AK7" s="21">
        <v>1040.1099999999999</v>
      </c>
      <c r="AL7" s="21">
        <v>41.17</v>
      </c>
      <c r="AM7" s="21">
        <f t="shared" ref="AM7:AM14" si="11">AK7*(AL7/100)</f>
        <v>428.21328699999998</v>
      </c>
      <c r="AN7" s="21">
        <v>2.33</v>
      </c>
      <c r="AO7" s="21">
        <f t="shared" ref="AO7:AO14" si="12">AK7*(AN7/100)</f>
        <v>24.234562999999998</v>
      </c>
      <c r="AP7" s="201"/>
      <c r="AQ7" s="201"/>
      <c r="AT7">
        <v>428.21328699999998</v>
      </c>
      <c r="AU7">
        <v>24.234562999999998</v>
      </c>
      <c r="AV7">
        <f t="shared" ref="AV7:AV23" si="13">AT7/AU7</f>
        <v>17.66952789699571</v>
      </c>
    </row>
    <row r="8" spans="1:48">
      <c r="A8" s="89" t="s">
        <v>174</v>
      </c>
      <c r="B8" s="86" t="s">
        <v>121</v>
      </c>
      <c r="C8" s="25">
        <v>686.1</v>
      </c>
      <c r="D8" s="51">
        <f>F8+O8</f>
        <v>308.3</v>
      </c>
      <c r="E8" s="51">
        <f t="shared" si="0"/>
        <v>266</v>
      </c>
      <c r="F8" s="25">
        <v>214</v>
      </c>
      <c r="G8" s="25">
        <f>F8-T1</f>
        <v>179.94</v>
      </c>
      <c r="H8" s="25">
        <v>96.1</v>
      </c>
      <c r="I8" s="25">
        <f t="shared" si="1"/>
        <v>53.8</v>
      </c>
      <c r="J8" s="24">
        <f t="shared" si="2"/>
        <v>3083</v>
      </c>
      <c r="K8" s="81">
        <f t="shared" si="3"/>
        <v>538</v>
      </c>
      <c r="L8" s="240">
        <f t="shared" si="4"/>
        <v>493.11</v>
      </c>
      <c r="M8" s="236" t="s">
        <v>394</v>
      </c>
      <c r="N8" s="87" t="s">
        <v>121</v>
      </c>
      <c r="O8" s="24">
        <v>94.3</v>
      </c>
      <c r="P8" s="24">
        <f>O8-T1</f>
        <v>60.239999999999995</v>
      </c>
      <c r="Q8" s="24">
        <v>79.8</v>
      </c>
      <c r="R8" s="24">
        <f>Q8-T1</f>
        <v>45.739999999999995</v>
      </c>
      <c r="S8" s="24">
        <f>(O8/1000)/(1/10000)</f>
        <v>942.99999999999989</v>
      </c>
      <c r="T8" s="24">
        <f>(Q8/1000)/(1/10000)</f>
        <v>797.99999999999989</v>
      </c>
      <c r="U8" s="82">
        <f>((P8-R8)/P8)*100</f>
        <v>24.070385126162019</v>
      </c>
      <c r="V8" s="80" t="s">
        <v>239</v>
      </c>
      <c r="W8" s="84">
        <v>3</v>
      </c>
      <c r="X8" s="21">
        <v>137</v>
      </c>
      <c r="Y8" s="21">
        <f t="shared" si="6"/>
        <v>102.94</v>
      </c>
      <c r="Z8" s="21">
        <v>40.1</v>
      </c>
      <c r="AA8" s="21">
        <f t="shared" si="5"/>
        <v>6.0399999999999991</v>
      </c>
      <c r="AB8" s="22">
        <f t="shared" si="7"/>
        <v>94.132504371478547</v>
      </c>
      <c r="AC8" s="21">
        <f t="shared" si="8"/>
        <v>472.7243220914105</v>
      </c>
      <c r="AD8" s="21">
        <v>34.67</v>
      </c>
      <c r="AE8" s="21">
        <f t="shared" si="9"/>
        <v>163.89352246909203</v>
      </c>
      <c r="AF8" s="21">
        <v>2.14</v>
      </c>
      <c r="AG8" s="21">
        <f t="shared" si="10"/>
        <v>10.116300492756185</v>
      </c>
      <c r="AH8" s="201"/>
      <c r="AI8" s="89" t="s">
        <v>172</v>
      </c>
      <c r="AJ8" s="221" t="s">
        <v>118</v>
      </c>
      <c r="AK8" s="21">
        <v>1630.11</v>
      </c>
      <c r="AL8" s="21">
        <v>40.770000000000003</v>
      </c>
      <c r="AM8" s="21">
        <f t="shared" si="11"/>
        <v>664.59584699999994</v>
      </c>
      <c r="AN8" s="21">
        <v>2.16</v>
      </c>
      <c r="AO8" s="21">
        <f t="shared" si="12"/>
        <v>35.210375999999997</v>
      </c>
      <c r="AP8" s="201"/>
      <c r="AQ8" s="201"/>
      <c r="AT8">
        <v>664.59584699999994</v>
      </c>
      <c r="AU8">
        <v>35.210375999999997</v>
      </c>
      <c r="AV8">
        <f t="shared" si="13"/>
        <v>18.875</v>
      </c>
    </row>
    <row r="9" spans="1:48">
      <c r="A9" s="89" t="s">
        <v>176</v>
      </c>
      <c r="B9" s="86" t="s">
        <v>124</v>
      </c>
      <c r="C9" s="25">
        <v>813.5</v>
      </c>
      <c r="D9" s="51">
        <v>394.7</v>
      </c>
      <c r="E9" s="51">
        <f t="shared" si="0"/>
        <v>352.4</v>
      </c>
      <c r="F9" s="25"/>
      <c r="G9" s="25"/>
      <c r="H9" s="25">
        <v>183.1</v>
      </c>
      <c r="I9" s="25">
        <f t="shared" si="1"/>
        <v>140.80000000000001</v>
      </c>
      <c r="J9" s="24">
        <f t="shared" si="2"/>
        <v>3946.9999999999995</v>
      </c>
      <c r="K9" s="81">
        <f t="shared" si="3"/>
        <v>1408</v>
      </c>
      <c r="L9" s="240">
        <f t="shared" si="4"/>
        <v>1363.11</v>
      </c>
      <c r="M9" s="235"/>
      <c r="N9" s="87"/>
      <c r="O9" s="24"/>
      <c r="P9" s="24"/>
      <c r="Q9" s="24"/>
      <c r="R9" s="24"/>
      <c r="S9" s="25"/>
      <c r="T9" s="25"/>
      <c r="U9" s="81"/>
      <c r="V9" s="80" t="s">
        <v>242</v>
      </c>
      <c r="W9" s="84">
        <v>4</v>
      </c>
      <c r="X9" s="21">
        <v>94.1</v>
      </c>
      <c r="Y9" s="21">
        <f t="shared" si="6"/>
        <v>60.039999999999992</v>
      </c>
      <c r="Z9" s="21">
        <v>36.1</v>
      </c>
      <c r="AA9" s="21">
        <f t="shared" si="5"/>
        <v>2.0399999999999991</v>
      </c>
      <c r="AB9" s="22">
        <f t="shared" si="7"/>
        <v>96.602265156562297</v>
      </c>
      <c r="AC9" s="21">
        <f t="shared" si="8"/>
        <v>159.66185713021144</v>
      </c>
      <c r="AD9" s="21">
        <v>36.69</v>
      </c>
      <c r="AE9" s="21">
        <f t="shared" si="9"/>
        <v>58.579935381074577</v>
      </c>
      <c r="AF9" s="21">
        <v>2.59</v>
      </c>
      <c r="AG9" s="21">
        <f t="shared" si="10"/>
        <v>4.1352420996724764</v>
      </c>
      <c r="AH9" s="201"/>
      <c r="AI9" s="89" t="s">
        <v>174</v>
      </c>
      <c r="AJ9" s="221" t="s">
        <v>121</v>
      </c>
      <c r="AK9" s="21">
        <v>493.11</v>
      </c>
      <c r="AL9" s="21">
        <v>40.53</v>
      </c>
      <c r="AM9" s="21">
        <f t="shared" si="11"/>
        <v>199.857483</v>
      </c>
      <c r="AN9" s="21">
        <v>2.37</v>
      </c>
      <c r="AO9" s="21">
        <f t="shared" si="12"/>
        <v>11.686707000000002</v>
      </c>
      <c r="AP9" s="201"/>
      <c r="AQ9" s="201"/>
      <c r="AT9">
        <v>199.857483</v>
      </c>
      <c r="AU9">
        <v>11.686707000000002</v>
      </c>
      <c r="AV9">
        <f t="shared" si="13"/>
        <v>17.101265822784807</v>
      </c>
    </row>
    <row r="10" spans="1:48">
      <c r="A10" s="89" t="s">
        <v>178</v>
      </c>
      <c r="B10" s="86" t="s">
        <v>127</v>
      </c>
      <c r="C10" s="25">
        <v>912.4</v>
      </c>
      <c r="D10" s="51">
        <f>F10+O10</f>
        <v>526.29999999999995</v>
      </c>
      <c r="E10" s="51">
        <f t="shared" si="0"/>
        <v>483.99999999999994</v>
      </c>
      <c r="F10" s="25">
        <v>462.7</v>
      </c>
      <c r="G10" s="25">
        <f>F10-T1</f>
        <v>428.64</v>
      </c>
      <c r="H10" s="25">
        <v>177.6</v>
      </c>
      <c r="I10" s="25">
        <f t="shared" si="1"/>
        <v>135.30000000000001</v>
      </c>
      <c r="J10" s="24">
        <f t="shared" si="2"/>
        <v>5263</v>
      </c>
      <c r="K10" s="81">
        <f t="shared" si="3"/>
        <v>1353</v>
      </c>
      <c r="L10" s="240">
        <f t="shared" si="4"/>
        <v>1308.1099999999999</v>
      </c>
      <c r="M10" s="236" t="s">
        <v>395</v>
      </c>
      <c r="N10" s="87" t="s">
        <v>127</v>
      </c>
      <c r="O10" s="24">
        <v>63.6</v>
      </c>
      <c r="P10" s="24">
        <f>O10-T1</f>
        <v>29.54</v>
      </c>
      <c r="Q10" s="24">
        <v>56</v>
      </c>
      <c r="R10" s="24">
        <f>Q10-T1</f>
        <v>21.939999999999998</v>
      </c>
      <c r="S10" s="24">
        <f>(O10/1000)/(1/10000)</f>
        <v>636</v>
      </c>
      <c r="T10" s="24">
        <f>(Q10/1000)/(1/10000)</f>
        <v>560</v>
      </c>
      <c r="U10" s="82">
        <f>((P10-R10)/P10)*100</f>
        <v>25.727826675693983</v>
      </c>
      <c r="V10" s="80" t="s">
        <v>245</v>
      </c>
      <c r="W10" s="84">
        <v>5</v>
      </c>
      <c r="X10" s="21">
        <v>158.69999999999999</v>
      </c>
      <c r="Y10" s="21">
        <f t="shared" si="6"/>
        <v>124.63999999999999</v>
      </c>
      <c r="Z10" s="21">
        <v>41.7</v>
      </c>
      <c r="AA10" s="21">
        <f t="shared" si="5"/>
        <v>7.6400000000000006</v>
      </c>
      <c r="AB10" s="22">
        <f t="shared" si="7"/>
        <v>93.870346598202829</v>
      </c>
      <c r="AC10" s="21">
        <f t="shared" si="8"/>
        <v>597.94930807589026</v>
      </c>
      <c r="AD10" s="21">
        <v>36.17</v>
      </c>
      <c r="AE10" s="21">
        <f t="shared" si="9"/>
        <v>216.27826473104952</v>
      </c>
      <c r="AF10" s="21">
        <v>2.15</v>
      </c>
      <c r="AG10" s="21">
        <f t="shared" si="10"/>
        <v>12.85591012363164</v>
      </c>
      <c r="AH10" s="201"/>
      <c r="AI10" s="89" t="s">
        <v>176</v>
      </c>
      <c r="AJ10" s="221" t="s">
        <v>124</v>
      </c>
      <c r="AK10" s="21">
        <v>1363.11</v>
      </c>
      <c r="AL10" s="21">
        <v>40.770000000000003</v>
      </c>
      <c r="AM10" s="21">
        <f t="shared" si="11"/>
        <v>555.73994699999992</v>
      </c>
      <c r="AN10" s="21">
        <v>2.3199999999999998</v>
      </c>
      <c r="AO10" s="21">
        <f t="shared" si="12"/>
        <v>31.624151999999995</v>
      </c>
      <c r="AP10" s="201"/>
      <c r="AQ10" s="201"/>
      <c r="AT10">
        <v>555.73994699999992</v>
      </c>
      <c r="AU10">
        <v>31.624151999999995</v>
      </c>
      <c r="AV10">
        <f t="shared" si="13"/>
        <v>17.573275862068964</v>
      </c>
    </row>
    <row r="11" spans="1:48">
      <c r="A11" s="89" t="s">
        <v>180</v>
      </c>
      <c r="B11" s="86" t="s">
        <v>130</v>
      </c>
      <c r="C11" s="25">
        <v>908.4</v>
      </c>
      <c r="D11" s="51">
        <v>424</v>
      </c>
      <c r="E11" s="51">
        <f t="shared" si="0"/>
        <v>381.7</v>
      </c>
      <c r="F11" s="25"/>
      <c r="G11" s="25"/>
      <c r="H11" s="25">
        <v>171.6</v>
      </c>
      <c r="I11" s="25">
        <f t="shared" si="1"/>
        <v>129.30000000000001</v>
      </c>
      <c r="J11" s="24">
        <f t="shared" si="2"/>
        <v>4240</v>
      </c>
      <c r="K11" s="81">
        <f t="shared" si="3"/>
        <v>1293</v>
      </c>
      <c r="L11" s="240">
        <f t="shared" si="4"/>
        <v>1248.1099999999999</v>
      </c>
      <c r="M11" s="235"/>
      <c r="N11" s="87"/>
      <c r="O11" s="24"/>
      <c r="P11" s="24"/>
      <c r="Q11" s="24"/>
      <c r="R11" s="24"/>
      <c r="S11" s="25"/>
      <c r="T11" s="25"/>
      <c r="U11" s="81"/>
      <c r="V11" s="80" t="s">
        <v>248</v>
      </c>
      <c r="W11" s="84">
        <v>6</v>
      </c>
      <c r="X11" s="21">
        <v>149.4</v>
      </c>
      <c r="Y11" s="21">
        <f t="shared" si="6"/>
        <v>115.34</v>
      </c>
      <c r="Z11" s="21">
        <v>41.8</v>
      </c>
      <c r="AA11" s="21">
        <f t="shared" si="5"/>
        <v>7.7399999999999949</v>
      </c>
      <c r="AB11" s="22">
        <f t="shared" si="7"/>
        <v>93.289405236691522</v>
      </c>
      <c r="AC11" s="21">
        <f t="shared" si="8"/>
        <v>605.77586969991978</v>
      </c>
      <c r="AD11" s="21">
        <v>37.590000000000003</v>
      </c>
      <c r="AE11" s="21">
        <f t="shared" si="9"/>
        <v>227.71114942019986</v>
      </c>
      <c r="AF11" s="21">
        <v>2.71</v>
      </c>
      <c r="AG11" s="21">
        <f t="shared" si="10"/>
        <v>16.416526068867825</v>
      </c>
      <c r="AH11" s="201"/>
      <c r="AI11" s="89" t="s">
        <v>178</v>
      </c>
      <c r="AJ11" s="221" t="s">
        <v>127</v>
      </c>
      <c r="AK11" s="21">
        <v>1308.1099999999999</v>
      </c>
      <c r="AL11" s="21">
        <v>39.97</v>
      </c>
      <c r="AM11" s="21">
        <f t="shared" si="11"/>
        <v>522.85156699999993</v>
      </c>
      <c r="AN11" s="21">
        <v>2.04</v>
      </c>
      <c r="AO11" s="21">
        <f t="shared" si="12"/>
        <v>26.685444</v>
      </c>
      <c r="AP11" s="201"/>
      <c r="AQ11" s="201"/>
      <c r="AT11">
        <v>522.85156699999993</v>
      </c>
      <c r="AU11">
        <v>26.685444</v>
      </c>
      <c r="AV11">
        <f t="shared" si="13"/>
        <v>19.593137254901958</v>
      </c>
    </row>
    <row r="12" spans="1:48">
      <c r="A12" s="89" t="s">
        <v>182</v>
      </c>
      <c r="B12" s="86" t="s">
        <v>133</v>
      </c>
      <c r="C12" s="25">
        <v>766</v>
      </c>
      <c r="D12" s="51">
        <v>391</v>
      </c>
      <c r="E12" s="51">
        <f t="shared" si="0"/>
        <v>348.7</v>
      </c>
      <c r="F12" s="25"/>
      <c r="G12" s="25"/>
      <c r="H12" s="25">
        <v>174.5</v>
      </c>
      <c r="I12" s="25">
        <f t="shared" si="1"/>
        <v>132.19999999999999</v>
      </c>
      <c r="J12" s="24">
        <f t="shared" si="2"/>
        <v>3910</v>
      </c>
      <c r="K12" s="81">
        <f t="shared" si="3"/>
        <v>1321.9999999999998</v>
      </c>
      <c r="L12" s="240">
        <f t="shared" si="4"/>
        <v>1277.1099999999997</v>
      </c>
      <c r="M12" s="235"/>
      <c r="N12" s="87"/>
      <c r="O12" s="24"/>
      <c r="P12" s="24"/>
      <c r="Q12" s="24"/>
      <c r="R12" s="24"/>
      <c r="S12" s="25"/>
      <c r="T12" s="25"/>
      <c r="U12" s="81"/>
      <c r="V12" s="80" t="s">
        <v>250</v>
      </c>
      <c r="W12" s="84">
        <v>7</v>
      </c>
      <c r="X12" s="21">
        <v>139.6</v>
      </c>
      <c r="Y12" s="21">
        <f t="shared" si="6"/>
        <v>105.53999999999999</v>
      </c>
      <c r="Z12" s="21">
        <v>41</v>
      </c>
      <c r="AA12" s="21">
        <f t="shared" si="5"/>
        <v>6.9399999999999977</v>
      </c>
      <c r="AB12" s="22">
        <f t="shared" si="7"/>
        <v>93.4242941064999</v>
      </c>
      <c r="AC12" s="21">
        <f t="shared" si="8"/>
        <v>543.16337670768019</v>
      </c>
      <c r="AD12" s="21">
        <v>36.47</v>
      </c>
      <c r="AE12" s="21">
        <f t="shared" si="9"/>
        <v>198.09168348529096</v>
      </c>
      <c r="AF12" s="21">
        <v>2.2799999999999998</v>
      </c>
      <c r="AG12" s="21">
        <f t="shared" si="10"/>
        <v>12.384124988935106</v>
      </c>
      <c r="AH12" s="201"/>
      <c r="AI12" s="89" t="s">
        <v>180</v>
      </c>
      <c r="AJ12" s="221" t="s">
        <v>130</v>
      </c>
      <c r="AK12" s="21">
        <v>1248.1099999999999</v>
      </c>
      <c r="AL12" s="21">
        <v>40.33</v>
      </c>
      <c r="AM12" s="21">
        <f t="shared" si="11"/>
        <v>503.36276299999997</v>
      </c>
      <c r="AN12" s="21">
        <v>2.08</v>
      </c>
      <c r="AO12" s="21">
        <f t="shared" si="12"/>
        <v>25.960687999999998</v>
      </c>
      <c r="AP12" s="201"/>
      <c r="AQ12" s="201"/>
      <c r="AT12">
        <v>503.36276299999997</v>
      </c>
      <c r="AU12">
        <v>25.960687999999998</v>
      </c>
      <c r="AV12">
        <f t="shared" si="13"/>
        <v>19.389423076923077</v>
      </c>
    </row>
    <row r="13" spans="1:48">
      <c r="A13" s="89" t="s">
        <v>184</v>
      </c>
      <c r="B13" s="86" t="s">
        <v>136</v>
      </c>
      <c r="C13" s="25">
        <v>749.4</v>
      </c>
      <c r="D13" s="51">
        <v>396.9</v>
      </c>
      <c r="E13" s="51">
        <f t="shared" si="0"/>
        <v>354.59999999999997</v>
      </c>
      <c r="F13" s="25"/>
      <c r="G13" s="25"/>
      <c r="H13" s="25">
        <v>212.6</v>
      </c>
      <c r="I13" s="25">
        <f t="shared" si="1"/>
        <v>170.3</v>
      </c>
      <c r="J13" s="24">
        <f t="shared" si="2"/>
        <v>3968.9999999999995</v>
      </c>
      <c r="K13" s="81">
        <f t="shared" si="3"/>
        <v>1703</v>
      </c>
      <c r="L13" s="240">
        <f t="shared" si="4"/>
        <v>1658.11</v>
      </c>
      <c r="M13" s="235"/>
      <c r="N13" s="87"/>
      <c r="O13" s="24"/>
      <c r="P13" s="24"/>
      <c r="Q13" s="24"/>
      <c r="R13" s="24"/>
      <c r="S13" s="25"/>
      <c r="T13" s="25"/>
      <c r="U13" s="81"/>
      <c r="V13" s="80" t="s">
        <v>252</v>
      </c>
      <c r="W13" s="84">
        <v>8</v>
      </c>
      <c r="X13" s="21">
        <v>121.9</v>
      </c>
      <c r="Y13" s="21">
        <f t="shared" si="6"/>
        <v>87.84</v>
      </c>
      <c r="Z13" s="21">
        <v>38.4</v>
      </c>
      <c r="AA13" s="21">
        <f t="shared" si="5"/>
        <v>4.3399999999999963</v>
      </c>
      <c r="AB13" s="22">
        <f t="shared" si="7"/>
        <v>95.059198542805106</v>
      </c>
      <c r="AC13" s="21">
        <f t="shared" si="8"/>
        <v>339.67277448290065</v>
      </c>
      <c r="AD13" s="21">
        <v>37.19</v>
      </c>
      <c r="AE13" s="21">
        <f t="shared" si="9"/>
        <v>126.32430483019074</v>
      </c>
      <c r="AF13" s="21">
        <v>2.0099999999999998</v>
      </c>
      <c r="AG13" s="21">
        <f t="shared" si="10"/>
        <v>6.8274227671063015</v>
      </c>
      <c r="AH13" s="201"/>
      <c r="AI13" s="89" t="s">
        <v>182</v>
      </c>
      <c r="AJ13" s="221" t="s">
        <v>133</v>
      </c>
      <c r="AK13" s="21">
        <v>1277.1099999999997</v>
      </c>
      <c r="AL13" s="21">
        <v>40.26</v>
      </c>
      <c r="AM13" s="21">
        <f t="shared" si="11"/>
        <v>514.16448599999978</v>
      </c>
      <c r="AN13" s="21">
        <v>2.02</v>
      </c>
      <c r="AO13" s="21">
        <f t="shared" si="12"/>
        <v>25.797621999999993</v>
      </c>
      <c r="AP13" s="201"/>
      <c r="AQ13" s="201"/>
      <c r="AT13">
        <v>514.16448599999978</v>
      </c>
      <c r="AU13">
        <v>25.797621999999993</v>
      </c>
      <c r="AV13">
        <f t="shared" si="13"/>
        <v>19.930693069306926</v>
      </c>
    </row>
    <row r="14" spans="1:48" ht="18.5">
      <c r="A14" s="17"/>
      <c r="L14" s="37"/>
      <c r="M14" s="17"/>
      <c r="N14" s="34" t="s">
        <v>512</v>
      </c>
      <c r="O14" s="52">
        <f t="shared" ref="O14:U14" si="14">AVERAGE(O8:O10)</f>
        <v>78.95</v>
      </c>
      <c r="P14" s="52">
        <f t="shared" si="14"/>
        <v>44.89</v>
      </c>
      <c r="Q14" s="52">
        <f t="shared" si="14"/>
        <v>67.900000000000006</v>
      </c>
      <c r="R14" s="52">
        <f t="shared" si="14"/>
        <v>33.839999999999996</v>
      </c>
      <c r="S14" s="52">
        <f t="shared" si="14"/>
        <v>789.5</v>
      </c>
      <c r="T14" s="52">
        <f t="shared" si="14"/>
        <v>679</v>
      </c>
      <c r="U14" s="52">
        <f t="shared" si="14"/>
        <v>24.899105900927999</v>
      </c>
      <c r="V14" s="80" t="s">
        <v>254</v>
      </c>
      <c r="W14" s="84">
        <v>9</v>
      </c>
      <c r="X14" s="21">
        <v>168.1</v>
      </c>
      <c r="Y14" s="21">
        <f t="shared" si="6"/>
        <v>134.04</v>
      </c>
      <c r="Z14" s="21">
        <v>42.3</v>
      </c>
      <c r="AA14" s="21">
        <f t="shared" si="5"/>
        <v>8.2399999999999949</v>
      </c>
      <c r="AB14" s="22">
        <f t="shared" si="7"/>
        <v>93.852581319009261</v>
      </c>
      <c r="AC14" s="21">
        <f t="shared" si="8"/>
        <v>644.90867782006967</v>
      </c>
      <c r="AD14" s="21">
        <v>36.049999999999997</v>
      </c>
      <c r="AE14" s="21">
        <f t="shared" si="9"/>
        <v>232.48957835413512</v>
      </c>
      <c r="AF14" s="21">
        <v>1.73</v>
      </c>
      <c r="AG14" s="21">
        <f t="shared" si="10"/>
        <v>11.156920126287204</v>
      </c>
      <c r="AH14" s="201"/>
      <c r="AI14" s="89" t="s">
        <v>184</v>
      </c>
      <c r="AJ14" s="221" t="s">
        <v>136</v>
      </c>
      <c r="AK14" s="21">
        <v>1658.11</v>
      </c>
      <c r="AL14" s="21">
        <v>40.58</v>
      </c>
      <c r="AM14" s="21">
        <f t="shared" si="11"/>
        <v>672.86103799999989</v>
      </c>
      <c r="AN14" s="21">
        <v>1.88</v>
      </c>
      <c r="AO14" s="21">
        <f t="shared" si="12"/>
        <v>31.172467999999995</v>
      </c>
      <c r="AP14" s="201"/>
      <c r="AQ14" s="201"/>
      <c r="AT14">
        <v>672.86103799999989</v>
      </c>
      <c r="AU14">
        <v>31.172467999999995</v>
      </c>
      <c r="AV14">
        <f t="shared" si="13"/>
        <v>21.585106382978722</v>
      </c>
    </row>
    <row r="15" spans="1:48" ht="18.5">
      <c r="A15" s="17"/>
      <c r="M15" s="17"/>
      <c r="N15" s="34" t="s">
        <v>513</v>
      </c>
      <c r="O15" s="52">
        <f t="shared" ref="O15:U15" si="15">_xlfn.STDEV.P(O8:O10)/SQRT(9)</f>
        <v>5.1166666666666609</v>
      </c>
      <c r="P15" s="52">
        <f t="shared" si="15"/>
        <v>5.1166666666666636</v>
      </c>
      <c r="Q15" s="52">
        <f t="shared" si="15"/>
        <v>3.9666666666666619</v>
      </c>
      <c r="R15" s="52">
        <f t="shared" si="15"/>
        <v>3.9666666666666619</v>
      </c>
      <c r="S15" s="52">
        <f t="shared" si="15"/>
        <v>51.166666666666544</v>
      </c>
      <c r="T15" s="52">
        <f t="shared" si="15"/>
        <v>39.666666666666508</v>
      </c>
      <c r="U15" s="52">
        <f t="shared" si="15"/>
        <v>0.27624025825532722</v>
      </c>
      <c r="V15" s="80" t="s">
        <v>256</v>
      </c>
      <c r="W15" s="84">
        <v>10</v>
      </c>
      <c r="X15" s="21">
        <v>98.1</v>
      </c>
      <c r="Y15" s="21">
        <f t="shared" si="6"/>
        <v>64.039999999999992</v>
      </c>
      <c r="Z15" s="21">
        <v>37.4</v>
      </c>
      <c r="AA15" s="21">
        <f t="shared" si="5"/>
        <v>3.3399999999999963</v>
      </c>
      <c r="AB15" s="22">
        <f t="shared" si="7"/>
        <v>94.784509681449109</v>
      </c>
      <c r="AC15" s="21">
        <f t="shared" si="8"/>
        <v>261.40715824260093</v>
      </c>
      <c r="AD15" s="21">
        <v>36.18</v>
      </c>
      <c r="AE15" s="21">
        <f t="shared" si="9"/>
        <v>94.577109852173024</v>
      </c>
      <c r="AF15" s="21">
        <v>1.99</v>
      </c>
      <c r="AG15" s="21">
        <f t="shared" si="10"/>
        <v>5.2020024490277583</v>
      </c>
      <c r="AH15" s="201"/>
      <c r="AI15" s="222" t="s">
        <v>581</v>
      </c>
      <c r="AJ15" s="253"/>
      <c r="AK15" s="255">
        <f>AVERAGE(AK6:AK14)</f>
        <v>1199.3377777777778</v>
      </c>
      <c r="AL15" s="244"/>
      <c r="AM15" s="244">
        <f>AVERAGE(AM6:AM14)</f>
        <v>486.47996644444436</v>
      </c>
      <c r="AN15" s="244"/>
      <c r="AO15" s="244">
        <f>AVERAGE(AO6:AO14)</f>
        <v>25.666651111111108</v>
      </c>
      <c r="AP15" s="201"/>
      <c r="AQ15" s="201"/>
      <c r="AT15">
        <v>582.73695999999995</v>
      </c>
      <c r="AU15">
        <v>30.972239999999999</v>
      </c>
      <c r="AV15">
        <f t="shared" si="13"/>
        <v>18.814814814814813</v>
      </c>
    </row>
    <row r="16" spans="1:48">
      <c r="V16" s="80" t="s">
        <v>258</v>
      </c>
      <c r="W16" s="84">
        <v>11</v>
      </c>
      <c r="X16" s="21">
        <v>182.7</v>
      </c>
      <c r="Y16" s="21">
        <f t="shared" si="6"/>
        <v>148.63999999999999</v>
      </c>
      <c r="Z16" s="21">
        <v>43.1</v>
      </c>
      <c r="AA16" s="21">
        <f t="shared" si="5"/>
        <v>9.0399999999999991</v>
      </c>
      <c r="AB16" s="22">
        <f t="shared" si="7"/>
        <v>93.91819160387513</v>
      </c>
      <c r="AC16" s="21">
        <f t="shared" si="8"/>
        <v>707.52117081230983</v>
      </c>
      <c r="AD16" s="21">
        <v>35.85</v>
      </c>
      <c r="AE16" s="21">
        <f t="shared" si="9"/>
        <v>253.64633973621309</v>
      </c>
      <c r="AF16" s="21">
        <v>2.2599999999999998</v>
      </c>
      <c r="AG16" s="21">
        <f t="shared" si="10"/>
        <v>15.989978460358202</v>
      </c>
      <c r="AH16" s="201"/>
      <c r="AI16" s="222" t="s">
        <v>582</v>
      </c>
      <c r="AJ16" s="253"/>
      <c r="AK16" s="244">
        <f>STDEV(AK6:AK14)</f>
        <v>378.53454854800771</v>
      </c>
      <c r="AL16" s="244"/>
      <c r="AM16" s="244">
        <f>STDEV(AM6:AM14)</f>
        <v>153.30371616783702</v>
      </c>
      <c r="AN16" s="244"/>
      <c r="AO16" s="244">
        <f>STDEV(AO6:AO14)</f>
        <v>7.1156925769015613</v>
      </c>
      <c r="AP16" s="201"/>
      <c r="AQ16" s="201"/>
      <c r="AT16">
        <v>510.37216999999993</v>
      </c>
      <c r="AU16">
        <v>22.514589999999998</v>
      </c>
      <c r="AV16">
        <f t="shared" si="13"/>
        <v>22.668508287292816</v>
      </c>
    </row>
    <row r="17" spans="1:48">
      <c r="A17" s="17"/>
      <c r="J17" s="17"/>
      <c r="K17" s="17"/>
      <c r="L17" s="17"/>
      <c r="M17" s="17"/>
      <c r="N17" s="17"/>
      <c r="O17" s="17"/>
      <c r="P17" s="17"/>
      <c r="Q17" s="17"/>
      <c r="R17" s="17"/>
      <c r="S17" s="17"/>
      <c r="T17" s="17"/>
      <c r="U17" s="17"/>
      <c r="V17" s="80" t="s">
        <v>260</v>
      </c>
      <c r="W17" s="84">
        <v>12</v>
      </c>
      <c r="X17" s="21">
        <v>138.4</v>
      </c>
      <c r="Y17" s="21">
        <f t="shared" si="6"/>
        <v>104.34</v>
      </c>
      <c r="Z17" s="21">
        <v>41</v>
      </c>
      <c r="AA17" s="21">
        <f t="shared" si="5"/>
        <v>6.9399999999999977</v>
      </c>
      <c r="AB17" s="22">
        <f t="shared" si="7"/>
        <v>93.348667816752922</v>
      </c>
      <c r="AC17" s="21">
        <f t="shared" si="8"/>
        <v>543.16337670768019</v>
      </c>
      <c r="AD17" s="21">
        <v>34.880000000000003</v>
      </c>
      <c r="AE17" s="21">
        <f t="shared" si="9"/>
        <v>189.45538579563885</v>
      </c>
      <c r="AF17" s="21">
        <v>1.81</v>
      </c>
      <c r="AG17" s="21">
        <f t="shared" si="10"/>
        <v>9.8312571184090114</v>
      </c>
      <c r="AH17" s="201"/>
      <c r="AI17" s="202"/>
      <c r="AJ17" s="202"/>
      <c r="AK17" s="201"/>
      <c r="AL17" s="201"/>
      <c r="AM17" s="201"/>
      <c r="AN17" s="201"/>
      <c r="AO17" s="201"/>
      <c r="AP17" s="201"/>
      <c r="AQ17" s="201"/>
      <c r="AT17">
        <v>642.8364600000001</v>
      </c>
      <c r="AU17">
        <v>32.820320000000002</v>
      </c>
      <c r="AV17">
        <f t="shared" si="13"/>
        <v>19.586538461538463</v>
      </c>
    </row>
    <row r="18" spans="1:48" ht="18.5">
      <c r="A18" s="17"/>
      <c r="C18" s="17"/>
      <c r="D18" s="304" t="s">
        <v>553</v>
      </c>
      <c r="E18" s="305"/>
      <c r="F18" s="23"/>
      <c r="G18" s="23"/>
      <c r="H18" s="23" t="s">
        <v>554</v>
      </c>
      <c r="I18" s="48"/>
      <c r="L18" s="238" t="s">
        <v>555</v>
      </c>
      <c r="M18" s="17"/>
      <c r="N18" s="29"/>
      <c r="O18" s="309" t="s">
        <v>556</v>
      </c>
      <c r="P18" s="309"/>
      <c r="Q18" s="309"/>
      <c r="R18" s="309"/>
      <c r="S18" s="309"/>
      <c r="T18" s="54"/>
      <c r="U18" s="54"/>
      <c r="V18" s="17"/>
      <c r="W18" s="30" t="s">
        <v>583</v>
      </c>
      <c r="X18" s="55"/>
      <c r="Y18" s="33">
        <f>AVERAGE(Y6:Y17)</f>
        <v>102.40666666666665</v>
      </c>
      <c r="Z18" s="33"/>
      <c r="AA18" s="33">
        <f>AVERAGE(AA6:AA17)</f>
        <v>6.0233333333333308</v>
      </c>
      <c r="AB18" s="33">
        <f>AVERAGE(Z6:Z17)</f>
        <v>40.083333333333336</v>
      </c>
      <c r="AC18" s="246">
        <f>AVERAGE(AC6:AC17)</f>
        <v>471.41989515407209</v>
      </c>
      <c r="AD18" s="244"/>
      <c r="AE18" s="244">
        <f>AVERAGE(AE6:AE17)</f>
        <v>170.25806933748379</v>
      </c>
      <c r="AF18" s="244"/>
      <c r="AG18" s="244">
        <f>AVERAGE(AG7:AG17)</f>
        <v>10.17142794681344</v>
      </c>
      <c r="AH18" s="201"/>
      <c r="AI18" s="223" t="s">
        <v>559</v>
      </c>
      <c r="AJ18" s="224" t="s">
        <v>579</v>
      </c>
      <c r="AK18" s="225" t="s">
        <v>568</v>
      </c>
      <c r="AL18" s="203" t="s">
        <v>578</v>
      </c>
      <c r="AM18" s="203" t="s">
        <v>523</v>
      </c>
      <c r="AN18" s="203" t="s">
        <v>524</v>
      </c>
      <c r="AO18" s="203" t="s">
        <v>525</v>
      </c>
      <c r="AP18" s="201"/>
      <c r="AQ18" s="201"/>
      <c r="AT18">
        <v>404.36120999999991</v>
      </c>
      <c r="AU18">
        <v>21.459129999999998</v>
      </c>
      <c r="AV18">
        <f t="shared" si="13"/>
        <v>18.843317972350228</v>
      </c>
    </row>
    <row r="19" spans="1:48" ht="18.5">
      <c r="A19" s="88" t="s">
        <v>559</v>
      </c>
      <c r="B19" s="48" t="s">
        <v>560</v>
      </c>
      <c r="C19" s="53" t="s">
        <v>561</v>
      </c>
      <c r="D19" s="56" t="s">
        <v>562</v>
      </c>
      <c r="E19" s="50" t="s">
        <v>563</v>
      </c>
      <c r="F19" s="53" t="s">
        <v>564</v>
      </c>
      <c r="G19" s="53" t="s">
        <v>565</v>
      </c>
      <c r="H19" s="23"/>
      <c r="I19" s="23" t="s">
        <v>566</v>
      </c>
      <c r="J19" s="53" t="s">
        <v>567</v>
      </c>
      <c r="K19" s="189" t="s">
        <v>568</v>
      </c>
      <c r="L19" s="239" t="s">
        <v>569</v>
      </c>
      <c r="M19" s="237" t="s">
        <v>559</v>
      </c>
      <c r="N19" s="86" t="s">
        <v>570</v>
      </c>
      <c r="O19" s="23" t="s">
        <v>506</v>
      </c>
      <c r="P19" s="23" t="s">
        <v>571</v>
      </c>
      <c r="Q19" s="23" t="s">
        <v>554</v>
      </c>
      <c r="R19" s="23" t="s">
        <v>572</v>
      </c>
      <c r="S19" s="53" t="s">
        <v>567</v>
      </c>
      <c r="T19" s="53" t="s">
        <v>568</v>
      </c>
      <c r="U19" s="20" t="s">
        <v>504</v>
      </c>
      <c r="V19" s="17"/>
      <c r="W19" s="30" t="s">
        <v>513</v>
      </c>
      <c r="X19" s="55"/>
      <c r="Y19" s="33">
        <f>_xlfn.STDEV.P(W6:W17)/SQRT(12)</f>
        <v>0.99652172859178312</v>
      </c>
      <c r="Z19" s="33"/>
      <c r="AA19" s="33">
        <f>_xlfn.STDEV.P(AA6:AA17)/SQRT(12)</f>
        <v>0.58533387117160762</v>
      </c>
      <c r="AB19" s="33">
        <f>_xlfn.STDEV.P(Z6:Z17)/SQRT(12)</f>
        <v>0.58533387117160818</v>
      </c>
      <c r="AC19" s="246">
        <f>STDEV(AC6:AC17)</f>
        <v>165.75230191892913</v>
      </c>
      <c r="AD19" s="244"/>
      <c r="AE19" s="244">
        <f>STDEV(AE6:AE17)</f>
        <v>59.774634685709671</v>
      </c>
      <c r="AF19" s="244"/>
      <c r="AG19" s="244">
        <f>STDEV(AG7:AG17)</f>
        <v>4.1062306180148811</v>
      </c>
      <c r="AH19" s="201"/>
      <c r="AI19" s="89" t="s">
        <v>187</v>
      </c>
      <c r="AJ19" s="220" t="s">
        <v>139</v>
      </c>
      <c r="AK19" s="21">
        <v>1433.8999999999999</v>
      </c>
      <c r="AL19" s="21">
        <v>40.64</v>
      </c>
      <c r="AM19" s="21">
        <f>AK19*(AL19/100)</f>
        <v>582.73695999999995</v>
      </c>
      <c r="AN19" s="21">
        <v>2.16</v>
      </c>
      <c r="AO19" s="21">
        <f>AK19*(AN19/100)</f>
        <v>30.972239999999999</v>
      </c>
      <c r="AP19" s="201"/>
      <c r="AQ19" s="201"/>
      <c r="AT19">
        <v>685.48694000000012</v>
      </c>
      <c r="AU19">
        <v>36.246850000000002</v>
      </c>
      <c r="AV19">
        <f t="shared" si="13"/>
        <v>18.911627906976747</v>
      </c>
    </row>
    <row r="20" spans="1:48" ht="21">
      <c r="A20" s="89" t="s">
        <v>187</v>
      </c>
      <c r="B20" s="86" t="s">
        <v>139</v>
      </c>
      <c r="C20" s="25">
        <v>1157.5</v>
      </c>
      <c r="D20" s="51">
        <v>420</v>
      </c>
      <c r="E20" s="51">
        <f t="shared" ref="E20:E28" si="16">D20-$R$1</f>
        <v>377.7</v>
      </c>
      <c r="F20" s="25"/>
      <c r="G20" s="25"/>
      <c r="H20" s="25">
        <v>189.2</v>
      </c>
      <c r="I20" s="25">
        <f t="shared" ref="I20:I28" si="17">H20-$R$1</f>
        <v>146.89999999999998</v>
      </c>
      <c r="J20" s="24">
        <f t="shared" ref="J20:J28" si="18">(D20/1000)/(1/10000)</f>
        <v>4200</v>
      </c>
      <c r="K20" s="219">
        <f>(I20/1000)/(1/10000)</f>
        <v>1468.9999999999998</v>
      </c>
      <c r="L20" s="240">
        <f t="shared" ref="L20:L28" si="19">K20-$P$29</f>
        <v>1433.8999999999999</v>
      </c>
      <c r="M20" s="235"/>
      <c r="N20" s="87"/>
      <c r="O20" s="24"/>
      <c r="P20" s="24"/>
      <c r="Q20" s="24"/>
      <c r="R20" s="24"/>
      <c r="S20" s="25"/>
      <c r="T20" s="25"/>
      <c r="U20" s="25"/>
      <c r="V20" s="17"/>
      <c r="W20" s="301" t="s">
        <v>584</v>
      </c>
      <c r="X20" s="301"/>
      <c r="Y20" s="301"/>
      <c r="Z20" s="301"/>
      <c r="AA20" s="301"/>
      <c r="AB20" s="301"/>
      <c r="AC20" s="254"/>
      <c r="AD20" s="201"/>
      <c r="AE20" s="201"/>
      <c r="AF20" s="201"/>
      <c r="AG20" s="201"/>
      <c r="AH20" s="201"/>
      <c r="AI20" s="89" t="s">
        <v>190</v>
      </c>
      <c r="AJ20" s="221" t="s">
        <v>142</v>
      </c>
      <c r="AK20" s="21">
        <v>1243.8999999999999</v>
      </c>
      <c r="AL20" s="21">
        <v>41.03</v>
      </c>
      <c r="AM20" s="21">
        <f t="shared" ref="AM20:AM27" si="20">AK20*(AL20/100)</f>
        <v>510.37216999999993</v>
      </c>
      <c r="AN20" s="21">
        <v>1.81</v>
      </c>
      <c r="AO20" s="21">
        <f t="shared" ref="AO20:AO27" si="21">AK20*(AN20/100)</f>
        <v>22.514589999999998</v>
      </c>
      <c r="AP20" s="201"/>
      <c r="AQ20" s="201"/>
      <c r="AT20">
        <v>688.01579000000015</v>
      </c>
      <c r="AU20">
        <v>33.886589999999998</v>
      </c>
      <c r="AV20">
        <f t="shared" si="13"/>
        <v>20.303482587064682</v>
      </c>
    </row>
    <row r="21" spans="1:48">
      <c r="A21" s="89" t="s">
        <v>190</v>
      </c>
      <c r="B21" s="86" t="s">
        <v>142</v>
      </c>
      <c r="C21" s="25">
        <v>900.3</v>
      </c>
      <c r="D21" s="51">
        <v>403</v>
      </c>
      <c r="E21" s="51">
        <f t="shared" si="16"/>
        <v>360.7</v>
      </c>
      <c r="F21" s="25"/>
      <c r="G21" s="25"/>
      <c r="H21" s="25">
        <v>170.2</v>
      </c>
      <c r="I21" s="25">
        <f t="shared" si="17"/>
        <v>127.89999999999999</v>
      </c>
      <c r="J21" s="24">
        <f t="shared" si="18"/>
        <v>4030</v>
      </c>
      <c r="K21" s="219">
        <f t="shared" ref="K21:K28" si="22">(I21/1000)/(1/10000)</f>
        <v>1278.9999999999998</v>
      </c>
      <c r="L21" s="240">
        <f t="shared" si="19"/>
        <v>1243.8999999999999</v>
      </c>
      <c r="M21" s="235"/>
      <c r="N21" s="87"/>
      <c r="O21" s="24"/>
      <c r="P21" s="24"/>
      <c r="Q21" s="24"/>
      <c r="R21" s="24"/>
      <c r="S21" s="25"/>
      <c r="T21" s="25"/>
      <c r="U21" s="81"/>
      <c r="V21" s="85" t="s">
        <v>559</v>
      </c>
      <c r="W21" s="83" t="s">
        <v>494</v>
      </c>
      <c r="X21" s="39" t="s">
        <v>495</v>
      </c>
      <c r="Y21" s="39" t="s">
        <v>576</v>
      </c>
      <c r="Z21" s="39" t="s">
        <v>496</v>
      </c>
      <c r="AA21" s="39" t="s">
        <v>498</v>
      </c>
      <c r="AB21" s="20" t="s">
        <v>504</v>
      </c>
      <c r="AC21" s="203" t="s">
        <v>585</v>
      </c>
      <c r="AD21" s="250" t="s">
        <v>578</v>
      </c>
      <c r="AE21" s="250" t="s">
        <v>523</v>
      </c>
      <c r="AF21" s="250" t="s">
        <v>524</v>
      </c>
      <c r="AG21" s="250" t="s">
        <v>525</v>
      </c>
      <c r="AH21" s="201"/>
      <c r="AI21" s="89" t="s">
        <v>193</v>
      </c>
      <c r="AJ21" s="221" t="s">
        <v>145</v>
      </c>
      <c r="AK21" s="21">
        <v>1577.9</v>
      </c>
      <c r="AL21" s="21">
        <v>40.74</v>
      </c>
      <c r="AM21" s="21">
        <f t="shared" si="20"/>
        <v>642.8364600000001</v>
      </c>
      <c r="AN21" s="21">
        <v>2.08</v>
      </c>
      <c r="AO21" s="21">
        <f t="shared" si="21"/>
        <v>32.820320000000002</v>
      </c>
      <c r="AP21" s="201"/>
      <c r="AQ21" s="201"/>
      <c r="AT21">
        <v>340.84863000000001</v>
      </c>
      <c r="AU21">
        <v>20.175639999999998</v>
      </c>
      <c r="AV21">
        <f t="shared" si="13"/>
        <v>16.894067796610173</v>
      </c>
    </row>
    <row r="22" spans="1:48">
      <c r="A22" s="89" t="s">
        <v>193</v>
      </c>
      <c r="B22" s="86" t="s">
        <v>145</v>
      </c>
      <c r="C22" s="25">
        <v>1223</v>
      </c>
      <c r="D22" s="51">
        <v>514</v>
      </c>
      <c r="E22" s="51">
        <f t="shared" si="16"/>
        <v>471.7</v>
      </c>
      <c r="F22" s="25"/>
      <c r="G22" s="25"/>
      <c r="H22" s="25">
        <v>203.6</v>
      </c>
      <c r="I22" s="25">
        <f t="shared" si="17"/>
        <v>161.30000000000001</v>
      </c>
      <c r="J22" s="24">
        <f t="shared" si="18"/>
        <v>5140</v>
      </c>
      <c r="K22" s="219">
        <f t="shared" si="22"/>
        <v>1613</v>
      </c>
      <c r="L22" s="240">
        <f t="shared" si="19"/>
        <v>1577.9</v>
      </c>
      <c r="M22" s="235"/>
      <c r="N22" s="87"/>
      <c r="O22" s="24"/>
      <c r="P22" s="24"/>
      <c r="Q22" s="24"/>
      <c r="R22" s="24"/>
      <c r="S22" s="25"/>
      <c r="T22" s="25"/>
      <c r="U22" s="81"/>
      <c r="V22" s="80" t="s">
        <v>207</v>
      </c>
      <c r="W22" s="84">
        <v>1</v>
      </c>
      <c r="X22" s="21">
        <v>72.099999999999994</v>
      </c>
      <c r="Y22" s="21">
        <f>X22-$T$1</f>
        <v>38.039999999999992</v>
      </c>
      <c r="Z22" s="21">
        <v>36.299999999999997</v>
      </c>
      <c r="AA22" s="21">
        <f>Z22-$T$1</f>
        <v>2.2399999999999949</v>
      </c>
      <c r="AB22" s="22">
        <f>((Y22-AA22)/Y22)*100</f>
        <v>94.111461619348063</v>
      </c>
      <c r="AC22" s="21">
        <f>(((AA22*$Y$41)/1000)/(1/10000))</f>
        <v>306.26089522291977</v>
      </c>
      <c r="AD22" s="21">
        <v>35.44</v>
      </c>
      <c r="AE22" s="21">
        <f t="shared" ref="AE22:AE33" si="23">AC22*(AD22/100)</f>
        <v>108.53886126700276</v>
      </c>
      <c r="AF22" s="21">
        <v>1.38</v>
      </c>
      <c r="AG22" s="21">
        <f>AC22*(AF22/100)</f>
        <v>4.2264003540762927</v>
      </c>
      <c r="AH22" s="201"/>
      <c r="AI22" s="89" t="s">
        <v>195</v>
      </c>
      <c r="AJ22" s="221" t="s">
        <v>148</v>
      </c>
      <c r="AK22" s="21">
        <v>988.89999999999986</v>
      </c>
      <c r="AL22" s="21">
        <v>40.89</v>
      </c>
      <c r="AM22" s="21">
        <f t="shared" si="20"/>
        <v>404.36120999999991</v>
      </c>
      <c r="AN22" s="21">
        <v>2.17</v>
      </c>
      <c r="AO22" s="21">
        <f t="shared" si="21"/>
        <v>21.459129999999998</v>
      </c>
      <c r="AP22" s="201"/>
      <c r="AQ22" s="201"/>
      <c r="AT22">
        <v>463.14601000000016</v>
      </c>
      <c r="AU22">
        <v>23.162950000000002</v>
      </c>
      <c r="AV22">
        <f t="shared" si="13"/>
        <v>19.995121951219517</v>
      </c>
    </row>
    <row r="23" spans="1:48">
      <c r="A23" s="89" t="s">
        <v>195</v>
      </c>
      <c r="B23" s="86" t="s">
        <v>148</v>
      </c>
      <c r="C23" s="25">
        <v>1212</v>
      </c>
      <c r="D23" s="51">
        <v>298</v>
      </c>
      <c r="E23" s="51">
        <f t="shared" si="16"/>
        <v>255.7</v>
      </c>
      <c r="F23" s="25"/>
      <c r="G23" s="25"/>
      <c r="H23" s="25">
        <v>144.69999999999999</v>
      </c>
      <c r="I23" s="25">
        <f t="shared" si="17"/>
        <v>102.39999999999999</v>
      </c>
      <c r="J23" s="24">
        <f t="shared" si="18"/>
        <v>2979.9999999999995</v>
      </c>
      <c r="K23" s="219">
        <f t="shared" si="22"/>
        <v>1023.9999999999999</v>
      </c>
      <c r="L23" s="240">
        <f t="shared" si="19"/>
        <v>988.89999999999986</v>
      </c>
      <c r="M23" s="235"/>
      <c r="N23" s="87"/>
      <c r="O23" s="24"/>
      <c r="P23" s="24"/>
      <c r="Q23" s="24"/>
      <c r="R23" s="24"/>
      <c r="S23" s="25"/>
      <c r="T23" s="25"/>
      <c r="U23" s="81"/>
      <c r="V23" s="80" t="s">
        <v>210</v>
      </c>
      <c r="W23" s="84">
        <v>2</v>
      </c>
      <c r="X23" s="21">
        <v>60.7</v>
      </c>
      <c r="Y23" s="21">
        <f>X23-$T$1</f>
        <v>26.64</v>
      </c>
      <c r="Z23" s="21">
        <v>35.200000000000003</v>
      </c>
      <c r="AA23" s="21">
        <f t="shared" ref="AA23:AA32" si="24">Z23-$T$1</f>
        <v>1.1400000000000006</v>
      </c>
      <c r="AB23" s="22">
        <f t="shared" ref="AB23:AB32" si="25">((Y23-AA23)/Y23)*100</f>
        <v>95.72072072072072</v>
      </c>
      <c r="AC23" s="21">
        <f t="shared" ref="AC23:AC33" si="26">(((AA23*$Y$41)/1000)/(1/10000))</f>
        <v>155.86491989023639</v>
      </c>
      <c r="AD23" s="21">
        <v>35.82</v>
      </c>
      <c r="AE23" s="21">
        <f t="shared" si="23"/>
        <v>55.830814304682676</v>
      </c>
      <c r="AF23" s="21">
        <v>1.07</v>
      </c>
      <c r="AG23" s="21">
        <f t="shared" ref="AG23:AG33" si="27">AC23*(AF23/100)</f>
        <v>1.6677546428255297</v>
      </c>
      <c r="AH23" s="201"/>
      <c r="AI23" s="89" t="s">
        <v>197</v>
      </c>
      <c r="AJ23" s="221" t="s">
        <v>151</v>
      </c>
      <c r="AK23" s="21">
        <v>1685.9000000000003</v>
      </c>
      <c r="AL23" s="21">
        <v>40.659999999999997</v>
      </c>
      <c r="AM23" s="21">
        <f t="shared" si="20"/>
        <v>685.48694000000012</v>
      </c>
      <c r="AN23" s="21">
        <v>2.15</v>
      </c>
      <c r="AO23" s="21">
        <f t="shared" si="21"/>
        <v>36.246850000000002</v>
      </c>
      <c r="AP23" s="201"/>
      <c r="AQ23" s="201"/>
      <c r="AT23">
        <v>477.67017000000004</v>
      </c>
      <c r="AU23">
        <v>23.281010000000002</v>
      </c>
      <c r="AV23">
        <f t="shared" si="13"/>
        <v>20.517587939698494</v>
      </c>
    </row>
    <row r="24" spans="1:48">
      <c r="A24" s="89" t="s">
        <v>197</v>
      </c>
      <c r="B24" s="86" t="s">
        <v>151</v>
      </c>
      <c r="C24" s="25">
        <v>1517.6</v>
      </c>
      <c r="D24" s="51">
        <v>501</v>
      </c>
      <c r="E24" s="51">
        <f t="shared" si="16"/>
        <v>458.7</v>
      </c>
      <c r="F24" s="25"/>
      <c r="G24" s="25"/>
      <c r="H24" s="25">
        <v>214.4</v>
      </c>
      <c r="I24" s="25">
        <f t="shared" si="17"/>
        <v>172.10000000000002</v>
      </c>
      <c r="J24" s="24">
        <f t="shared" si="18"/>
        <v>5010</v>
      </c>
      <c r="K24" s="219">
        <f t="shared" si="22"/>
        <v>1721.0000000000002</v>
      </c>
      <c r="L24" s="240">
        <f t="shared" si="19"/>
        <v>1685.9000000000003</v>
      </c>
      <c r="M24" s="235"/>
      <c r="Q24" s="24"/>
      <c r="R24" s="24"/>
      <c r="S24" s="25"/>
      <c r="T24" s="25"/>
      <c r="U24" s="81"/>
      <c r="V24" s="80" t="s">
        <v>212</v>
      </c>
      <c r="W24" s="84">
        <v>3</v>
      </c>
      <c r="X24" s="21">
        <v>80.3</v>
      </c>
      <c r="Y24" s="21">
        <f t="shared" ref="Y24:Y32" si="28">X24-$T$1</f>
        <v>46.239999999999995</v>
      </c>
      <c r="Z24" s="21">
        <v>36.9</v>
      </c>
      <c r="AA24" s="21">
        <f t="shared" si="24"/>
        <v>2.8399999999999963</v>
      </c>
      <c r="AB24" s="22">
        <f t="shared" si="25"/>
        <v>93.858131487889281</v>
      </c>
      <c r="AC24" s="21">
        <f t="shared" si="26"/>
        <v>388.29506358620228</v>
      </c>
      <c r="AD24" s="21">
        <v>36.54</v>
      </c>
      <c r="AE24" s="21">
        <f t="shared" si="23"/>
        <v>141.88301623439833</v>
      </c>
      <c r="AF24" s="21">
        <v>1.1399999999999999</v>
      </c>
      <c r="AG24" s="21">
        <f t="shared" si="27"/>
        <v>4.4265637248827057</v>
      </c>
      <c r="AH24" s="201"/>
      <c r="AI24" s="89" t="s">
        <v>199</v>
      </c>
      <c r="AJ24" s="221" t="s">
        <v>154</v>
      </c>
      <c r="AK24" s="21">
        <v>1685.9000000000003</v>
      </c>
      <c r="AL24" s="21">
        <v>40.81</v>
      </c>
      <c r="AM24" s="21">
        <f t="shared" si="20"/>
        <v>688.01579000000015</v>
      </c>
      <c r="AN24" s="21">
        <v>2.0099999999999998</v>
      </c>
      <c r="AO24" s="21">
        <f t="shared" si="21"/>
        <v>33.886589999999998</v>
      </c>
      <c r="AP24" s="201"/>
      <c r="AQ24" s="201"/>
      <c r="AU24" s="15" t="s">
        <v>581</v>
      </c>
      <c r="AV24">
        <f>AVERAGE(AV6:AV23)</f>
        <v>19.180694282418116</v>
      </c>
    </row>
    <row r="25" spans="1:48">
      <c r="A25" s="89" t="s">
        <v>199</v>
      </c>
      <c r="B25" s="86" t="s">
        <v>154</v>
      </c>
      <c r="C25" s="25">
        <v>1320.3</v>
      </c>
      <c r="D25" s="51">
        <v>462.4</v>
      </c>
      <c r="E25" s="51">
        <f t="shared" si="16"/>
        <v>420.09999999999997</v>
      </c>
      <c r="F25" s="25"/>
      <c r="G25" s="25"/>
      <c r="H25" s="25">
        <v>214.4</v>
      </c>
      <c r="I25" s="25">
        <f t="shared" si="17"/>
        <v>172.10000000000002</v>
      </c>
      <c r="J25" s="24">
        <f t="shared" si="18"/>
        <v>4624</v>
      </c>
      <c r="K25" s="219">
        <f t="shared" si="22"/>
        <v>1721.0000000000002</v>
      </c>
      <c r="L25" s="240">
        <f t="shared" si="19"/>
        <v>1685.9000000000003</v>
      </c>
      <c r="M25" s="235"/>
      <c r="N25" s="87"/>
      <c r="O25" s="24"/>
      <c r="P25" s="24"/>
      <c r="Q25" s="24"/>
      <c r="R25" s="24"/>
      <c r="S25" s="25"/>
      <c r="T25" s="25"/>
      <c r="U25" s="81"/>
      <c r="V25" s="80" t="s">
        <v>215</v>
      </c>
      <c r="W25" s="84">
        <v>4</v>
      </c>
      <c r="X25" s="21">
        <v>58.5</v>
      </c>
      <c r="Y25" s="21">
        <f t="shared" si="28"/>
        <v>24.439999999999998</v>
      </c>
      <c r="Z25" s="21">
        <v>34.299999999999997</v>
      </c>
      <c r="AA25" s="21">
        <f>Z25-$T$1</f>
        <v>0.23999999999999488</v>
      </c>
      <c r="AB25" s="22">
        <f t="shared" si="25"/>
        <v>99.018003273322435</v>
      </c>
      <c r="AC25" s="21">
        <f t="shared" si="26"/>
        <v>32.813667345312211</v>
      </c>
      <c r="AD25" s="21">
        <v>36.520000000000003</v>
      </c>
      <c r="AE25" s="21">
        <f t="shared" si="23"/>
        <v>11.98355131450802</v>
      </c>
      <c r="AF25" s="21">
        <v>1.7</v>
      </c>
      <c r="AG25" s="21">
        <f t="shared" si="27"/>
        <v>0.55783234487030764</v>
      </c>
      <c r="AH25" s="201"/>
      <c r="AI25" s="89" t="s">
        <v>201</v>
      </c>
      <c r="AJ25" s="221" t="s">
        <v>157</v>
      </c>
      <c r="AK25" s="21">
        <v>854.9</v>
      </c>
      <c r="AL25" s="21">
        <v>39.869999999999997</v>
      </c>
      <c r="AM25" s="21">
        <f t="shared" si="20"/>
        <v>340.84863000000001</v>
      </c>
      <c r="AN25" s="21">
        <v>2.36</v>
      </c>
      <c r="AO25" s="21">
        <f t="shared" si="21"/>
        <v>20.175639999999998</v>
      </c>
      <c r="AP25" s="201"/>
      <c r="AQ25" s="201"/>
      <c r="AU25" s="15" t="s">
        <v>586</v>
      </c>
      <c r="AV25">
        <f>STDEV(AV6:AV23)</f>
        <v>1.575309948571137</v>
      </c>
    </row>
    <row r="26" spans="1:48">
      <c r="A26" s="89" t="s">
        <v>201</v>
      </c>
      <c r="B26" s="86" t="s">
        <v>157</v>
      </c>
      <c r="C26" s="25">
        <v>100.4</v>
      </c>
      <c r="D26" s="51">
        <f>F26+O26</f>
        <v>407.6</v>
      </c>
      <c r="E26" s="51">
        <f t="shared" si="16"/>
        <v>365.3</v>
      </c>
      <c r="F26" s="25">
        <v>347.6</v>
      </c>
      <c r="G26" s="25">
        <f>F26-T1</f>
        <v>313.54000000000002</v>
      </c>
      <c r="H26" s="25">
        <v>131.30000000000001</v>
      </c>
      <c r="I26" s="25">
        <f t="shared" si="17"/>
        <v>89.000000000000014</v>
      </c>
      <c r="J26" s="24">
        <f t="shared" si="18"/>
        <v>4076</v>
      </c>
      <c r="K26" s="219">
        <f t="shared" si="22"/>
        <v>890</v>
      </c>
      <c r="L26" s="240">
        <f t="shared" si="19"/>
        <v>854.9</v>
      </c>
      <c r="M26" s="236" t="s">
        <v>396</v>
      </c>
      <c r="N26" s="87" t="s">
        <v>157</v>
      </c>
      <c r="O26" s="24">
        <v>60</v>
      </c>
      <c r="P26" s="24">
        <f>O26-T2</f>
        <v>38.200000000000003</v>
      </c>
      <c r="Q26" s="24">
        <v>51.3</v>
      </c>
      <c r="R26" s="24">
        <f>Q26-T2</f>
        <v>29.499999999999996</v>
      </c>
      <c r="S26" s="24">
        <f>(O26/1000)/(1/10000)</f>
        <v>600</v>
      </c>
      <c r="T26" s="24">
        <f>(Q26/1000)/(1/10000)</f>
        <v>513</v>
      </c>
      <c r="U26" s="82">
        <f>((P26-R26)/P26)*100</f>
        <v>22.774869109947659</v>
      </c>
      <c r="V26" s="80" t="s">
        <v>218</v>
      </c>
      <c r="W26" s="84">
        <v>5</v>
      </c>
      <c r="X26" s="21">
        <v>92.3</v>
      </c>
      <c r="Y26" s="21">
        <f t="shared" si="28"/>
        <v>58.239999999999995</v>
      </c>
      <c r="Z26" s="21">
        <v>38.799999999999997</v>
      </c>
      <c r="AA26" s="21">
        <f t="shared" si="24"/>
        <v>4.7399999999999949</v>
      </c>
      <c r="AB26" s="22">
        <f t="shared" si="25"/>
        <v>91.861263736263737</v>
      </c>
      <c r="AC26" s="21">
        <f t="shared" si="26"/>
        <v>648.06993006992923</v>
      </c>
      <c r="AD26" s="21">
        <v>35.92</v>
      </c>
      <c r="AE26" s="21">
        <f t="shared" si="23"/>
        <v>232.78671888111859</v>
      </c>
      <c r="AF26" s="21">
        <v>1.31</v>
      </c>
      <c r="AG26" s="21">
        <f t="shared" si="27"/>
        <v>8.4897160839160737</v>
      </c>
      <c r="AH26" s="201"/>
      <c r="AI26" s="89" t="s">
        <v>203</v>
      </c>
      <c r="AJ26" s="221" t="s">
        <v>160</v>
      </c>
      <c r="AK26" s="21">
        <v>1129.9000000000003</v>
      </c>
      <c r="AL26" s="21">
        <v>40.99</v>
      </c>
      <c r="AM26" s="21">
        <f t="shared" si="20"/>
        <v>463.14601000000016</v>
      </c>
      <c r="AN26" s="21">
        <v>2.0499999999999998</v>
      </c>
      <c r="AO26" s="21">
        <f t="shared" si="21"/>
        <v>23.162950000000002</v>
      </c>
      <c r="AP26" s="201"/>
      <c r="AQ26" s="201"/>
      <c r="AU26" s="15"/>
    </row>
    <row r="27" spans="1:48">
      <c r="A27" s="89" t="s">
        <v>203</v>
      </c>
      <c r="B27" s="86" t="s">
        <v>160</v>
      </c>
      <c r="C27" s="25">
        <v>935</v>
      </c>
      <c r="D27" s="51">
        <v>341.2</v>
      </c>
      <c r="E27" s="51">
        <f t="shared" si="16"/>
        <v>298.89999999999998</v>
      </c>
      <c r="F27" s="25"/>
      <c r="G27" s="25"/>
      <c r="H27" s="25">
        <v>158.80000000000001</v>
      </c>
      <c r="I27" s="25">
        <f t="shared" si="17"/>
        <v>116.50000000000001</v>
      </c>
      <c r="J27" s="24">
        <f t="shared" si="18"/>
        <v>3412</v>
      </c>
      <c r="K27" s="219">
        <f t="shared" si="22"/>
        <v>1165.0000000000002</v>
      </c>
      <c r="L27" s="240">
        <f t="shared" si="19"/>
        <v>1129.9000000000003</v>
      </c>
      <c r="M27" s="235"/>
      <c r="N27" s="87"/>
      <c r="O27" s="24"/>
      <c r="P27" s="24"/>
      <c r="Q27" s="24"/>
      <c r="R27" s="24"/>
      <c r="S27" s="25"/>
      <c r="T27" s="25"/>
      <c r="U27" s="81"/>
      <c r="V27" s="80" t="s">
        <v>221</v>
      </c>
      <c r="W27" s="84">
        <v>6</v>
      </c>
      <c r="X27" s="21">
        <v>80.400000000000006</v>
      </c>
      <c r="Y27" s="21">
        <f>X27-$T$1</f>
        <v>46.34</v>
      </c>
      <c r="Z27" s="21">
        <v>36.799999999999997</v>
      </c>
      <c r="AA27" s="21">
        <f t="shared" si="24"/>
        <v>2.7399999999999949</v>
      </c>
      <c r="AB27" s="22">
        <f t="shared" si="25"/>
        <v>94.087181700474758</v>
      </c>
      <c r="AC27" s="21">
        <f t="shared" si="26"/>
        <v>374.62270219232164</v>
      </c>
      <c r="AD27" s="21">
        <v>35.590000000000003</v>
      </c>
      <c r="AE27" s="21">
        <f t="shared" si="23"/>
        <v>133.32821971024728</v>
      </c>
      <c r="AF27" s="21">
        <v>2.0499999999999998</v>
      </c>
      <c r="AG27" s="21">
        <f t="shared" si="27"/>
        <v>7.679765394942593</v>
      </c>
      <c r="AH27" s="201"/>
      <c r="AI27" s="89" t="s">
        <v>205</v>
      </c>
      <c r="AJ27" s="221" t="s">
        <v>163</v>
      </c>
      <c r="AK27" s="21">
        <v>1169.9000000000001</v>
      </c>
      <c r="AL27" s="21">
        <v>40.83</v>
      </c>
      <c r="AM27" s="21">
        <f t="shared" si="20"/>
        <v>477.67017000000004</v>
      </c>
      <c r="AN27" s="21">
        <v>1.99</v>
      </c>
      <c r="AO27" s="21">
        <f t="shared" si="21"/>
        <v>23.281010000000002</v>
      </c>
      <c r="AP27" s="201"/>
      <c r="AQ27" s="201"/>
      <c r="AS27">
        <f>STDEV(AK19:AK27,AK6:AK14)</f>
        <v>337.43680349308846</v>
      </c>
    </row>
    <row r="28" spans="1:48">
      <c r="A28" s="89" t="s">
        <v>205</v>
      </c>
      <c r="B28" s="86" t="s">
        <v>163</v>
      </c>
      <c r="C28" s="25">
        <v>1465</v>
      </c>
      <c r="D28" s="51">
        <f>F28+O28</f>
        <v>516.19999999999993</v>
      </c>
      <c r="E28" s="51">
        <f t="shared" si="16"/>
        <v>473.89999999999992</v>
      </c>
      <c r="F28" s="25">
        <v>462.4</v>
      </c>
      <c r="G28" s="25">
        <f>F28-T1</f>
        <v>428.34</v>
      </c>
      <c r="H28" s="25">
        <v>162.80000000000001</v>
      </c>
      <c r="I28" s="25">
        <f t="shared" si="17"/>
        <v>120.50000000000001</v>
      </c>
      <c r="J28" s="24">
        <f t="shared" si="18"/>
        <v>5161.9999999999982</v>
      </c>
      <c r="K28" s="219">
        <f t="shared" si="22"/>
        <v>1205</v>
      </c>
      <c r="L28" s="240">
        <f t="shared" si="19"/>
        <v>1169.9000000000001</v>
      </c>
      <c r="M28" s="236" t="s">
        <v>397</v>
      </c>
      <c r="N28" s="87" t="s">
        <v>163</v>
      </c>
      <c r="O28" s="24">
        <v>53.8</v>
      </c>
      <c r="P28" s="24">
        <f>O28-T2</f>
        <v>31.999999999999996</v>
      </c>
      <c r="Q28" s="24">
        <v>46.6</v>
      </c>
      <c r="R28" s="24">
        <f>Q28-T2</f>
        <v>24.8</v>
      </c>
      <c r="S28" s="24">
        <f>(O28/1000)/(1/10000)</f>
        <v>538</v>
      </c>
      <c r="T28" s="24">
        <f>(Q28/1000)/(1/10000)</f>
        <v>466</v>
      </c>
      <c r="U28" s="82">
        <f>((P28-R28)/P28)*100</f>
        <v>22.499999999999989</v>
      </c>
      <c r="V28" s="80" t="s">
        <v>223</v>
      </c>
      <c r="W28" s="84">
        <v>7</v>
      </c>
      <c r="X28" s="21">
        <v>68.5</v>
      </c>
      <c r="Y28" s="21">
        <f t="shared" si="28"/>
        <v>34.44</v>
      </c>
      <c r="Z28" s="21">
        <v>34.799999999999997</v>
      </c>
      <c r="AA28" s="21">
        <f t="shared" si="24"/>
        <v>0.73999999999999488</v>
      </c>
      <c r="AB28" s="22">
        <f t="shared" si="25"/>
        <v>97.85133565621372</v>
      </c>
      <c r="AC28" s="21">
        <f t="shared" si="26"/>
        <v>101.17547431471411</v>
      </c>
      <c r="AD28" s="21">
        <v>35.94</v>
      </c>
      <c r="AE28" s="21">
        <f t="shared" si="23"/>
        <v>36.362465468708251</v>
      </c>
      <c r="AF28" s="21">
        <v>1.18</v>
      </c>
      <c r="AG28" s="21">
        <f t="shared" si="27"/>
        <v>1.1938705969136265</v>
      </c>
      <c r="AH28" s="201"/>
      <c r="AI28" s="222" t="s">
        <v>581</v>
      </c>
      <c r="AJ28" s="246"/>
      <c r="AK28" s="244">
        <f>AVERAGE(AK19:AK27)</f>
        <v>1307.8999999999999</v>
      </c>
      <c r="AL28" s="244"/>
      <c r="AM28" s="244">
        <f>AVERAGE(AM19:AM27)</f>
        <v>532.83048222222226</v>
      </c>
      <c r="AN28" s="244"/>
      <c r="AO28" s="244">
        <f>AVERAGE(AO19:AO27)</f>
        <v>27.168813333333333</v>
      </c>
      <c r="AP28" s="201"/>
      <c r="AQ28" s="201"/>
    </row>
    <row r="29" spans="1:48" ht="18.5">
      <c r="A29" s="17"/>
      <c r="L29" s="37"/>
      <c r="M29" s="17"/>
      <c r="N29" s="34" t="s">
        <v>512</v>
      </c>
      <c r="O29" s="52"/>
      <c r="P29" s="52">
        <f t="shared" ref="P29:U29" si="29">AVERAGE(P26:P28)</f>
        <v>35.1</v>
      </c>
      <c r="Q29" s="52">
        <f t="shared" si="29"/>
        <v>48.95</v>
      </c>
      <c r="R29" s="52">
        <f t="shared" si="29"/>
        <v>27.15</v>
      </c>
      <c r="S29" s="52">
        <f t="shared" si="29"/>
        <v>569</v>
      </c>
      <c r="T29" s="52">
        <f t="shared" si="29"/>
        <v>489.5</v>
      </c>
      <c r="U29" s="52">
        <f t="shared" si="29"/>
        <v>22.637434554973822</v>
      </c>
      <c r="V29" s="80" t="s">
        <v>225</v>
      </c>
      <c r="W29" s="84">
        <v>8</v>
      </c>
      <c r="X29" s="21">
        <v>67.7</v>
      </c>
      <c r="Y29" s="21">
        <f t="shared" si="28"/>
        <v>33.64</v>
      </c>
      <c r="Z29" s="21">
        <v>35.700000000000003</v>
      </c>
      <c r="AA29" s="21">
        <f t="shared" si="24"/>
        <v>1.6400000000000006</v>
      </c>
      <c r="AB29" s="22">
        <f t="shared" si="25"/>
        <v>95.124851367419737</v>
      </c>
      <c r="AC29" s="21">
        <f t="shared" si="26"/>
        <v>224.22672685963826</v>
      </c>
      <c r="AD29" s="21">
        <v>36.65</v>
      </c>
      <c r="AE29" s="21">
        <f t="shared" si="23"/>
        <v>82.179095394057427</v>
      </c>
      <c r="AF29" s="21">
        <v>1.04</v>
      </c>
      <c r="AG29" s="21">
        <f t="shared" si="27"/>
        <v>2.331957959340238</v>
      </c>
      <c r="AH29" s="201"/>
      <c r="AI29" s="222" t="s">
        <v>582</v>
      </c>
      <c r="AJ29" s="246"/>
      <c r="AK29" s="244">
        <f>STDEV(AK19:AK27)</f>
        <v>303.38465683023628</v>
      </c>
      <c r="AL29" s="244"/>
      <c r="AM29" s="244">
        <f>STDEV(AM19:AM27)</f>
        <v>124.36980768637466</v>
      </c>
      <c r="AN29" s="244"/>
      <c r="AO29" s="244">
        <f>STDEV(AO19:AO27)</f>
        <v>6.2075917507738021</v>
      </c>
      <c r="AP29" s="201"/>
      <c r="AQ29" s="201"/>
      <c r="AS29">
        <f>STDEV(AO6:AO14,AO19:AO27)</f>
        <v>6.5236782325184519</v>
      </c>
    </row>
    <row r="30" spans="1:48" ht="18.5">
      <c r="A30" s="17"/>
      <c r="M30" s="17"/>
      <c r="N30" s="34" t="s">
        <v>513</v>
      </c>
      <c r="O30" s="52"/>
      <c r="P30" s="52">
        <f t="shared" ref="P30:U30" si="30">_xlfn.STDEV.P(P26:P28)/SQRT(9)</f>
        <v>1.0333333333333343</v>
      </c>
      <c r="Q30" s="52">
        <f t="shared" si="30"/>
        <v>0.78333333333333266</v>
      </c>
      <c r="R30" s="52">
        <f t="shared" si="30"/>
        <v>0.78333333333333266</v>
      </c>
      <c r="S30" s="52">
        <f t="shared" si="30"/>
        <v>10.333333333333334</v>
      </c>
      <c r="T30" s="52">
        <f t="shared" si="30"/>
        <v>7.833333333333333</v>
      </c>
      <c r="U30" s="52">
        <f t="shared" si="30"/>
        <v>4.5811518324611576E-2</v>
      </c>
      <c r="V30" s="80" t="s">
        <v>227</v>
      </c>
      <c r="W30" s="84">
        <v>9</v>
      </c>
      <c r="X30" s="21">
        <v>67.2</v>
      </c>
      <c r="Y30" s="21">
        <f t="shared" si="28"/>
        <v>33.14</v>
      </c>
      <c r="Z30" s="21">
        <v>35.9</v>
      </c>
      <c r="AA30" s="21">
        <f t="shared" si="24"/>
        <v>1.8399999999999963</v>
      </c>
      <c r="AB30" s="22">
        <f t="shared" si="25"/>
        <v>94.447797223898618</v>
      </c>
      <c r="AC30" s="21">
        <f t="shared" si="26"/>
        <v>251.57144964739845</v>
      </c>
      <c r="AD30" s="21">
        <v>36.270000000000003</v>
      </c>
      <c r="AE30" s="21">
        <f t="shared" si="23"/>
        <v>91.244964787111428</v>
      </c>
      <c r="AF30" s="21">
        <v>1.1200000000000001</v>
      </c>
      <c r="AG30" s="21">
        <f t="shared" si="27"/>
        <v>2.817600236050863</v>
      </c>
      <c r="AH30" s="201"/>
      <c r="AI30" s="203"/>
      <c r="AJ30" s="203" t="s">
        <v>587</v>
      </c>
      <c r="AK30" s="203" t="s">
        <v>586</v>
      </c>
      <c r="AL30" s="203" t="s">
        <v>588</v>
      </c>
      <c r="AM30" s="203" t="s">
        <v>586</v>
      </c>
      <c r="AN30" s="201"/>
      <c r="AO30" s="201"/>
      <c r="AP30" s="201"/>
      <c r="AQ30" s="201"/>
    </row>
    <row r="31" spans="1:48">
      <c r="V31" s="80" t="s">
        <v>229</v>
      </c>
      <c r="W31" s="84">
        <v>10</v>
      </c>
      <c r="X31" s="21">
        <v>82.4</v>
      </c>
      <c r="Y31" s="21">
        <f t="shared" si="28"/>
        <v>48.34</v>
      </c>
      <c r="Z31" s="21">
        <v>37.1</v>
      </c>
      <c r="AA31" s="21">
        <f t="shared" si="24"/>
        <v>3.0399999999999991</v>
      </c>
      <c r="AB31" s="22">
        <f t="shared" si="25"/>
        <v>93.711212246586683</v>
      </c>
      <c r="AC31" s="21">
        <f t="shared" si="26"/>
        <v>415.63978637396337</v>
      </c>
      <c r="AD31" s="21">
        <v>36.89</v>
      </c>
      <c r="AE31" s="21">
        <f t="shared" si="23"/>
        <v>153.32951719335509</v>
      </c>
      <c r="AF31" s="21">
        <v>1.28</v>
      </c>
      <c r="AG31" s="21">
        <f t="shared" si="27"/>
        <v>5.3201892655867313</v>
      </c>
      <c r="AH31" s="201"/>
      <c r="AI31" s="196" t="s">
        <v>589</v>
      </c>
      <c r="AJ31" s="21">
        <v>486.47996644444436</v>
      </c>
      <c r="AK31" s="21">
        <v>153.30371616783702</v>
      </c>
      <c r="AL31" s="21">
        <v>25.666651111111108</v>
      </c>
      <c r="AM31" s="21">
        <v>7.1156925769015613</v>
      </c>
      <c r="AN31" s="201"/>
      <c r="AO31" s="201"/>
      <c r="AP31" s="201"/>
      <c r="AQ31" s="201"/>
    </row>
    <row r="32" spans="1:48" ht="19" customHeight="1">
      <c r="V32" s="80" t="s">
        <v>231</v>
      </c>
      <c r="W32" s="84">
        <v>11</v>
      </c>
      <c r="X32" s="21">
        <v>68.3</v>
      </c>
      <c r="Y32" s="21">
        <f t="shared" si="28"/>
        <v>34.239999999999995</v>
      </c>
      <c r="Z32" s="21">
        <v>35.700000000000003</v>
      </c>
      <c r="AA32" s="21">
        <f t="shared" si="24"/>
        <v>1.6400000000000006</v>
      </c>
      <c r="AB32" s="22">
        <f t="shared" si="25"/>
        <v>95.210280373831765</v>
      </c>
      <c r="AC32" s="21">
        <f t="shared" si="26"/>
        <v>224.22672685963826</v>
      </c>
      <c r="AD32" s="21">
        <v>36.19</v>
      </c>
      <c r="AE32" s="21">
        <f t="shared" si="23"/>
        <v>81.147652450503088</v>
      </c>
      <c r="AF32" s="21">
        <v>0.98</v>
      </c>
      <c r="AG32" s="21">
        <f t="shared" si="27"/>
        <v>2.197421923224455</v>
      </c>
      <c r="AH32" s="201"/>
      <c r="AI32" s="196" t="s">
        <v>590</v>
      </c>
      <c r="AJ32" s="21">
        <v>532.83048222222226</v>
      </c>
      <c r="AK32" s="21">
        <v>124.36980768637466</v>
      </c>
      <c r="AL32" s="21">
        <v>27.168813333333333</v>
      </c>
      <c r="AM32" s="21">
        <v>6.2075917507738021</v>
      </c>
      <c r="AN32" s="201"/>
      <c r="AO32" s="201"/>
      <c r="AP32" s="201"/>
      <c r="AQ32" s="201"/>
    </row>
    <row r="33" spans="1:43" ht="17.149999999999999" customHeight="1">
      <c r="A33" s="17"/>
      <c r="B33" s="17"/>
      <c r="C33" s="310" t="s">
        <v>591</v>
      </c>
      <c r="D33" s="310"/>
      <c r="E33" s="310"/>
      <c r="F33" s="310"/>
      <c r="G33" s="310"/>
      <c r="H33" s="310"/>
      <c r="I33" s="310"/>
      <c r="J33" s="310"/>
      <c r="K33" s="310"/>
      <c r="L33" s="310"/>
      <c r="M33" s="310"/>
      <c r="N33" s="310"/>
      <c r="O33" s="310"/>
      <c r="P33" s="310"/>
      <c r="Q33" s="17"/>
      <c r="R33" s="17"/>
      <c r="S33" s="17"/>
      <c r="T33" s="17"/>
      <c r="V33" s="80" t="s">
        <v>233</v>
      </c>
      <c r="W33" s="84">
        <v>12</v>
      </c>
      <c r="X33" s="21">
        <v>62.2</v>
      </c>
      <c r="Y33" s="21">
        <f>X33-$T$1</f>
        <v>28.14</v>
      </c>
      <c r="Z33" s="21">
        <v>35.200000000000003</v>
      </c>
      <c r="AA33" s="21">
        <f>Z33-$T$1</f>
        <v>1.1400000000000006</v>
      </c>
      <c r="AB33" s="22">
        <f>((Y33-AA33)/Y33)*100</f>
        <v>95.948827292110877</v>
      </c>
      <c r="AC33" s="21">
        <f t="shared" si="26"/>
        <v>155.86491989023639</v>
      </c>
      <c r="AD33" s="21">
        <v>36.76</v>
      </c>
      <c r="AE33" s="21">
        <f t="shared" si="23"/>
        <v>57.295944551650898</v>
      </c>
      <c r="AF33" s="21">
        <v>1.1000000000000001</v>
      </c>
      <c r="AG33" s="21">
        <f t="shared" si="27"/>
        <v>1.7145141187926005</v>
      </c>
      <c r="AH33" s="202"/>
      <c r="AI33" s="266" t="s">
        <v>592</v>
      </c>
      <c r="AJ33" s="266" t="s">
        <v>592</v>
      </c>
      <c r="AK33" s="266" t="s">
        <v>592</v>
      </c>
      <c r="AL33" s="266" t="s">
        <v>593</v>
      </c>
      <c r="AM33" s="266" t="s">
        <v>593</v>
      </c>
      <c r="AN33" s="266" t="s">
        <v>593</v>
      </c>
      <c r="AO33" s="266" t="s">
        <v>594</v>
      </c>
      <c r="AP33" s="266" t="s">
        <v>594</v>
      </c>
      <c r="AQ33" s="266" t="s">
        <v>594</v>
      </c>
    </row>
    <row r="34" spans="1:43" ht="18.5">
      <c r="A34" s="17"/>
      <c r="B34" s="17"/>
      <c r="C34" s="311" t="s">
        <v>595</v>
      </c>
      <c r="D34" s="311"/>
      <c r="E34" s="311"/>
      <c r="F34" s="311"/>
      <c r="G34" s="311"/>
      <c r="H34" s="17"/>
      <c r="I34" s="17"/>
      <c r="J34" s="17"/>
      <c r="K34" s="17"/>
      <c r="L34" s="311" t="s">
        <v>596</v>
      </c>
      <c r="M34" s="311"/>
      <c r="N34" s="311"/>
      <c r="O34" s="311"/>
      <c r="P34" s="311"/>
      <c r="Q34" s="17"/>
      <c r="R34" s="17"/>
      <c r="S34" s="17"/>
      <c r="T34" s="17"/>
      <c r="W34" s="251" t="s">
        <v>583</v>
      </c>
      <c r="X34" s="31"/>
      <c r="Y34" s="33">
        <f>AVERAGE(Y22:Y33)</f>
        <v>37.656666666666666</v>
      </c>
      <c r="Z34" s="33"/>
      <c r="AA34" s="33">
        <f>AVERAGE(AA22:AA33)</f>
        <v>1.9983333333333306</v>
      </c>
      <c r="AB34" s="33">
        <f>AVERAGE(AA22:AA33)</f>
        <v>1.9983333333333306</v>
      </c>
      <c r="AC34" s="244">
        <f>AVERAGE(AC22:AC33)</f>
        <v>273.2193551877092</v>
      </c>
      <c r="AD34" s="252"/>
      <c r="AE34" s="244">
        <f>AVERAGE(AE22:AE33)</f>
        <v>98.825901796445294</v>
      </c>
      <c r="AF34" s="244"/>
      <c r="AG34" s="244">
        <f>AVERAGE(AG22:AG33)</f>
        <v>3.551965553785168</v>
      </c>
      <c r="AH34" s="202"/>
      <c r="AI34" s="264" t="s">
        <v>568</v>
      </c>
      <c r="AJ34" s="265" t="s">
        <v>523</v>
      </c>
      <c r="AK34" s="265" t="s">
        <v>525</v>
      </c>
      <c r="AL34" s="264" t="s">
        <v>568</v>
      </c>
      <c r="AM34" s="265" t="s">
        <v>523</v>
      </c>
      <c r="AN34" s="265" t="s">
        <v>525</v>
      </c>
      <c r="AO34" s="264" t="s">
        <v>568</v>
      </c>
      <c r="AP34" s="265" t="s">
        <v>523</v>
      </c>
      <c r="AQ34" s="265" t="s">
        <v>525</v>
      </c>
    </row>
    <row r="35" spans="1:43" ht="18.5">
      <c r="A35" s="17"/>
      <c r="B35" s="53" t="s">
        <v>494</v>
      </c>
      <c r="C35" s="57" t="s">
        <v>495</v>
      </c>
      <c r="D35" s="58" t="s">
        <v>597</v>
      </c>
      <c r="E35" s="57" t="s">
        <v>496</v>
      </c>
      <c r="F35" s="57" t="s">
        <v>598</v>
      </c>
      <c r="G35" s="53" t="s">
        <v>567</v>
      </c>
      <c r="H35" s="53" t="s">
        <v>568</v>
      </c>
      <c r="I35" s="20" t="s">
        <v>504</v>
      </c>
      <c r="J35" s="17"/>
      <c r="K35" s="17"/>
      <c r="L35" s="17"/>
      <c r="M35" s="20" t="s">
        <v>494</v>
      </c>
      <c r="N35" s="57" t="s">
        <v>495</v>
      </c>
      <c r="O35" s="57" t="s">
        <v>599</v>
      </c>
      <c r="P35" s="57" t="s">
        <v>496</v>
      </c>
      <c r="Q35" s="58" t="s">
        <v>600</v>
      </c>
      <c r="R35" s="53" t="s">
        <v>567</v>
      </c>
      <c r="S35" s="53" t="s">
        <v>568</v>
      </c>
      <c r="T35" s="20" t="s">
        <v>504</v>
      </c>
      <c r="U35" s="17"/>
      <c r="V35" s="17"/>
      <c r="W35" s="30" t="s">
        <v>513</v>
      </c>
      <c r="X35" s="31"/>
      <c r="Y35" s="33">
        <f>_xlfn.STDEV.P(X22:X33)/SQRT(12)</f>
        <v>2.8040108508798331</v>
      </c>
      <c r="Z35" s="33"/>
      <c r="AA35" s="33">
        <f>_xlfn.STDEV.P(AA22:AA33)/SQRT(12)</f>
        <v>0.33695085640138889</v>
      </c>
      <c r="AB35" s="33">
        <f>_xlfn.STDEV.P(AA22:AA33)/SQRT(12)</f>
        <v>0.33695085640138889</v>
      </c>
      <c r="AC35" s="244">
        <f>STDEV(AC22:AC33)</f>
        <v>166.68441582276003</v>
      </c>
      <c r="AD35" s="252"/>
      <c r="AE35" s="244">
        <f>STDEV(AE22:AE33)</f>
        <v>60.089711805617199</v>
      </c>
      <c r="AF35" s="244"/>
      <c r="AG35" s="244">
        <f>STDEV(AG22:AG33)</f>
        <v>2.5420273693353113</v>
      </c>
      <c r="AH35" s="203" t="s">
        <v>601</v>
      </c>
      <c r="AI35" s="21">
        <f>AVERAGE(AK6:AK14,AK19:AK27)</f>
        <v>1253.6188888888892</v>
      </c>
      <c r="AJ35" s="21">
        <f>AVERAGE(AM6:AM14,AM19:AM27)</f>
        <v>509.65522433333331</v>
      </c>
      <c r="AK35" s="21">
        <f>AVERAGE(AO6:AO14,AO19:AO27)</f>
        <v>26.41773222222222</v>
      </c>
      <c r="AL35" s="21">
        <f>AVERAGE(AC6:AC17,AC22:AC33)</f>
        <v>372.31962517089067</v>
      </c>
      <c r="AM35" s="21">
        <f>AVERAGE(AE6:AE17,AE22:AE33)</f>
        <v>134.54198556696454</v>
      </c>
      <c r="AN35" s="21">
        <f>AVERAGE(AG6:AG17,AG22:AG33)</f>
        <v>6.7630678437244818</v>
      </c>
      <c r="AO35" s="21">
        <f>AL35+AI35</f>
        <v>1625.9385140597799</v>
      </c>
      <c r="AP35" s="21">
        <f>AJ35+AM35</f>
        <v>644.19720990029782</v>
      </c>
      <c r="AQ35" s="21">
        <f>AK35+AN35</f>
        <v>33.180800065946698</v>
      </c>
    </row>
    <row r="36" spans="1:43">
      <c r="A36" s="17"/>
      <c r="B36" s="24" t="s">
        <v>112</v>
      </c>
      <c r="C36" s="24">
        <v>249.2</v>
      </c>
      <c r="D36" s="29">
        <f t="shared" ref="D36:D44" si="31">C36-$T$2</f>
        <v>227.39999999999998</v>
      </c>
      <c r="E36" s="24">
        <v>44.8</v>
      </c>
      <c r="F36" s="24">
        <f t="shared" ref="F36:F44" si="32">E36-$T$2</f>
        <v>22.999999999999996</v>
      </c>
      <c r="G36" s="24">
        <f t="shared" ref="G36:G44" si="33">(D36/1000)/(1/10000)</f>
        <v>2274</v>
      </c>
      <c r="H36" s="24">
        <f>(F36/1000)/(1/10000)</f>
        <v>229.99999999999994</v>
      </c>
      <c r="I36" s="26">
        <f>((D36-F36)/D36)*100</f>
        <v>89.885664028144248</v>
      </c>
      <c r="J36" s="17"/>
      <c r="K36" s="17"/>
      <c r="L36" s="17"/>
      <c r="M36" s="24" t="s">
        <v>112</v>
      </c>
      <c r="N36" s="25">
        <v>529.4</v>
      </c>
      <c r="O36" s="25">
        <f>N36-$T$2</f>
        <v>507.59999999999997</v>
      </c>
      <c r="P36" s="25">
        <v>94.9</v>
      </c>
      <c r="Q36" s="29">
        <f>P36-$T$2</f>
        <v>73.100000000000009</v>
      </c>
      <c r="R36" s="24">
        <f>(O36/1000)/(1/10000)</f>
        <v>5075.9999999999991</v>
      </c>
      <c r="S36" s="24">
        <f>(Q36/1000)/(1/10000)</f>
        <v>731.00000000000011</v>
      </c>
      <c r="T36" s="26">
        <f>((O36-Q36)/O36)*100</f>
        <v>85.59889676910953</v>
      </c>
      <c r="U36" s="17"/>
      <c r="V36" s="17"/>
      <c r="W36" s="17"/>
      <c r="X36" s="17"/>
      <c r="Y36" s="17"/>
      <c r="Z36" s="59"/>
      <c r="AA36" s="17"/>
      <c r="AB36" s="17"/>
      <c r="AC36" s="231"/>
      <c r="AD36" s="201"/>
      <c r="AE36" s="201"/>
      <c r="AF36" s="201"/>
      <c r="AG36" s="201"/>
      <c r="AH36" s="203" t="s">
        <v>602</v>
      </c>
      <c r="AI36" s="21">
        <f>STDEV(AK6:AK14,AK19:AK27)</f>
        <v>337.43680349308875</v>
      </c>
      <c r="AJ36" s="21">
        <f>STDEV(AM6:AM14,AM19:AM27)</f>
        <v>137.5043729885183</v>
      </c>
      <c r="AK36" s="21">
        <f>STDEV(AO6:AO14,AO19:AO27)</f>
        <v>6.5236782325184519</v>
      </c>
      <c r="AL36" s="21">
        <f>STDEV(AC6:AC17,AC22:AC33)</f>
        <v>191.50813866498595</v>
      </c>
      <c r="AM36" s="21">
        <f>STDEV(AE6:AE17,AE22:AE33)</f>
        <v>69.042177386844585</v>
      </c>
      <c r="AN36" s="21">
        <f>STDEV(AG6:AG17,AG22:AG33)</f>
        <v>4.6264678451420842</v>
      </c>
      <c r="AO36" s="21"/>
      <c r="AP36" s="21"/>
      <c r="AQ36" s="21"/>
    </row>
    <row r="37" spans="1:43">
      <c r="A37" s="17"/>
      <c r="B37" s="24" t="s">
        <v>115</v>
      </c>
      <c r="C37" s="24">
        <v>147.9</v>
      </c>
      <c r="D37" s="29">
        <f t="shared" si="31"/>
        <v>126.10000000000001</v>
      </c>
      <c r="E37" s="24">
        <v>35.5</v>
      </c>
      <c r="F37" s="24">
        <f t="shared" si="32"/>
        <v>13.7</v>
      </c>
      <c r="G37" s="24">
        <f t="shared" si="33"/>
        <v>1261.0000000000002</v>
      </c>
      <c r="H37" s="24">
        <f t="shared" ref="H37:H44" si="34">(F37/1000)/(1/10000)</f>
        <v>136.99999999999997</v>
      </c>
      <c r="I37" s="26">
        <f t="shared" ref="I37:I44" si="35">((D37-F37)/D37)*100</f>
        <v>89.135606661379853</v>
      </c>
      <c r="J37" s="17"/>
      <c r="K37" s="17"/>
      <c r="L37" s="17"/>
      <c r="M37" s="24" t="s">
        <v>115</v>
      </c>
      <c r="N37" s="25">
        <v>314.5</v>
      </c>
      <c r="O37" s="25">
        <f t="shared" ref="O37:O44" si="36">N37-$T$2</f>
        <v>292.7</v>
      </c>
      <c r="P37" s="25">
        <v>65</v>
      </c>
      <c r="Q37" s="29">
        <f t="shared" ref="Q37:Q44" si="37">P37-$T$2</f>
        <v>43.2</v>
      </c>
      <c r="R37" s="24">
        <f t="shared" ref="R37:R44" si="38">(O37/1000)/(1/10000)</f>
        <v>2927</v>
      </c>
      <c r="S37" s="24">
        <f t="shared" ref="S37:S44" si="39">(Q37/1000)/(1/10000)</f>
        <v>432</v>
      </c>
      <c r="T37" s="26">
        <f t="shared" ref="T37:T44" si="40">((O37-Q37)/O37)*100</f>
        <v>85.240860949777925</v>
      </c>
      <c r="U37" s="17"/>
      <c r="V37" s="17"/>
      <c r="W37" s="17"/>
      <c r="X37" s="17"/>
      <c r="Y37" s="17"/>
      <c r="Z37" s="17"/>
      <c r="AA37" s="17"/>
      <c r="AB37" s="17"/>
      <c r="AC37" s="17"/>
      <c r="AE37" s="14"/>
      <c r="AF37" s="14"/>
      <c r="AG37" s="14"/>
      <c r="AH37" s="14"/>
      <c r="AI37" s="14"/>
    </row>
    <row r="38" spans="1:43">
      <c r="A38" s="17"/>
      <c r="B38" s="24" t="s">
        <v>118</v>
      </c>
      <c r="C38" s="24">
        <v>140.1</v>
      </c>
      <c r="D38" s="29">
        <f t="shared" si="31"/>
        <v>118.3</v>
      </c>
      <c r="E38" s="24">
        <v>34.5</v>
      </c>
      <c r="F38" s="24">
        <f t="shared" si="32"/>
        <v>12.7</v>
      </c>
      <c r="G38" s="24">
        <f t="shared" si="33"/>
        <v>1183</v>
      </c>
      <c r="H38" s="24">
        <f t="shared" si="34"/>
        <v>126.99999999999999</v>
      </c>
      <c r="I38" s="26">
        <f t="shared" si="35"/>
        <v>89.264581572273883</v>
      </c>
      <c r="J38" s="17"/>
      <c r="K38" s="17"/>
      <c r="L38" s="17"/>
      <c r="M38" s="24" t="s">
        <v>118</v>
      </c>
      <c r="N38" s="25">
        <v>275.5</v>
      </c>
      <c r="O38" s="25">
        <f t="shared" si="36"/>
        <v>253.7</v>
      </c>
      <c r="P38" s="25">
        <v>61.6</v>
      </c>
      <c r="Q38" s="29">
        <f t="shared" si="37"/>
        <v>39.799999999999997</v>
      </c>
      <c r="R38" s="24">
        <f t="shared" si="38"/>
        <v>2536.9999999999995</v>
      </c>
      <c r="S38" s="24">
        <f t="shared" si="39"/>
        <v>397.99999999999994</v>
      </c>
      <c r="T38" s="26">
        <f t="shared" si="40"/>
        <v>84.312179739850208</v>
      </c>
      <c r="U38" s="17"/>
      <c r="V38" s="17"/>
      <c r="W38" s="17"/>
      <c r="X38" s="17"/>
      <c r="Y38" s="17"/>
      <c r="Z38" s="17"/>
      <c r="AA38" s="17"/>
      <c r="AB38" s="17"/>
      <c r="AC38" s="17"/>
      <c r="AE38" s="14"/>
      <c r="AF38" s="14"/>
      <c r="AG38" s="14"/>
      <c r="AH38" s="14"/>
      <c r="AI38" s="14"/>
    </row>
    <row r="39" spans="1:43" ht="18.5">
      <c r="A39" s="17"/>
      <c r="B39" s="24" t="s">
        <v>121</v>
      </c>
      <c r="C39" s="24">
        <v>86</v>
      </c>
      <c r="D39" s="29">
        <f t="shared" si="31"/>
        <v>64.2</v>
      </c>
      <c r="E39" s="24">
        <v>37.9</v>
      </c>
      <c r="F39" s="24">
        <f t="shared" si="32"/>
        <v>16.099999999999998</v>
      </c>
      <c r="G39" s="24">
        <f t="shared" si="33"/>
        <v>642</v>
      </c>
      <c r="H39" s="24">
        <f t="shared" si="34"/>
        <v>160.99999999999994</v>
      </c>
      <c r="I39" s="26">
        <f t="shared" si="35"/>
        <v>74.922118380062315</v>
      </c>
      <c r="J39" s="17"/>
      <c r="K39" s="17"/>
      <c r="L39" s="17"/>
      <c r="M39" s="24" t="s">
        <v>121</v>
      </c>
      <c r="N39" s="25">
        <v>331</v>
      </c>
      <c r="O39" s="25">
        <f t="shared" si="36"/>
        <v>309.2</v>
      </c>
      <c r="P39" s="25">
        <v>86.3</v>
      </c>
      <c r="Q39" s="29">
        <f t="shared" si="37"/>
        <v>64.5</v>
      </c>
      <c r="R39" s="24">
        <f t="shared" si="38"/>
        <v>3091.9999999999995</v>
      </c>
      <c r="S39" s="24">
        <f t="shared" si="39"/>
        <v>645</v>
      </c>
      <c r="T39" s="26">
        <f t="shared" si="40"/>
        <v>79.139715394566622</v>
      </c>
      <c r="U39" s="17"/>
      <c r="V39" s="17"/>
      <c r="W39" s="17"/>
      <c r="X39" s="60" t="s">
        <v>603</v>
      </c>
      <c r="Y39" s="60"/>
      <c r="Z39" s="218"/>
      <c r="AA39" s="17"/>
      <c r="AB39" s="17"/>
      <c r="AC39" s="17"/>
      <c r="AE39" s="14"/>
      <c r="AF39" s="14"/>
      <c r="AG39" s="14"/>
      <c r="AH39" s="14"/>
      <c r="AI39" s="14"/>
    </row>
    <row r="40" spans="1:43">
      <c r="A40" s="17"/>
      <c r="B40" s="24" t="s">
        <v>124</v>
      </c>
      <c r="C40" s="24">
        <v>57.7</v>
      </c>
      <c r="D40" s="29">
        <f t="shared" si="31"/>
        <v>35.900000000000006</v>
      </c>
      <c r="E40" s="24">
        <v>24.2</v>
      </c>
      <c r="F40" s="24">
        <f t="shared" si="32"/>
        <v>2.3999999999999986</v>
      </c>
      <c r="G40" s="24">
        <f t="shared" si="33"/>
        <v>359.00000000000006</v>
      </c>
      <c r="H40" s="24">
        <f t="shared" si="34"/>
        <v>23.999999999999982</v>
      </c>
      <c r="I40" s="26">
        <f t="shared" si="35"/>
        <v>93.314763231197773</v>
      </c>
      <c r="J40" s="17"/>
      <c r="K40" s="17"/>
      <c r="L40" s="17"/>
      <c r="M40" s="24" t="s">
        <v>124</v>
      </c>
      <c r="N40" s="25">
        <v>319.39999999999998</v>
      </c>
      <c r="O40" s="25">
        <f t="shared" si="36"/>
        <v>297.59999999999997</v>
      </c>
      <c r="P40" s="25">
        <v>69.2</v>
      </c>
      <c r="Q40" s="29">
        <f t="shared" si="37"/>
        <v>47.400000000000006</v>
      </c>
      <c r="R40" s="24">
        <f t="shared" si="38"/>
        <v>2975.9999999999995</v>
      </c>
      <c r="S40" s="24">
        <f t="shared" si="39"/>
        <v>474</v>
      </c>
      <c r="T40" s="26">
        <f t="shared" si="40"/>
        <v>84.072580645161281</v>
      </c>
      <c r="U40" s="17"/>
      <c r="V40" s="17"/>
      <c r="W40" s="17"/>
      <c r="X40" s="17" t="s">
        <v>589</v>
      </c>
      <c r="Y40" s="61">
        <f>O45/Y34</f>
        <v>7.8265616240299769</v>
      </c>
      <c r="Z40" s="17"/>
      <c r="AA40" s="17"/>
      <c r="AB40" s="17"/>
      <c r="AC40" s="17"/>
      <c r="AE40" s="14"/>
      <c r="AF40" s="14"/>
      <c r="AG40" s="14"/>
      <c r="AH40" s="14"/>
      <c r="AI40" s="14"/>
    </row>
    <row r="41" spans="1:43">
      <c r="A41" s="17"/>
      <c r="B41" s="24" t="s">
        <v>127</v>
      </c>
      <c r="C41" s="24">
        <v>101.1</v>
      </c>
      <c r="D41" s="29">
        <f t="shared" si="31"/>
        <v>79.3</v>
      </c>
      <c r="E41" s="24">
        <v>40.1</v>
      </c>
      <c r="F41" s="24">
        <f t="shared" si="32"/>
        <v>18.3</v>
      </c>
      <c r="G41" s="24">
        <f t="shared" si="33"/>
        <v>792.99999999999989</v>
      </c>
      <c r="H41" s="24">
        <f t="shared" si="34"/>
        <v>183</v>
      </c>
      <c r="I41" s="26">
        <f t="shared" si="35"/>
        <v>76.923076923076934</v>
      </c>
      <c r="J41" s="17"/>
      <c r="K41" s="17"/>
      <c r="L41" s="17"/>
      <c r="M41" s="24" t="s">
        <v>127</v>
      </c>
      <c r="N41" s="25">
        <v>293.39999999999998</v>
      </c>
      <c r="O41" s="25">
        <f t="shared" si="36"/>
        <v>271.59999999999997</v>
      </c>
      <c r="P41" s="25">
        <v>77.2</v>
      </c>
      <c r="Q41" s="29">
        <f t="shared" si="37"/>
        <v>55.400000000000006</v>
      </c>
      <c r="R41" s="24">
        <f t="shared" si="38"/>
        <v>2715.9999999999995</v>
      </c>
      <c r="S41" s="24">
        <f t="shared" si="39"/>
        <v>554</v>
      </c>
      <c r="T41" s="26">
        <f t="shared" si="40"/>
        <v>79.602356406480112</v>
      </c>
      <c r="U41" s="17"/>
      <c r="V41" s="17"/>
      <c r="W41" s="17"/>
      <c r="X41" s="17" t="s">
        <v>590</v>
      </c>
      <c r="Y41" s="61">
        <f>O59/Y34</f>
        <v>13.672361393880379</v>
      </c>
      <c r="Z41" s="17"/>
      <c r="AA41" s="17"/>
      <c r="AB41" s="17"/>
      <c r="AC41" s="17"/>
      <c r="AE41" s="14"/>
      <c r="AF41" s="14"/>
      <c r="AG41" s="14"/>
      <c r="AH41" s="14"/>
      <c r="AI41" s="14"/>
    </row>
    <row r="42" spans="1:43">
      <c r="A42" s="17"/>
      <c r="B42" s="24" t="s">
        <v>130</v>
      </c>
      <c r="C42" s="24">
        <v>108.4</v>
      </c>
      <c r="D42" s="29">
        <f t="shared" si="31"/>
        <v>86.600000000000009</v>
      </c>
      <c r="E42" s="24">
        <v>30.2</v>
      </c>
      <c r="F42" s="24">
        <f t="shared" si="32"/>
        <v>8.3999999999999986</v>
      </c>
      <c r="G42" s="24">
        <f t="shared" si="33"/>
        <v>866.00000000000011</v>
      </c>
      <c r="H42" s="24">
        <f t="shared" si="34"/>
        <v>83.999999999999972</v>
      </c>
      <c r="I42" s="26">
        <f t="shared" si="35"/>
        <v>90.300230946882238</v>
      </c>
      <c r="J42" s="17"/>
      <c r="K42" s="17"/>
      <c r="L42" s="17"/>
      <c r="M42" s="24" t="s">
        <v>130</v>
      </c>
      <c r="N42" s="25">
        <v>325.60000000000002</v>
      </c>
      <c r="O42" s="25">
        <f t="shared" si="36"/>
        <v>303.8</v>
      </c>
      <c r="P42" s="25">
        <v>65.3</v>
      </c>
      <c r="Q42" s="29">
        <f t="shared" si="37"/>
        <v>43.5</v>
      </c>
      <c r="R42" s="24">
        <f t="shared" si="38"/>
        <v>3038</v>
      </c>
      <c r="S42" s="24">
        <f t="shared" si="39"/>
        <v>434.99999999999994</v>
      </c>
      <c r="T42" s="26">
        <f t="shared" si="40"/>
        <v>85.681369321922318</v>
      </c>
      <c r="U42" s="17"/>
      <c r="V42" s="17"/>
      <c r="W42" s="17"/>
      <c r="X42" s="17"/>
      <c r="Y42" s="17"/>
      <c r="Z42" s="17"/>
      <c r="AA42" s="17"/>
      <c r="AB42" s="17"/>
      <c r="AC42" s="17"/>
      <c r="AE42" s="14"/>
      <c r="AF42" s="14"/>
      <c r="AG42" s="14"/>
      <c r="AH42" s="14"/>
      <c r="AI42" s="14"/>
    </row>
    <row r="43" spans="1:43">
      <c r="A43" s="17"/>
      <c r="B43" s="24" t="s">
        <v>133</v>
      </c>
      <c r="C43" s="24">
        <v>104</v>
      </c>
      <c r="D43" s="29">
        <f t="shared" si="31"/>
        <v>82.2</v>
      </c>
      <c r="E43" s="24">
        <v>29.2</v>
      </c>
      <c r="F43" s="24">
        <f t="shared" si="32"/>
        <v>7.3999999999999986</v>
      </c>
      <c r="G43" s="24">
        <f t="shared" si="33"/>
        <v>822</v>
      </c>
      <c r="H43" s="24">
        <f t="shared" si="34"/>
        <v>73.999999999999986</v>
      </c>
      <c r="I43" s="26">
        <f t="shared" si="35"/>
        <v>90.997566909975674</v>
      </c>
      <c r="J43" s="17"/>
      <c r="K43" s="17"/>
      <c r="L43" s="17"/>
      <c r="M43" s="24" t="s">
        <v>133</v>
      </c>
      <c r="N43" s="25">
        <v>235.5</v>
      </c>
      <c r="O43" s="25">
        <f t="shared" si="36"/>
        <v>213.7</v>
      </c>
      <c r="P43" s="25">
        <v>51.4</v>
      </c>
      <c r="Q43" s="29">
        <f t="shared" si="37"/>
        <v>29.599999999999998</v>
      </c>
      <c r="R43" s="24">
        <f t="shared" si="38"/>
        <v>2137</v>
      </c>
      <c r="S43" s="24">
        <f t="shared" si="39"/>
        <v>295.99999999999994</v>
      </c>
      <c r="T43" s="26">
        <f t="shared" si="40"/>
        <v>86.148806738418344</v>
      </c>
      <c r="U43" s="17"/>
      <c r="V43" s="17"/>
      <c r="W43" s="17"/>
      <c r="AA43" s="17"/>
      <c r="AB43" s="17"/>
      <c r="AC43" s="17"/>
      <c r="AE43" s="14"/>
      <c r="AF43" s="14"/>
      <c r="AG43" s="14"/>
      <c r="AH43" s="14"/>
      <c r="AI43" s="14"/>
    </row>
    <row r="44" spans="1:43">
      <c r="A44" s="17"/>
      <c r="B44" s="24" t="s">
        <v>136</v>
      </c>
      <c r="C44" s="24">
        <v>73.099999999999994</v>
      </c>
      <c r="D44" s="29">
        <f t="shared" si="31"/>
        <v>51.3</v>
      </c>
      <c r="E44" s="24">
        <v>26.1</v>
      </c>
      <c r="F44" s="24">
        <f t="shared" si="32"/>
        <v>4.3000000000000007</v>
      </c>
      <c r="G44" s="24">
        <f t="shared" si="33"/>
        <v>513</v>
      </c>
      <c r="H44" s="24">
        <f t="shared" si="34"/>
        <v>43.000000000000007</v>
      </c>
      <c r="I44" s="26">
        <f t="shared" si="35"/>
        <v>91.617933723196884</v>
      </c>
      <c r="J44" s="17"/>
      <c r="K44" s="17"/>
      <c r="L44" s="17"/>
      <c r="M44" s="24" t="s">
        <v>136</v>
      </c>
      <c r="N44" s="25">
        <v>224.4</v>
      </c>
      <c r="O44" s="25">
        <f t="shared" si="36"/>
        <v>202.6</v>
      </c>
      <c r="P44" s="25">
        <v>58.1</v>
      </c>
      <c r="Q44" s="29">
        <f t="shared" si="37"/>
        <v>36.299999999999997</v>
      </c>
      <c r="R44" s="24">
        <f t="shared" si="38"/>
        <v>2026</v>
      </c>
      <c r="S44" s="24">
        <f t="shared" si="39"/>
        <v>363</v>
      </c>
      <c r="T44" s="26">
        <f t="shared" si="40"/>
        <v>82.082922013820351</v>
      </c>
      <c r="U44" s="17"/>
      <c r="W44" s="14"/>
      <c r="X44" s="14"/>
      <c r="Y44" s="14"/>
      <c r="Z44" s="14"/>
      <c r="AA44" s="14"/>
      <c r="AC44" s="14"/>
      <c r="AD44" s="14"/>
      <c r="AF44" s="14"/>
      <c r="AG44" s="14"/>
      <c r="AH44" s="14"/>
      <c r="AI44" s="14"/>
    </row>
    <row r="45" spans="1:43" ht="18.5">
      <c r="A45" s="17"/>
      <c r="B45" s="34" t="s">
        <v>512</v>
      </c>
      <c r="D45" s="36">
        <f>AVERAGE(D36:D44)</f>
        <v>96.811111111111103</v>
      </c>
      <c r="G45" s="36">
        <f>AVERAGE(G36:G44)</f>
        <v>968.11111111111109</v>
      </c>
      <c r="H45" s="36">
        <f>AVERAGE(H36:H44)</f>
        <v>118.11111111111109</v>
      </c>
      <c r="M45" s="34" t="s">
        <v>512</v>
      </c>
      <c r="O45" s="36">
        <f>AVERAGE(O36:O44)</f>
        <v>294.72222222222217</v>
      </c>
      <c r="Q45" s="36">
        <f>AVERAGE(Q36:Q44)</f>
        <v>48.088888888888889</v>
      </c>
      <c r="R45" s="17"/>
      <c r="S45" s="17"/>
      <c r="U45" s="17"/>
      <c r="W45" s="14"/>
      <c r="X45" s="14"/>
      <c r="Y45" s="14"/>
      <c r="Z45" s="14"/>
    </row>
    <row r="46" spans="1:43" ht="18.5">
      <c r="A46" s="17"/>
      <c r="B46" s="34" t="s">
        <v>513</v>
      </c>
      <c r="D46" s="36">
        <f>_xlfn.STDEV.P(D36:D44)/SQRT(9)</f>
        <v>17.86173539219665</v>
      </c>
      <c r="G46" s="36">
        <f>_xlfn.STDEV.P(G36:G44)/SQRT(9)</f>
        <v>178.6173539219665</v>
      </c>
      <c r="H46" s="36">
        <f>_xlfn.STDEV.P(H36:H44)/SQRT(9)</f>
        <v>21.260549709189082</v>
      </c>
      <c r="M46" s="34" t="s">
        <v>513</v>
      </c>
      <c r="O46" s="36">
        <f>_xlfn.STDEV.P(O36:O44)/SQRT(9)</f>
        <v>27.864286526822038</v>
      </c>
      <c r="Q46" s="36">
        <f>_xlfn.STDEV.P(Q36:Q44)/SQRT(9)</f>
        <v>4.3649684128916499</v>
      </c>
      <c r="R46" s="17"/>
      <c r="S46" s="17"/>
      <c r="U46" s="17"/>
      <c r="W46" s="14"/>
      <c r="X46" s="14"/>
      <c r="Y46" s="14"/>
      <c r="Z46" s="14"/>
    </row>
    <row r="47" spans="1:43">
      <c r="A47" s="17"/>
      <c r="B47" s="17"/>
      <c r="C47" s="17"/>
      <c r="D47" s="17"/>
      <c r="E47" s="44"/>
      <c r="F47" s="44"/>
      <c r="G47" s="44"/>
      <c r="H47" s="44"/>
      <c r="I47" s="17"/>
      <c r="J47" s="17"/>
      <c r="K47" s="17"/>
      <c r="L47" s="17"/>
      <c r="M47" s="17"/>
      <c r="N47" s="17"/>
      <c r="O47" s="17"/>
      <c r="P47" s="17"/>
      <c r="Q47" s="17"/>
      <c r="R47" s="17"/>
      <c r="S47" s="17"/>
      <c r="U47" s="17"/>
      <c r="W47" s="14"/>
      <c r="X47" s="14"/>
      <c r="Y47" s="14"/>
      <c r="Z47" s="14"/>
    </row>
    <row r="48" spans="1:43">
      <c r="A48" s="17"/>
      <c r="B48" s="17"/>
      <c r="C48" s="309" t="s">
        <v>595</v>
      </c>
      <c r="D48" s="309"/>
      <c r="E48" s="309"/>
      <c r="F48" s="309"/>
      <c r="G48" s="309"/>
      <c r="H48" s="17"/>
      <c r="I48" s="17"/>
      <c r="J48" s="17"/>
      <c r="K48" s="17"/>
      <c r="L48" s="17"/>
      <c r="M48" s="309" t="s">
        <v>596</v>
      </c>
      <c r="N48" s="309"/>
      <c r="O48" s="309"/>
      <c r="P48" s="309"/>
      <c r="Q48" s="309"/>
      <c r="R48" s="17"/>
      <c r="S48" s="17"/>
      <c r="U48" s="17"/>
      <c r="W48" s="14"/>
      <c r="X48" s="14"/>
      <c r="Y48" s="14"/>
      <c r="Z48" s="14"/>
    </row>
    <row r="49" spans="1:30">
      <c r="A49" s="17"/>
      <c r="B49" s="53" t="s">
        <v>494</v>
      </c>
      <c r="C49" s="20" t="s">
        <v>495</v>
      </c>
      <c r="D49" s="58" t="s">
        <v>597</v>
      </c>
      <c r="E49" s="20" t="s">
        <v>496</v>
      </c>
      <c r="F49" s="20" t="s">
        <v>598</v>
      </c>
      <c r="G49" s="53" t="s">
        <v>567</v>
      </c>
      <c r="H49" s="53" t="s">
        <v>568</v>
      </c>
      <c r="I49" s="20" t="s">
        <v>504</v>
      </c>
      <c r="J49" s="17"/>
      <c r="K49" s="17"/>
      <c r="L49" s="17"/>
      <c r="M49" s="53" t="s">
        <v>494</v>
      </c>
      <c r="N49" s="20" t="s">
        <v>495</v>
      </c>
      <c r="O49" s="57" t="s">
        <v>599</v>
      </c>
      <c r="P49" s="20" t="s">
        <v>496</v>
      </c>
      <c r="Q49" s="58" t="s">
        <v>600</v>
      </c>
      <c r="R49" s="53" t="s">
        <v>567</v>
      </c>
      <c r="S49" s="53" t="s">
        <v>568</v>
      </c>
      <c r="T49" s="20" t="s">
        <v>504</v>
      </c>
      <c r="U49" s="17"/>
      <c r="W49" s="14"/>
      <c r="X49" s="14"/>
      <c r="Y49" s="14"/>
      <c r="Z49" s="14"/>
    </row>
    <row r="50" spans="1:30">
      <c r="A50" s="17"/>
      <c r="B50" s="24" t="s">
        <v>139</v>
      </c>
      <c r="C50" s="24">
        <v>125.8</v>
      </c>
      <c r="D50" s="29">
        <f t="shared" ref="D50:D58" si="41">C50-$T$2</f>
        <v>104</v>
      </c>
      <c r="E50" s="24">
        <v>31.2</v>
      </c>
      <c r="F50" s="24">
        <f t="shared" ref="F50:F58" si="42">E50-$T$2</f>
        <v>9.3999999999999986</v>
      </c>
      <c r="G50" s="24">
        <f>(D50/1000)/(1/10000)</f>
        <v>1040</v>
      </c>
      <c r="H50" s="24">
        <f>(F50/1000)/(1/10000)</f>
        <v>93.999999999999986</v>
      </c>
      <c r="I50" s="26">
        <f>((D50-F50)/D50)*100</f>
        <v>90.961538461538467</v>
      </c>
      <c r="J50" s="17"/>
      <c r="K50" s="17"/>
      <c r="L50" s="17"/>
      <c r="M50" s="24" t="s">
        <v>139</v>
      </c>
      <c r="N50" s="24">
        <v>502.9</v>
      </c>
      <c r="O50" s="24">
        <f>N50-$T$2</f>
        <v>481.09999999999997</v>
      </c>
      <c r="P50" s="24">
        <v>92</v>
      </c>
      <c r="Q50" s="29">
        <f>P50-$T$2</f>
        <v>70.2</v>
      </c>
      <c r="R50" s="24">
        <f>(O50/1000)/(1/10000)</f>
        <v>4810.9999999999991</v>
      </c>
      <c r="S50" s="24">
        <f>(Q50/1000)/(1/10000)</f>
        <v>702</v>
      </c>
      <c r="T50" s="26">
        <f>((O50-Q50)/O50)*100</f>
        <v>85.40843899397214</v>
      </c>
      <c r="U50" s="17"/>
      <c r="W50" s="14"/>
      <c r="X50" s="14"/>
      <c r="Y50" s="14"/>
      <c r="Z50" s="14"/>
    </row>
    <row r="51" spans="1:30">
      <c r="A51" s="17"/>
      <c r="B51" s="24" t="s">
        <v>142</v>
      </c>
      <c r="C51" s="24">
        <v>116</v>
      </c>
      <c r="D51" s="29">
        <f t="shared" si="41"/>
        <v>94.2</v>
      </c>
      <c r="E51" s="24">
        <v>29.7</v>
      </c>
      <c r="F51" s="24">
        <f t="shared" si="42"/>
        <v>7.8999999999999986</v>
      </c>
      <c r="G51" s="24">
        <f t="shared" ref="G51:G58" si="43">(D51/1000)/(1/10000)</f>
        <v>942</v>
      </c>
      <c r="H51" s="24">
        <f t="shared" ref="H51:H58" si="44">(F51/1000)/(1/10000)</f>
        <v>78.999999999999986</v>
      </c>
      <c r="I51" s="26">
        <f t="shared" ref="I51:I58" si="45">((D51-F51)/D51)*100</f>
        <v>91.613588110403413</v>
      </c>
      <c r="J51" s="17"/>
      <c r="K51" s="17"/>
      <c r="L51" s="17"/>
      <c r="M51" s="24" t="s">
        <v>142</v>
      </c>
      <c r="N51" s="24">
        <v>347</v>
      </c>
      <c r="O51" s="24">
        <f t="shared" ref="O51:O58" si="46">N51-$T$2</f>
        <v>325.2</v>
      </c>
      <c r="P51" s="24">
        <v>67.5</v>
      </c>
      <c r="Q51" s="29">
        <f t="shared" ref="Q51:Q58" si="47">P51-$T$2</f>
        <v>45.7</v>
      </c>
      <c r="R51" s="24">
        <f t="shared" ref="R51:R58" si="48">(O51/1000)/(1/10000)</f>
        <v>3251.9999999999995</v>
      </c>
      <c r="S51" s="24">
        <f t="shared" ref="S51:S58" si="49">(Q51/1000)/(1/10000)</f>
        <v>457</v>
      </c>
      <c r="T51" s="26">
        <f t="shared" ref="T51:T58" si="50">((O51-Q51)/O51)*100</f>
        <v>85.94710947109472</v>
      </c>
      <c r="U51" s="17"/>
      <c r="W51" s="14"/>
      <c r="X51" s="14"/>
      <c r="Y51" s="14"/>
      <c r="Z51" s="14"/>
    </row>
    <row r="52" spans="1:30">
      <c r="A52" s="17"/>
      <c r="B52" s="24" t="s">
        <v>145</v>
      </c>
      <c r="C52" s="24">
        <v>128.19999999999999</v>
      </c>
      <c r="D52" s="29">
        <f t="shared" si="41"/>
        <v>106.39999999999999</v>
      </c>
      <c r="E52" s="24">
        <v>31.2</v>
      </c>
      <c r="F52" s="24">
        <f t="shared" si="42"/>
        <v>9.3999999999999986</v>
      </c>
      <c r="G52" s="24">
        <f t="shared" si="43"/>
        <v>1064</v>
      </c>
      <c r="H52" s="24">
        <f t="shared" si="44"/>
        <v>93.999999999999986</v>
      </c>
      <c r="I52" s="26">
        <f t="shared" si="45"/>
        <v>91.165413533834595</v>
      </c>
      <c r="J52" s="17"/>
      <c r="K52" s="17"/>
      <c r="L52" s="17"/>
      <c r="M52" s="24" t="s">
        <v>145</v>
      </c>
      <c r="N52" s="24">
        <v>721</v>
      </c>
      <c r="O52" s="24">
        <f t="shared" si="46"/>
        <v>699.2</v>
      </c>
      <c r="P52" s="24">
        <v>110.4</v>
      </c>
      <c r="Q52" s="29">
        <f t="shared" si="47"/>
        <v>88.600000000000009</v>
      </c>
      <c r="R52" s="24">
        <f t="shared" si="48"/>
        <v>6992</v>
      </c>
      <c r="S52" s="24">
        <f t="shared" si="49"/>
        <v>886.00000000000011</v>
      </c>
      <c r="T52" s="26">
        <f t="shared" si="50"/>
        <v>87.328375286041179</v>
      </c>
      <c r="U52" s="17"/>
      <c r="W52" s="14"/>
      <c r="X52" s="14"/>
      <c r="Y52" s="14"/>
      <c r="Z52" s="14"/>
    </row>
    <row r="53" spans="1:30">
      <c r="A53" s="17"/>
      <c r="B53" s="24" t="s">
        <v>148</v>
      </c>
      <c r="C53" s="24">
        <v>127.5</v>
      </c>
      <c r="D53" s="29">
        <f t="shared" si="41"/>
        <v>105.7</v>
      </c>
      <c r="E53" s="24">
        <v>30.7</v>
      </c>
      <c r="F53" s="24">
        <f t="shared" si="42"/>
        <v>8.8999999999999986</v>
      </c>
      <c r="G53" s="24">
        <f t="shared" si="43"/>
        <v>1057</v>
      </c>
      <c r="H53" s="24">
        <f t="shared" si="44"/>
        <v>88.999999999999972</v>
      </c>
      <c r="I53" s="26">
        <f t="shared" si="45"/>
        <v>91.579943235572387</v>
      </c>
      <c r="J53" s="17"/>
      <c r="K53" s="17"/>
      <c r="L53" s="17"/>
      <c r="M53" s="24" t="s">
        <v>148</v>
      </c>
      <c r="N53" s="24">
        <v>522.5</v>
      </c>
      <c r="O53" s="24">
        <f t="shared" si="46"/>
        <v>500.7</v>
      </c>
      <c r="P53" s="24">
        <v>83</v>
      </c>
      <c r="Q53" s="29">
        <f t="shared" si="47"/>
        <v>61.2</v>
      </c>
      <c r="R53" s="24">
        <f t="shared" si="48"/>
        <v>5007</v>
      </c>
      <c r="S53" s="24">
        <f t="shared" si="49"/>
        <v>612</v>
      </c>
      <c r="T53" s="26">
        <f t="shared" si="50"/>
        <v>87.77711204313961</v>
      </c>
      <c r="U53" s="17"/>
      <c r="W53" s="14"/>
      <c r="X53" s="14"/>
      <c r="Y53" s="14"/>
      <c r="Z53" s="14"/>
    </row>
    <row r="54" spans="1:30">
      <c r="A54" s="17"/>
      <c r="B54" s="24" t="s">
        <v>151</v>
      </c>
      <c r="C54" s="24">
        <v>320</v>
      </c>
      <c r="D54" s="29">
        <f t="shared" si="41"/>
        <v>298.2</v>
      </c>
      <c r="E54" s="24">
        <v>51.5</v>
      </c>
      <c r="F54" s="24">
        <f t="shared" si="42"/>
        <v>29.7</v>
      </c>
      <c r="G54" s="24">
        <f t="shared" si="43"/>
        <v>2981.9999999999995</v>
      </c>
      <c r="H54" s="24">
        <f t="shared" si="44"/>
        <v>297</v>
      </c>
      <c r="I54" s="26">
        <f t="shared" si="45"/>
        <v>90.040241448692157</v>
      </c>
      <c r="J54" s="17"/>
      <c r="K54" s="17"/>
      <c r="L54" s="17"/>
      <c r="M54" s="24" t="s">
        <v>151</v>
      </c>
      <c r="N54" s="24">
        <v>615</v>
      </c>
      <c r="O54" s="24">
        <f t="shared" si="46"/>
        <v>593.20000000000005</v>
      </c>
      <c r="P54" s="24">
        <v>99</v>
      </c>
      <c r="Q54" s="29">
        <f t="shared" si="47"/>
        <v>77.2</v>
      </c>
      <c r="R54" s="24">
        <f t="shared" si="48"/>
        <v>5932</v>
      </c>
      <c r="S54" s="24">
        <f t="shared" si="49"/>
        <v>772</v>
      </c>
      <c r="T54" s="26">
        <f t="shared" si="50"/>
        <v>86.985839514497627</v>
      </c>
      <c r="U54" s="17"/>
      <c r="W54" s="14"/>
      <c r="X54" s="14"/>
      <c r="Y54" s="14"/>
      <c r="Z54" s="14"/>
    </row>
    <row r="55" spans="1:30">
      <c r="A55" s="17"/>
      <c r="B55" s="24" t="s">
        <v>154</v>
      </c>
      <c r="C55" s="24">
        <v>203.6</v>
      </c>
      <c r="D55" s="29">
        <f t="shared" si="41"/>
        <v>181.79999999999998</v>
      </c>
      <c r="E55" s="24">
        <v>40.9</v>
      </c>
      <c r="F55" s="24">
        <f t="shared" si="42"/>
        <v>19.099999999999998</v>
      </c>
      <c r="G55" s="24">
        <f t="shared" si="43"/>
        <v>1817.9999999999998</v>
      </c>
      <c r="H55" s="24">
        <f t="shared" si="44"/>
        <v>190.99999999999997</v>
      </c>
      <c r="I55" s="26">
        <f t="shared" si="45"/>
        <v>89.493949394939492</v>
      </c>
      <c r="J55" s="17"/>
      <c r="K55" s="17"/>
      <c r="L55" s="17"/>
      <c r="M55" s="24" t="s">
        <v>154</v>
      </c>
      <c r="N55" s="24">
        <v>562.29999999999995</v>
      </c>
      <c r="O55" s="24">
        <f t="shared" si="46"/>
        <v>540.5</v>
      </c>
      <c r="P55" s="24">
        <v>97</v>
      </c>
      <c r="Q55" s="29">
        <f t="shared" si="47"/>
        <v>75.2</v>
      </c>
      <c r="R55" s="24">
        <f t="shared" si="48"/>
        <v>5405</v>
      </c>
      <c r="S55" s="24">
        <f t="shared" si="49"/>
        <v>752</v>
      </c>
      <c r="T55" s="26">
        <f t="shared" si="50"/>
        <v>86.08695652173914</v>
      </c>
      <c r="U55" s="17"/>
      <c r="W55" s="14"/>
      <c r="X55" s="14"/>
      <c r="Y55" s="14"/>
      <c r="Z55" s="14"/>
    </row>
    <row r="56" spans="1:30">
      <c r="A56" s="17"/>
      <c r="B56" s="24" t="s">
        <v>157</v>
      </c>
      <c r="C56" s="24">
        <v>128.69999999999999</v>
      </c>
      <c r="D56" s="29">
        <f t="shared" si="41"/>
        <v>106.89999999999999</v>
      </c>
      <c r="E56" s="24">
        <v>32.6</v>
      </c>
      <c r="F56" s="24">
        <f t="shared" si="42"/>
        <v>10.8</v>
      </c>
      <c r="G56" s="24">
        <f t="shared" si="43"/>
        <v>1069</v>
      </c>
      <c r="H56" s="24">
        <f t="shared" si="44"/>
        <v>108</v>
      </c>
      <c r="I56" s="26">
        <f t="shared" si="45"/>
        <v>89.897100093545362</v>
      </c>
      <c r="J56" s="17"/>
      <c r="K56" s="17"/>
      <c r="L56" s="17"/>
      <c r="M56" s="24" t="s">
        <v>157</v>
      </c>
      <c r="N56" s="24">
        <v>448.9</v>
      </c>
      <c r="O56" s="24">
        <f t="shared" si="46"/>
        <v>427.09999999999997</v>
      </c>
      <c r="P56" s="24">
        <v>82.8</v>
      </c>
      <c r="Q56" s="29">
        <f t="shared" si="47"/>
        <v>61</v>
      </c>
      <c r="R56" s="24">
        <f t="shared" si="48"/>
        <v>4271</v>
      </c>
      <c r="S56" s="24">
        <f t="shared" si="49"/>
        <v>610</v>
      </c>
      <c r="T56" s="26">
        <f t="shared" si="50"/>
        <v>85.717630531491452</v>
      </c>
      <c r="U56" s="17"/>
      <c r="W56" s="14"/>
      <c r="X56" s="14"/>
      <c r="Y56" s="14"/>
      <c r="Z56" s="14"/>
    </row>
    <row r="57" spans="1:30">
      <c r="A57" s="17"/>
      <c r="B57" s="24" t="s">
        <v>160</v>
      </c>
      <c r="C57" s="24">
        <v>79.3</v>
      </c>
      <c r="D57" s="29">
        <f t="shared" si="41"/>
        <v>57.5</v>
      </c>
      <c r="E57" s="24">
        <v>26.1</v>
      </c>
      <c r="F57" s="24">
        <f t="shared" si="42"/>
        <v>4.3000000000000007</v>
      </c>
      <c r="G57" s="24">
        <f t="shared" si="43"/>
        <v>575</v>
      </c>
      <c r="H57" s="24">
        <f t="shared" si="44"/>
        <v>43.000000000000007</v>
      </c>
      <c r="I57" s="26">
        <f t="shared" si="45"/>
        <v>92.521739130434781</v>
      </c>
      <c r="J57" s="17"/>
      <c r="K57" s="17"/>
      <c r="L57" s="17"/>
      <c r="M57" s="24" t="s">
        <v>160</v>
      </c>
      <c r="N57" s="24">
        <v>482.2</v>
      </c>
      <c r="O57" s="24">
        <f t="shared" si="46"/>
        <v>460.4</v>
      </c>
      <c r="P57" s="24">
        <v>87.4</v>
      </c>
      <c r="Q57" s="29">
        <f t="shared" si="47"/>
        <v>65.600000000000009</v>
      </c>
      <c r="R57" s="24">
        <f t="shared" si="48"/>
        <v>4603.9999999999991</v>
      </c>
      <c r="S57" s="24">
        <f t="shared" si="49"/>
        <v>656</v>
      </c>
      <c r="T57" s="26">
        <f t="shared" si="50"/>
        <v>85.751520417028672</v>
      </c>
      <c r="U57" s="17"/>
      <c r="W57" s="14"/>
      <c r="X57" s="14"/>
      <c r="Y57" s="14"/>
      <c r="Z57" s="14"/>
    </row>
    <row r="58" spans="1:30">
      <c r="A58" s="17"/>
      <c r="B58" s="24" t="s">
        <v>163</v>
      </c>
      <c r="C58" s="24">
        <v>230.2</v>
      </c>
      <c r="D58" s="29">
        <f t="shared" si="41"/>
        <v>208.39999999999998</v>
      </c>
      <c r="E58" s="24">
        <v>39.9</v>
      </c>
      <c r="F58" s="24">
        <f t="shared" si="42"/>
        <v>18.099999999999998</v>
      </c>
      <c r="G58" s="24">
        <f t="shared" si="43"/>
        <v>2083.9999999999995</v>
      </c>
      <c r="H58" s="24">
        <f t="shared" si="44"/>
        <v>180.99999999999997</v>
      </c>
      <c r="I58" s="26">
        <f t="shared" si="45"/>
        <v>91.314779270633395</v>
      </c>
      <c r="J58" s="17"/>
      <c r="K58" s="17"/>
      <c r="L58" s="17"/>
      <c r="M58" s="24" t="s">
        <v>163</v>
      </c>
      <c r="N58" s="24">
        <v>628.1</v>
      </c>
      <c r="O58" s="24">
        <f t="shared" si="46"/>
        <v>606.30000000000007</v>
      </c>
      <c r="P58" s="24">
        <v>100.4</v>
      </c>
      <c r="Q58" s="29">
        <f t="shared" si="47"/>
        <v>78.600000000000009</v>
      </c>
      <c r="R58" s="24">
        <f t="shared" si="48"/>
        <v>6063</v>
      </c>
      <c r="S58" s="24">
        <f t="shared" si="49"/>
        <v>786</v>
      </c>
      <c r="T58" s="26">
        <f t="shared" si="50"/>
        <v>87.036120732310735</v>
      </c>
      <c r="U58" s="17"/>
      <c r="W58" s="14"/>
      <c r="X58" s="14"/>
      <c r="Y58" s="14"/>
      <c r="Z58" s="14"/>
    </row>
    <row r="59" spans="1:30" ht="18.5">
      <c r="A59" s="17"/>
      <c r="B59" s="34" t="s">
        <v>512</v>
      </c>
      <c r="D59" s="36">
        <f>AVERAGE(D50:D58)</f>
        <v>140.34444444444443</v>
      </c>
      <c r="G59" s="36">
        <f>AVERAGE(G50:G58)</f>
        <v>1403.4444444444443</v>
      </c>
      <c r="H59" s="17"/>
      <c r="I59" s="17"/>
      <c r="J59" s="17"/>
      <c r="K59" s="17"/>
      <c r="L59" s="17"/>
      <c r="M59" s="34" t="s">
        <v>512</v>
      </c>
      <c r="N59" s="17"/>
      <c r="O59" s="36">
        <f>AVERAGE(O50:O58)</f>
        <v>514.8555555555555</v>
      </c>
      <c r="P59" s="17"/>
      <c r="Q59" s="36">
        <f>AVERAGE(Q50:Q58)</f>
        <v>69.255555555555546</v>
      </c>
      <c r="R59" s="17"/>
      <c r="S59" s="17"/>
      <c r="W59" s="14"/>
      <c r="X59" s="14"/>
      <c r="Y59" s="14"/>
      <c r="Z59" s="14"/>
    </row>
    <row r="60" spans="1:30" ht="18.5">
      <c r="A60" s="17"/>
      <c r="B60" s="34" t="s">
        <v>513</v>
      </c>
      <c r="D60" s="36">
        <f>_xlfn.STDEV.P(D50:D58)/SQRT(9)</f>
        <v>23.584081841863821</v>
      </c>
      <c r="G60" s="36">
        <f>_xlfn.STDEV.P(G50:G58)/SQRT(9)</f>
        <v>235.84081841863812</v>
      </c>
      <c r="I60" s="17"/>
      <c r="J60" s="17"/>
      <c r="K60" s="17"/>
      <c r="M60" s="34" t="s">
        <v>513</v>
      </c>
      <c r="N60" s="17"/>
      <c r="O60" s="36">
        <f>_xlfn.STDEV.P(O50:O58)/SQRT(9)</f>
        <v>34.626034275629443</v>
      </c>
      <c r="P60" s="17"/>
      <c r="Q60" s="36">
        <f>_xlfn.STDEV.P(Q50:Q58)/SQRT(9)</f>
        <v>3.9474045578689121</v>
      </c>
      <c r="R60" s="17"/>
      <c r="S60" s="17"/>
      <c r="V60" s="14"/>
      <c r="W60" s="14"/>
      <c r="X60" s="14"/>
      <c r="Y60" s="14"/>
      <c r="Z60" s="14"/>
      <c r="AA60" s="14"/>
      <c r="AC60" s="14"/>
      <c r="AD60" s="14"/>
    </row>
    <row r="61" spans="1:30">
      <c r="A61" s="17"/>
      <c r="H61" s="17"/>
      <c r="I61" s="17"/>
      <c r="J61" s="17"/>
      <c r="M61" s="17"/>
      <c r="N61" s="17"/>
      <c r="O61" s="17"/>
      <c r="P61" s="17"/>
      <c r="Q61" s="17"/>
      <c r="R61" s="17"/>
      <c r="V61" s="14"/>
      <c r="W61" s="14"/>
      <c r="X61" s="14"/>
      <c r="Y61" s="14"/>
      <c r="Z61" s="14"/>
    </row>
    <row r="62" spans="1:30">
      <c r="A62" s="17"/>
      <c r="H62" s="17"/>
      <c r="I62" s="17"/>
      <c r="J62" s="17"/>
      <c r="M62" s="17"/>
      <c r="N62" s="17"/>
      <c r="O62" s="17"/>
      <c r="P62" s="17"/>
      <c r="Q62" s="17"/>
      <c r="T62" s="17"/>
      <c r="U62" s="17"/>
      <c r="V62" s="14"/>
      <c r="W62" s="14"/>
      <c r="X62" s="14"/>
      <c r="Y62" s="14"/>
      <c r="Z62" s="14"/>
    </row>
    <row r="63" spans="1:30">
      <c r="A63" s="17"/>
      <c r="H63" s="17"/>
      <c r="I63" s="17"/>
      <c r="J63" s="17"/>
      <c r="M63" s="17"/>
      <c r="N63" s="17"/>
      <c r="O63" s="17"/>
      <c r="P63" s="17"/>
      <c r="Q63" s="17"/>
      <c r="T63" s="17"/>
      <c r="U63" s="17"/>
      <c r="V63" s="14"/>
      <c r="W63" s="14"/>
      <c r="X63" s="14"/>
      <c r="Y63" s="14"/>
      <c r="Z63" s="14"/>
    </row>
    <row r="64" spans="1:30">
      <c r="V64" s="14"/>
      <c r="W64" s="14"/>
      <c r="X64" s="14"/>
      <c r="Y64" s="14"/>
      <c r="Z64" s="14"/>
    </row>
    <row r="65" spans="7:26">
      <c r="V65" s="14"/>
      <c r="W65" s="14"/>
      <c r="X65" s="14"/>
      <c r="Y65" s="14"/>
      <c r="Z65" s="14"/>
    </row>
    <row r="66" spans="7:26">
      <c r="V66" s="14"/>
      <c r="W66" s="14"/>
      <c r="X66" s="14"/>
      <c r="Y66" s="14"/>
      <c r="Z66" s="14"/>
    </row>
    <row r="67" spans="7:26">
      <c r="V67" s="14"/>
      <c r="W67" s="14"/>
      <c r="X67" s="14"/>
      <c r="Y67" s="14"/>
      <c r="Z67" s="14"/>
    </row>
    <row r="68" spans="7:26">
      <c r="G68" t="s">
        <v>604</v>
      </c>
      <c r="V68" s="14"/>
      <c r="W68" s="14"/>
      <c r="X68" s="14"/>
      <c r="Y68" s="14"/>
      <c r="Z68" s="14"/>
    </row>
    <row r="69" spans="7:26">
      <c r="V69" s="14"/>
      <c r="W69" s="14"/>
      <c r="X69" s="14"/>
      <c r="Y69" s="14"/>
      <c r="Z69" s="14"/>
    </row>
    <row r="70" spans="7:26">
      <c r="V70" s="14"/>
      <c r="W70" s="14"/>
      <c r="X70" s="14"/>
      <c r="Y70" s="14"/>
      <c r="Z70" s="14"/>
    </row>
    <row r="71" spans="7:26">
      <c r="V71" s="14"/>
      <c r="W71" s="14"/>
      <c r="X71" s="14"/>
      <c r="Y71" s="14"/>
      <c r="Z71" s="14"/>
    </row>
    <row r="72" spans="7:26">
      <c r="V72" s="14"/>
      <c r="W72" s="14"/>
      <c r="X72" s="14"/>
      <c r="Y72" s="14"/>
      <c r="Z72" s="14"/>
    </row>
    <row r="73" spans="7:26">
      <c r="V73" s="14"/>
      <c r="W73" s="14"/>
      <c r="X73" s="14"/>
      <c r="Y73" s="14"/>
      <c r="Z73" s="14"/>
    </row>
    <row r="74" spans="7:26">
      <c r="V74" s="14"/>
      <c r="W74" s="14"/>
      <c r="X74" s="14"/>
      <c r="Y74" s="14"/>
      <c r="Z74" s="14"/>
    </row>
    <row r="75" spans="7:26">
      <c r="V75" s="14"/>
      <c r="W75" s="14"/>
      <c r="X75" s="14"/>
      <c r="Y75" s="14"/>
      <c r="Z75" s="14"/>
    </row>
  </sheetData>
  <mergeCells count="14">
    <mergeCell ref="C48:G48"/>
    <mergeCell ref="M48:Q48"/>
    <mergeCell ref="D18:E18"/>
    <mergeCell ref="O18:S18"/>
    <mergeCell ref="W20:AB20"/>
    <mergeCell ref="C33:P33"/>
    <mergeCell ref="C34:G34"/>
    <mergeCell ref="L34:P34"/>
    <mergeCell ref="W4:AB4"/>
    <mergeCell ref="B1:E1"/>
    <mergeCell ref="F1:K1"/>
    <mergeCell ref="D3:E3"/>
    <mergeCell ref="F3:G3"/>
    <mergeCell ref="P3:T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71E5-52A5-3C43-81BC-48E5DD812FD1}">
  <dimension ref="A2:W42"/>
  <sheetViews>
    <sheetView topLeftCell="I1" zoomScale="75" workbookViewId="0">
      <selection activeCell="V12" sqref="V12"/>
    </sheetView>
  </sheetViews>
  <sheetFormatPr defaultColWidth="11" defaultRowHeight="15.5"/>
  <cols>
    <col min="1" max="1" width="12" customWidth="1"/>
    <col min="2" max="2" width="23.33203125" customWidth="1"/>
    <col min="3" max="3" width="18.83203125" customWidth="1"/>
    <col min="4" max="4" width="19.5" customWidth="1"/>
    <col min="5" max="5" width="15.33203125" customWidth="1"/>
    <col min="6" max="6" width="19.58203125" customWidth="1"/>
    <col min="7" max="7" width="22.83203125" customWidth="1"/>
    <col min="8" max="8" width="22.58203125" customWidth="1"/>
    <col min="9" max="9" width="22.83203125" customWidth="1"/>
    <col min="10" max="10" width="19.33203125" customWidth="1"/>
    <col min="11" max="11" width="26.33203125" customWidth="1"/>
    <col min="12" max="12" width="26.58203125" customWidth="1"/>
    <col min="13" max="13" width="26" customWidth="1"/>
    <col min="14" max="14" width="26.58203125" customWidth="1"/>
    <col min="15" max="15" width="23.58203125" customWidth="1"/>
    <col min="16" max="16" width="10.58203125" customWidth="1"/>
    <col min="17" max="17" width="20.83203125" customWidth="1"/>
    <col min="18" max="18" width="15.83203125" customWidth="1"/>
    <col min="19" max="19" width="18.83203125" customWidth="1"/>
    <col min="21" max="21" width="22" customWidth="1"/>
    <col min="23" max="23" width="19" customWidth="1"/>
    <col min="25" max="25" width="19.58203125" customWidth="1"/>
  </cols>
  <sheetData>
    <row r="2" spans="1:23">
      <c r="H2" s="14" t="s">
        <v>605</v>
      </c>
      <c r="I2">
        <v>55.8</v>
      </c>
      <c r="J2" t="s">
        <v>606</v>
      </c>
      <c r="M2" t="s">
        <v>607</v>
      </c>
      <c r="N2" t="s">
        <v>608</v>
      </c>
    </row>
    <row r="3" spans="1:23">
      <c r="A3" t="s">
        <v>609</v>
      </c>
      <c r="H3" s="14"/>
      <c r="N3" t="s">
        <v>610</v>
      </c>
    </row>
    <row r="4" spans="1:23">
      <c r="H4" s="14"/>
      <c r="U4" s="3" t="s">
        <v>611</v>
      </c>
    </row>
    <row r="5" spans="1:23">
      <c r="A5" s="76" t="s">
        <v>612</v>
      </c>
      <c r="B5" s="76" t="s">
        <v>613</v>
      </c>
      <c r="C5" s="76" t="s">
        <v>614</v>
      </c>
      <c r="D5" s="76" t="s">
        <v>615</v>
      </c>
      <c r="E5" s="76" t="s">
        <v>616</v>
      </c>
      <c r="F5" s="76" t="s">
        <v>617</v>
      </c>
      <c r="G5" s="76" t="s">
        <v>618</v>
      </c>
      <c r="H5" s="76" t="s">
        <v>619</v>
      </c>
      <c r="I5" s="76" t="s">
        <v>620</v>
      </c>
      <c r="J5" s="76" t="s">
        <v>621</v>
      </c>
      <c r="K5" s="76" t="s">
        <v>622</v>
      </c>
      <c r="L5" s="76" t="s">
        <v>577</v>
      </c>
      <c r="M5" s="76" t="s">
        <v>623</v>
      </c>
      <c r="N5" s="76" t="s">
        <v>624</v>
      </c>
      <c r="O5" s="76" t="s">
        <v>625</v>
      </c>
      <c r="P5" s="76" t="s">
        <v>578</v>
      </c>
      <c r="Q5" s="76" t="s">
        <v>626</v>
      </c>
      <c r="R5" s="76" t="s">
        <v>524</v>
      </c>
      <c r="S5" s="76" t="s">
        <v>627</v>
      </c>
      <c r="U5" s="3" t="s">
        <v>628</v>
      </c>
      <c r="V5" s="3" t="s">
        <v>586</v>
      </c>
      <c r="W5" t="s">
        <v>629</v>
      </c>
    </row>
    <row r="6" spans="1:23">
      <c r="A6" s="10">
        <v>2021</v>
      </c>
      <c r="B6" s="78">
        <v>44326</v>
      </c>
      <c r="C6" s="10">
        <v>130</v>
      </c>
      <c r="D6" s="10" t="s">
        <v>262</v>
      </c>
      <c r="E6" s="79" t="s">
        <v>630</v>
      </c>
      <c r="F6" s="10">
        <v>1</v>
      </c>
      <c r="G6" s="10">
        <v>776.1</v>
      </c>
      <c r="H6" s="10">
        <f>Table3[[#This Row],[Wet Weight (g)]]-55.8</f>
        <v>720.30000000000007</v>
      </c>
      <c r="I6" s="10">
        <v>206.4</v>
      </c>
      <c r="J6" s="10">
        <f>Table3[[#This Row],[Dry Weight (g) ]]-55.8</f>
        <v>150.60000000000002</v>
      </c>
      <c r="K6" s="10">
        <f>(Table3[[#This Row],[Wet Weight (g)]]/1000)/0.0001</f>
        <v>7761</v>
      </c>
      <c r="L6" s="10">
        <f>(Table3[[#This Row],[Dry Weight (g) ]]/1000)/0.0001</f>
        <v>2064</v>
      </c>
      <c r="M6" s="79">
        <f>Table3[[#This Row],[Dry Yield (kg/ha)]]/1000</f>
        <v>2.0640000000000001</v>
      </c>
      <c r="N6" s="10">
        <f>((Table3[[#This Row],[Wet -Bag Weight (g) ]]-Table3[[#This Row],[Dry - Bag (g)]])/Table3[[#This Row],[Wet -Bag Weight (g) ]])*100</f>
        <v>79.0920449812578</v>
      </c>
      <c r="O6" s="79">
        <f>Table3[[#This Row],[Dry Yield (kg/ha)]]*1.155</f>
        <v>2383.92</v>
      </c>
      <c r="P6" s="79" t="s">
        <v>631</v>
      </c>
      <c r="Q6" s="79">
        <f>Table3[[#This Row],[Dry Yield (tones/ha)]]*(P6/100)</f>
        <v>0.84417599999999993</v>
      </c>
      <c r="R6" s="79" t="s">
        <v>632</v>
      </c>
      <c r="S6" s="79">
        <f>Table3[[#This Row],[Dry Yield (tones/ha)]]*(Table3[[#This Row],[%N]]/100)</f>
        <v>4.5614399999999999E-2</v>
      </c>
      <c r="U6" s="7">
        <f>AVERAGE(Table3[Dry Yield (tones/ha)])</f>
        <v>2.7078888888888892</v>
      </c>
      <c r="V6" s="7">
        <f>STDEV(Table3[Dry Yield (kg/ha)])</f>
        <v>699.85613601018815</v>
      </c>
    </row>
    <row r="7" spans="1:23">
      <c r="A7" s="6">
        <v>2021</v>
      </c>
      <c r="B7" s="102">
        <v>44326</v>
      </c>
      <c r="C7" s="6">
        <v>130</v>
      </c>
      <c r="D7" s="6" t="s">
        <v>265</v>
      </c>
      <c r="E7" s="141" t="s">
        <v>630</v>
      </c>
      <c r="F7" s="6">
        <v>2</v>
      </c>
      <c r="G7" s="6">
        <v>1043.9000000000001</v>
      </c>
      <c r="H7" s="6">
        <f>Table3[[#This Row],[Wet Weight (g)]]-55.8</f>
        <v>988.10000000000014</v>
      </c>
      <c r="I7" s="6">
        <v>334.5</v>
      </c>
      <c r="J7" s="6">
        <f>Table3[[#This Row],[Dry Weight (g) ]]-55.8</f>
        <v>278.7</v>
      </c>
      <c r="K7" s="6">
        <f>(Table3[[#This Row],[Wet Weight (g)]]/1000)/0.0001</f>
        <v>10439</v>
      </c>
      <c r="L7" s="6">
        <f>(Table3[[#This Row],[Dry Weight (g) ]]/1000)/0.0001</f>
        <v>3345</v>
      </c>
      <c r="M7" s="141">
        <f>Table3[[#This Row],[Dry Yield (kg/ha)]]/1000</f>
        <v>3.3450000000000002</v>
      </c>
      <c r="N7" s="6">
        <f>((Table3[[#This Row],[Wet -Bag Weight (g) ]]-Table3[[#This Row],[Dry - Bag (g)]])/Table3[[#This Row],[Wet -Bag Weight (g) ]])*100</f>
        <v>71.794352798299769</v>
      </c>
      <c r="O7" s="141">
        <f>Table3[[#This Row],[Dry Yield (kg/ha)]]*1.155</f>
        <v>3863.4749999999999</v>
      </c>
      <c r="P7" s="141" t="s">
        <v>633</v>
      </c>
      <c r="Q7" s="141">
        <f>Table3[[#This Row],[Dry Yield (tones/ha)]]*(P7/100)</f>
        <v>1.3657635000000001</v>
      </c>
      <c r="R7" s="141" t="s">
        <v>634</v>
      </c>
      <c r="S7" s="141">
        <f>Table3[[#This Row],[Dry Yield (tones/ha)]]*(Table3[[#This Row],[%N]]/100)</f>
        <v>7.1248500000000006E-2</v>
      </c>
      <c r="U7" s="92" t="s">
        <v>635</v>
      </c>
      <c r="V7" s="92" t="s">
        <v>586</v>
      </c>
    </row>
    <row r="8" spans="1:23">
      <c r="A8" s="10">
        <v>2021</v>
      </c>
      <c r="B8" s="78">
        <v>44326</v>
      </c>
      <c r="C8" s="10">
        <v>130</v>
      </c>
      <c r="D8" s="10" t="s">
        <v>268</v>
      </c>
      <c r="E8" s="79" t="s">
        <v>630</v>
      </c>
      <c r="F8" s="10">
        <v>3</v>
      </c>
      <c r="G8" s="10">
        <v>1124.0999999999999</v>
      </c>
      <c r="H8" s="10">
        <f>Table3[[#This Row],[Wet Weight (g)]]-55.8</f>
        <v>1068.3</v>
      </c>
      <c r="I8" s="10">
        <v>325.5</v>
      </c>
      <c r="J8" s="10">
        <f>Table3[[#This Row],[Dry Weight (g) ]]-55.8</f>
        <v>269.7</v>
      </c>
      <c r="K8" s="10">
        <f>(Table3[[#This Row],[Wet Weight (g)]]/1000)/0.0001</f>
        <v>11240.999999999998</v>
      </c>
      <c r="L8" s="10">
        <f>(Table3[[#This Row],[Dry Weight (g) ]]/1000)/0.0001</f>
        <v>3255</v>
      </c>
      <c r="M8" s="79">
        <f>Table3[[#This Row],[Dry Yield (kg/ha)]]/1000</f>
        <v>3.2549999999999999</v>
      </c>
      <c r="N8" s="10">
        <f>((Table3[[#This Row],[Wet -Bag Weight (g) ]]-Table3[[#This Row],[Dry - Bag (g)]])/Table3[[#This Row],[Wet -Bag Weight (g) ]])*100</f>
        <v>74.754282504914343</v>
      </c>
      <c r="O8" s="79">
        <f>Table3[[#This Row],[Dry Yield (kg/ha)]]*1.155</f>
        <v>3759.5250000000001</v>
      </c>
      <c r="P8" s="79" t="s">
        <v>636</v>
      </c>
      <c r="Q8" s="79">
        <f>Table3[[#This Row],[Dry Yield (tones/ha)]]*(P8/100)</f>
        <v>1.3238084999999999</v>
      </c>
      <c r="R8" s="79" t="s">
        <v>637</v>
      </c>
      <c r="S8" s="79">
        <f>Table3[[#This Row],[Dry Yield (tones/ha)]]*(Table3[[#This Row],[%N]]/100)</f>
        <v>6.9982499999999989E-2</v>
      </c>
      <c r="U8" s="7">
        <f>AVERAGE(Table3[tons C/ha of CC])</f>
        <v>1.0993214888888889</v>
      </c>
      <c r="V8" s="7">
        <f>STDEV(Q6:Q13)</f>
        <v>0.29380984777454644</v>
      </c>
    </row>
    <row r="9" spans="1:23">
      <c r="A9" s="6">
        <v>2021</v>
      </c>
      <c r="B9" s="102">
        <v>44326</v>
      </c>
      <c r="C9" s="6">
        <v>130</v>
      </c>
      <c r="D9" s="6" t="s">
        <v>272</v>
      </c>
      <c r="E9" s="141" t="s">
        <v>630</v>
      </c>
      <c r="F9" s="6">
        <v>4</v>
      </c>
      <c r="G9" s="6">
        <v>570.79999999999995</v>
      </c>
      <c r="H9" s="6">
        <f>Table3[[#This Row],[Wet Weight (g)]]-55.8</f>
        <v>515</v>
      </c>
      <c r="I9" s="6">
        <v>182</v>
      </c>
      <c r="J9" s="6">
        <f>Table3[[#This Row],[Dry Weight (g) ]]-55.8</f>
        <v>126.2</v>
      </c>
      <c r="K9" s="6">
        <f>(Table3[[#This Row],[Wet Weight (g)]]/1000)/0.0001</f>
        <v>5707.9999999999991</v>
      </c>
      <c r="L9" s="6">
        <f>(Table3[[#This Row],[Dry Weight (g) ]]/1000)/0.0001</f>
        <v>1819.9999999999998</v>
      </c>
      <c r="M9" s="141">
        <f>Table3[[#This Row],[Dry Yield (kg/ha)]]/1000</f>
        <v>1.8199999999999998</v>
      </c>
      <c r="N9" s="6">
        <f>((Table3[[#This Row],[Wet -Bag Weight (g) ]]-Table3[[#This Row],[Dry - Bag (g)]])/Table3[[#This Row],[Wet -Bag Weight (g) ]])*100</f>
        <v>75.495145631067956</v>
      </c>
      <c r="O9" s="141">
        <f>Table3[[#This Row],[Dry Yield (kg/ha)]]*1.155</f>
        <v>2102.1</v>
      </c>
      <c r="P9" s="141" t="s">
        <v>638</v>
      </c>
      <c r="Q9" s="141">
        <f>Table3[[#This Row],[Dry Yield (tones/ha)]]*(P9/100)</f>
        <v>0.73728199999999988</v>
      </c>
      <c r="R9" s="141" t="s">
        <v>639</v>
      </c>
      <c r="S9" s="141">
        <f>Table3[[#This Row],[Dry Yield (tones/ha)]]*(Table3[[#This Row],[%N]]/100)</f>
        <v>3.6035999999999992E-2</v>
      </c>
      <c r="U9" s="92" t="s">
        <v>640</v>
      </c>
      <c r="V9" s="92" t="s">
        <v>586</v>
      </c>
    </row>
    <row r="10" spans="1:23">
      <c r="A10" s="10">
        <v>2021</v>
      </c>
      <c r="B10" s="78">
        <v>44326</v>
      </c>
      <c r="C10" s="10">
        <v>130</v>
      </c>
      <c r="D10" s="10" t="s">
        <v>276</v>
      </c>
      <c r="E10" s="79" t="s">
        <v>630</v>
      </c>
      <c r="F10" s="10">
        <v>5</v>
      </c>
      <c r="G10" s="10">
        <v>777.7</v>
      </c>
      <c r="H10" s="10">
        <f>Table3[[#This Row],[Wet Weight (g)]]-55.8</f>
        <v>721.90000000000009</v>
      </c>
      <c r="I10" s="10">
        <v>209.9</v>
      </c>
      <c r="J10" s="10">
        <f>Table3[[#This Row],[Dry Weight (g) ]]-55.8</f>
        <v>154.10000000000002</v>
      </c>
      <c r="K10" s="10">
        <f>(Table3[[#This Row],[Wet Weight (g)]]/1000)/0.0001</f>
        <v>7777</v>
      </c>
      <c r="L10" s="10">
        <f>(Table3[[#This Row],[Dry Weight (g) ]]/1000)/0.0001</f>
        <v>2099</v>
      </c>
      <c r="M10" s="79">
        <f>Table3[[#This Row],[Dry Yield (kg/ha)]]/1000</f>
        <v>2.0990000000000002</v>
      </c>
      <c r="N10" s="10">
        <f>((Table3[[#This Row],[Wet -Bag Weight (g) ]]-Table3[[#This Row],[Dry - Bag (g)]])/Table3[[#This Row],[Wet -Bag Weight (g) ]])*100</f>
        <v>78.653553123701343</v>
      </c>
      <c r="O10" s="79">
        <f>Table3[[#This Row],[Dry Yield (kg/ha)]]*1.155</f>
        <v>2424.3450000000003</v>
      </c>
      <c r="P10" s="79" t="s">
        <v>633</v>
      </c>
      <c r="Q10" s="79">
        <f>Table3[[#This Row],[Dry Yield (tones/ha)]]*(P10/100)</f>
        <v>0.85702170000000011</v>
      </c>
      <c r="R10" s="79" t="s">
        <v>641</v>
      </c>
      <c r="S10" s="79">
        <f>Table3[[#This Row],[Dry Yield (tones/ha)]]*(Table3[[#This Row],[%N]]/100)</f>
        <v>4.5548300000000007E-2</v>
      </c>
      <c r="U10" s="7">
        <f>AVERAGE(Table3[tons N/ha of CC])</f>
        <v>5.5878822222222214E-2</v>
      </c>
      <c r="V10" s="7">
        <f>STDEV(Table3[tons N/ha of CC])</f>
        <v>1.4958365277644638E-2</v>
      </c>
    </row>
    <row r="11" spans="1:23">
      <c r="A11" s="6">
        <v>2021</v>
      </c>
      <c r="B11" s="102">
        <v>44326</v>
      </c>
      <c r="C11" s="6">
        <v>130</v>
      </c>
      <c r="D11" s="6" t="s">
        <v>280</v>
      </c>
      <c r="E11" s="141" t="s">
        <v>630</v>
      </c>
      <c r="F11" s="6">
        <v>6</v>
      </c>
      <c r="G11" s="6">
        <v>779.4</v>
      </c>
      <c r="H11" s="6">
        <f>Table3[[#This Row],[Wet Weight (g)]]-55.8</f>
        <v>723.6</v>
      </c>
      <c r="I11" s="6">
        <v>211.4</v>
      </c>
      <c r="J11" s="6">
        <f>Table3[[#This Row],[Dry Weight (g) ]]-55.8</f>
        <v>155.60000000000002</v>
      </c>
      <c r="K11" s="6">
        <f>(Table3[[#This Row],[Wet Weight (g)]]/1000)/0.0001</f>
        <v>7793.9999999999991</v>
      </c>
      <c r="L11" s="6">
        <f>(Table3[[#This Row],[Dry Weight (g) ]]/1000)/0.0001</f>
        <v>2114</v>
      </c>
      <c r="M11" s="141">
        <f>Table3[[#This Row],[Dry Yield (kg/ha)]]/1000</f>
        <v>2.1139999999999999</v>
      </c>
      <c r="N11" s="6">
        <f>((Table3[[#This Row],[Wet -Bag Weight (g) ]]-Table3[[#This Row],[Dry - Bag (g)]])/Table3[[#This Row],[Wet -Bag Weight (g) ]])*100</f>
        <v>78.496406854615813</v>
      </c>
      <c r="O11" s="141">
        <f>Table3[[#This Row],[Dry Yield (kg/ha)]]*1.155</f>
        <v>2441.67</v>
      </c>
      <c r="P11" s="141" t="s">
        <v>642</v>
      </c>
      <c r="Q11" s="141">
        <f>Table3[[#This Row],[Dry Yield (tones/ha)]]*(P11/100)</f>
        <v>0.86230059999999997</v>
      </c>
      <c r="R11" s="141" t="s">
        <v>643</v>
      </c>
      <c r="S11" s="141">
        <f>Table3[[#This Row],[Dry Yield (tones/ha)]]*(Table3[[#This Row],[%N]]/100)</f>
        <v>4.31256E-2</v>
      </c>
      <c r="V11">
        <f>V10*1000</f>
        <v>14.958365277644639</v>
      </c>
    </row>
    <row r="12" spans="1:23">
      <c r="A12" s="10">
        <v>2021</v>
      </c>
      <c r="B12" s="78">
        <v>44326</v>
      </c>
      <c r="C12" s="10">
        <v>130</v>
      </c>
      <c r="D12" s="10" t="s">
        <v>282</v>
      </c>
      <c r="E12" s="79" t="s">
        <v>630</v>
      </c>
      <c r="F12" s="10">
        <v>7</v>
      </c>
      <c r="G12" s="10">
        <v>1013.4</v>
      </c>
      <c r="H12" s="10">
        <f>Table3[[#This Row],[Wet Weight (g)]]-55.8</f>
        <v>957.6</v>
      </c>
      <c r="I12" s="10">
        <v>285.89999999999998</v>
      </c>
      <c r="J12" s="10">
        <f>Table3[[#This Row],[Dry Weight (g) ]]-55.8</f>
        <v>230.09999999999997</v>
      </c>
      <c r="K12" s="10">
        <f>(Table3[[#This Row],[Wet Weight (g)]]/1000)/0.0001</f>
        <v>10134</v>
      </c>
      <c r="L12" s="10">
        <f>(Table3[[#This Row],[Dry Weight (g) ]]/1000)/0.0001</f>
        <v>2858.9999999999995</v>
      </c>
      <c r="M12" s="79">
        <f>Table3[[#This Row],[Dry Yield (kg/ha)]]/1000</f>
        <v>2.8589999999999995</v>
      </c>
      <c r="N12" s="10">
        <f>((Table3[[#This Row],[Wet -Bag Weight (g) ]]-Table3[[#This Row],[Dry - Bag (g)]])/Table3[[#This Row],[Wet -Bag Weight (g) ]])*100</f>
        <v>75.971177944862163</v>
      </c>
      <c r="O12" s="79">
        <f>Table3[[#This Row],[Dry Yield (kg/ha)]]*1.155</f>
        <v>3302.1449999999995</v>
      </c>
      <c r="P12" s="79" t="s">
        <v>644</v>
      </c>
      <c r="Q12" s="79">
        <f>Table3[[#This Row],[Dry Yield (tones/ha)]]*(P12/100)</f>
        <v>1.1676156</v>
      </c>
      <c r="R12" s="79" t="s">
        <v>645</v>
      </c>
      <c r="S12" s="79">
        <f>Table3[[#This Row],[Dry Yield (tones/ha)]]*(Table3[[#This Row],[%N]]/100)</f>
        <v>5.9753099999999983E-2</v>
      </c>
    </row>
    <row r="13" spans="1:23">
      <c r="A13" s="6">
        <v>2021</v>
      </c>
      <c r="B13" s="102">
        <v>44326</v>
      </c>
      <c r="C13" s="6">
        <v>130</v>
      </c>
      <c r="D13" s="6" t="s">
        <v>284</v>
      </c>
      <c r="E13" s="141" t="s">
        <v>630</v>
      </c>
      <c r="F13" s="6">
        <v>8</v>
      </c>
      <c r="G13" s="6">
        <v>1120.9000000000001</v>
      </c>
      <c r="H13" s="6">
        <f>Table3[[#This Row],[Wet Weight (g)]]-55.8</f>
        <v>1065.1000000000001</v>
      </c>
      <c r="I13" s="6">
        <v>378.5</v>
      </c>
      <c r="J13" s="6">
        <f>Table3[[#This Row],[Dry Weight (g) ]]-55.8</f>
        <v>322.7</v>
      </c>
      <c r="K13" s="6">
        <f>(Table3[[#This Row],[Wet Weight (g)]]/1000)/0.0001</f>
        <v>11209</v>
      </c>
      <c r="L13" s="6">
        <f>(Table3[[#This Row],[Dry Weight (g) ]]/1000)/0.0001</f>
        <v>3785</v>
      </c>
      <c r="M13" s="141">
        <f>Table3[[#This Row],[Dry Yield (kg/ha)]]/1000</f>
        <v>3.7850000000000001</v>
      </c>
      <c r="N13" s="6">
        <f>((Table3[[#This Row],[Wet -Bag Weight (g) ]]-Table3[[#This Row],[Dry - Bag (g)]])/Table3[[#This Row],[Wet -Bag Weight (g) ]])*100</f>
        <v>69.702375363815605</v>
      </c>
      <c r="O13" s="141">
        <f>Table3[[#This Row],[Dry Yield (kg/ha)]]*1.155</f>
        <v>4371.6750000000002</v>
      </c>
      <c r="P13" s="141" t="s">
        <v>646</v>
      </c>
      <c r="Q13" s="141">
        <f>Table3[[#This Row],[Dry Yield (tones/ha)]]*(P13/100)</f>
        <v>1.5105934999999999</v>
      </c>
      <c r="R13" s="141" t="s">
        <v>647</v>
      </c>
      <c r="S13" s="141">
        <f>Table3[[#This Row],[Dry Yield (tones/ha)]]*(Table3[[#This Row],[%N]]/100)</f>
        <v>7.9485000000000014E-2</v>
      </c>
    </row>
    <row r="14" spans="1:23">
      <c r="A14" s="10">
        <v>2021</v>
      </c>
      <c r="B14" s="78">
        <v>44326</v>
      </c>
      <c r="C14" s="10">
        <v>130</v>
      </c>
      <c r="D14" s="10" t="s">
        <v>286</v>
      </c>
      <c r="E14" s="79" t="s">
        <v>630</v>
      </c>
      <c r="F14" s="10">
        <v>9</v>
      </c>
      <c r="G14" s="10">
        <v>1117.5</v>
      </c>
      <c r="H14" s="10">
        <f>Table3[[#This Row],[Wet Weight (g)]]-55.8</f>
        <v>1061.7</v>
      </c>
      <c r="I14" s="10">
        <v>303</v>
      </c>
      <c r="J14" s="10">
        <f>Table3[[#This Row],[Dry Weight (g) ]]-55.8</f>
        <v>247.2</v>
      </c>
      <c r="K14" s="10">
        <f>(Table3[[#This Row],[Wet Weight (g)]]/1000)/0.0001</f>
        <v>11174.999999999998</v>
      </c>
      <c r="L14" s="10">
        <f>(Table3[[#This Row],[Dry Weight (g) ]]/1000)/0.0001</f>
        <v>3029.9999999999995</v>
      </c>
      <c r="M14" s="79">
        <f>Table3[[#This Row],[Dry Yield (kg/ha)]]/1000</f>
        <v>3.0299999999999994</v>
      </c>
      <c r="N14" s="10">
        <f>((Table3[[#This Row],[Wet -Bag Weight (g) ]]-Table3[[#This Row],[Dry - Bag (g)]])/Table3[[#This Row],[Wet -Bag Weight (g) ]])*100</f>
        <v>76.716586606385988</v>
      </c>
      <c r="O14" s="79">
        <f>Table3[[#This Row],[Dry Yield (kg/ha)]]*1.155</f>
        <v>3499.6499999999996</v>
      </c>
      <c r="P14" s="79" t="s">
        <v>648</v>
      </c>
      <c r="Q14" s="79">
        <f>Table3[[#This Row],[Dry Yield (tones/ha)]]*(P14/100)</f>
        <v>1.2253319999999996</v>
      </c>
      <c r="R14" s="79" t="s">
        <v>649</v>
      </c>
      <c r="S14" s="79">
        <f>Table3[[#This Row],[Dry Yield (tones/ha)]]*(Table3[[#This Row],[%N]]/100)</f>
        <v>5.2115999999999989E-2</v>
      </c>
      <c r="U14">
        <f>U6*1000</f>
        <v>2707.8888888888891</v>
      </c>
    </row>
    <row r="15" spans="1:23">
      <c r="A15" s="10"/>
      <c r="B15" s="78"/>
      <c r="C15" s="10"/>
      <c r="D15" s="79"/>
      <c r="E15" s="79"/>
      <c r="F15" s="10"/>
      <c r="G15" s="10"/>
      <c r="H15" s="183"/>
      <c r="I15" s="76"/>
      <c r="J15" s="183"/>
      <c r="K15" s="183"/>
      <c r="L15" s="183"/>
      <c r="M15" s="183"/>
      <c r="N15" s="183"/>
      <c r="O15" s="183">
        <f>(AVERAGE(Table3[Yield @ 15% Moisture]))/1000</f>
        <v>3.1276116666666671</v>
      </c>
      <c r="P15" s="183"/>
      <c r="Q15" s="183"/>
      <c r="R15" s="183"/>
      <c r="S15" s="183"/>
      <c r="U15">
        <f>U10*1000</f>
        <v>55.878822222222212</v>
      </c>
    </row>
    <row r="16" spans="1:23">
      <c r="L16">
        <f>AVERAGE(Table3[Dry Yield (kg/ha)])</f>
        <v>2707.8888888888887</v>
      </c>
      <c r="O16">
        <f>(STDEV(Table3[Yield @ 15% Moisture]))/1000</f>
        <v>0.80833383709176609</v>
      </c>
    </row>
    <row r="17" spans="12:19" ht="16" thickBot="1">
      <c r="L17">
        <f>STDEV(Table3[Dry Yield (kg/ha)])</f>
        <v>699.85613601018815</v>
      </c>
      <c r="S17" s="267" t="s">
        <v>650</v>
      </c>
    </row>
    <row r="18" spans="12:19" ht="16" thickTop="1">
      <c r="S18" s="268">
        <f>S6*1000</f>
        <v>45.614399999999996</v>
      </c>
    </row>
    <row r="19" spans="12:19">
      <c r="S19" s="268">
        <f t="shared" ref="S19:S26" si="0">S7*1000</f>
        <v>71.248500000000007</v>
      </c>
    </row>
    <row r="20" spans="12:19">
      <c r="S20" s="268">
        <f t="shared" si="0"/>
        <v>69.982499999999987</v>
      </c>
    </row>
    <row r="21" spans="12:19">
      <c r="S21" s="268">
        <f t="shared" si="0"/>
        <v>36.035999999999994</v>
      </c>
    </row>
    <row r="22" spans="12:19">
      <c r="S22" s="268">
        <f t="shared" si="0"/>
        <v>45.548300000000005</v>
      </c>
    </row>
    <row r="23" spans="12:19">
      <c r="S23" s="268">
        <f t="shared" si="0"/>
        <v>43.125599999999999</v>
      </c>
    </row>
    <row r="24" spans="12:19">
      <c r="S24" s="268">
        <f t="shared" si="0"/>
        <v>59.753099999999982</v>
      </c>
    </row>
    <row r="25" spans="12:19">
      <c r="S25" s="268">
        <f t="shared" si="0"/>
        <v>79.485000000000014</v>
      </c>
    </row>
    <row r="26" spans="12:19" ht="16" thickBot="1">
      <c r="S26" s="268">
        <f t="shared" si="0"/>
        <v>52.115999999999985</v>
      </c>
    </row>
    <row r="27" spans="12:19" ht="16" thickTop="1">
      <c r="S27" s="269">
        <f>AVERAGE(S18:S26)</f>
        <v>55.878822222222219</v>
      </c>
    </row>
    <row r="28" spans="12:19">
      <c r="S28" s="270">
        <f>STDEV(S18:S26)</f>
        <v>14.95836527764464</v>
      </c>
    </row>
    <row r="31" spans="12:19">
      <c r="Q31" t="s">
        <v>626</v>
      </c>
      <c r="R31" t="s">
        <v>627</v>
      </c>
      <c r="S31" t="s">
        <v>651</v>
      </c>
    </row>
    <row r="32" spans="12:19">
      <c r="Q32">
        <v>0.84417599999999993</v>
      </c>
      <c r="R32">
        <v>4.5614399999999999E-2</v>
      </c>
      <c r="S32">
        <f>Q32/R32</f>
        <v>18.50678733031674</v>
      </c>
    </row>
    <row r="33" spans="17:19">
      <c r="Q33">
        <v>1.3657635000000001</v>
      </c>
      <c r="R33">
        <v>7.1248500000000006E-2</v>
      </c>
      <c r="S33">
        <f t="shared" ref="S33:S40" si="1">Q33/R33</f>
        <v>19.169014084507044</v>
      </c>
    </row>
    <row r="34" spans="17:19">
      <c r="Q34">
        <v>1.3238084999999999</v>
      </c>
      <c r="R34">
        <v>6.9982499999999989E-2</v>
      </c>
      <c r="S34">
        <f t="shared" si="1"/>
        <v>18.916279069767445</v>
      </c>
    </row>
    <row r="35" spans="17:19">
      <c r="Q35">
        <v>0.73728199999999988</v>
      </c>
      <c r="R35">
        <v>3.6035999999999992E-2</v>
      </c>
      <c r="S35">
        <f t="shared" si="1"/>
        <v>20.459595959595962</v>
      </c>
    </row>
    <row r="36" spans="17:19">
      <c r="Q36">
        <v>0.85702170000000011</v>
      </c>
      <c r="R36">
        <v>4.5548300000000007E-2</v>
      </c>
      <c r="S36">
        <f t="shared" si="1"/>
        <v>18.815668202764975</v>
      </c>
    </row>
    <row r="37" spans="17:19">
      <c r="Q37">
        <v>0.86230059999999997</v>
      </c>
      <c r="R37">
        <v>4.31256E-2</v>
      </c>
      <c r="S37">
        <f t="shared" si="1"/>
        <v>19.995098039215687</v>
      </c>
    </row>
    <row r="38" spans="17:19">
      <c r="Q38">
        <v>1.1676156</v>
      </c>
      <c r="R38">
        <v>5.9753099999999983E-2</v>
      </c>
      <c r="S38">
        <f t="shared" si="1"/>
        <v>19.540669856459335</v>
      </c>
    </row>
    <row r="39" spans="17:19">
      <c r="Q39">
        <v>1.5105934999999999</v>
      </c>
      <c r="R39">
        <v>7.9485000000000014E-2</v>
      </c>
      <c r="S39">
        <f t="shared" si="1"/>
        <v>19.004761904761899</v>
      </c>
    </row>
    <row r="40" spans="17:19">
      <c r="Q40">
        <v>1.2253319999999996</v>
      </c>
      <c r="R40">
        <v>5.2115999999999989E-2</v>
      </c>
      <c r="S40">
        <f t="shared" si="1"/>
        <v>23.511627906976742</v>
      </c>
    </row>
    <row r="41" spans="17:19">
      <c r="R41" s="15" t="s">
        <v>652</v>
      </c>
      <c r="S41">
        <f>AVERAGE(S32:S40)</f>
        <v>19.768833594929536</v>
      </c>
    </row>
    <row r="42" spans="17:19">
      <c r="R42" s="15" t="s">
        <v>586</v>
      </c>
      <c r="S42">
        <f>STDEV(S32:S40)</f>
        <v>1.5313653812468337</v>
      </c>
    </row>
  </sheetData>
  <phoneticPr fontId="30"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D8344-4587-5549-9E6F-ADB6FA71BE81}">
  <dimension ref="A1:AO109"/>
  <sheetViews>
    <sheetView topLeftCell="K51" zoomScale="75" zoomScaleNormal="60" workbookViewId="0">
      <selection activeCell="S70" sqref="S70"/>
    </sheetView>
  </sheetViews>
  <sheetFormatPr defaultColWidth="11" defaultRowHeight="15.5"/>
  <cols>
    <col min="1" max="1" width="17.08203125" customWidth="1"/>
    <col min="2" max="2" width="30.83203125" customWidth="1"/>
    <col min="3" max="3" width="17.33203125" customWidth="1"/>
    <col min="4" max="4" width="25.5" customWidth="1"/>
    <col min="5" max="5" width="19.33203125" customWidth="1"/>
    <col min="6" max="6" width="22.58203125" customWidth="1"/>
    <col min="7" max="7" width="41.08203125" customWidth="1"/>
    <col min="8" max="8" width="36" customWidth="1"/>
    <col min="9" max="9" width="39.33203125" customWidth="1"/>
    <col min="10" max="10" width="36.08203125" customWidth="1"/>
    <col min="11" max="11" width="45.08203125" customWidth="1"/>
    <col min="12" max="12" width="42.5" customWidth="1"/>
    <col min="13" max="13" width="28.08203125" customWidth="1"/>
    <col min="14" max="14" width="47.5" customWidth="1"/>
    <col min="15" max="15" width="53" customWidth="1"/>
    <col min="16" max="16" width="36.5" customWidth="1"/>
    <col min="17" max="17" width="32.58203125" customWidth="1"/>
    <col min="18" max="18" width="37.08203125" bestFit="1" customWidth="1"/>
    <col min="19" max="19" width="15.5" customWidth="1"/>
    <col min="20" max="20" width="38.08203125" customWidth="1"/>
    <col min="21" max="21" width="29.08203125" customWidth="1"/>
    <col min="22" max="22" width="17" customWidth="1"/>
    <col min="23" max="23" width="30.33203125" customWidth="1"/>
    <col min="24" max="24" width="40.58203125" customWidth="1"/>
    <col min="25" max="25" width="32" customWidth="1"/>
    <col min="26" max="26" width="15.83203125" customWidth="1"/>
    <col min="27" max="27" width="25.08203125" customWidth="1"/>
    <col min="28" max="28" width="30.33203125" customWidth="1"/>
    <col min="29" max="29" width="24" customWidth="1"/>
    <col min="30" max="30" width="30.5" customWidth="1"/>
    <col min="31" max="31" width="18.5" customWidth="1"/>
    <col min="32" max="32" width="24.5" customWidth="1"/>
    <col min="36" max="36" width="37.83203125" customWidth="1"/>
    <col min="37" max="37" width="41.58203125" customWidth="1"/>
    <col min="38" max="38" width="15.5" customWidth="1"/>
    <col min="39" max="39" width="40.83203125" customWidth="1"/>
    <col min="40" max="40" width="19.83203125" customWidth="1"/>
  </cols>
  <sheetData>
    <row r="1" spans="1:41" ht="23.5">
      <c r="A1" s="63" t="s">
        <v>653</v>
      </c>
      <c r="B1" s="63"/>
      <c r="C1" s="63"/>
      <c r="D1" s="63"/>
      <c r="E1" s="63" t="s">
        <v>1</v>
      </c>
      <c r="F1" s="63"/>
      <c r="G1" s="63"/>
      <c r="H1" s="63"/>
      <c r="I1" s="63" t="s">
        <v>654</v>
      </c>
      <c r="J1" s="63">
        <v>55.8</v>
      </c>
      <c r="K1" s="63"/>
      <c r="L1" s="63" t="s">
        <v>607</v>
      </c>
      <c r="M1" s="63" t="s">
        <v>608</v>
      </c>
      <c r="N1" s="63"/>
      <c r="O1" s="63"/>
      <c r="P1" s="63"/>
      <c r="Q1" s="63"/>
      <c r="R1" s="63"/>
      <c r="S1" s="63"/>
    </row>
    <row r="2" spans="1:41" ht="23.5">
      <c r="A2" s="63"/>
      <c r="B2" s="63" t="s">
        <v>655</v>
      </c>
      <c r="C2" s="63"/>
      <c r="D2" s="63"/>
      <c r="E2" s="63"/>
      <c r="F2" s="63"/>
      <c r="G2" s="63"/>
      <c r="H2" s="63"/>
      <c r="I2" s="63"/>
      <c r="J2" s="63"/>
      <c r="K2" s="63"/>
      <c r="L2" s="63"/>
      <c r="M2" s="63" t="s">
        <v>610</v>
      </c>
      <c r="N2" s="63"/>
      <c r="O2" s="63"/>
      <c r="P2" s="63"/>
      <c r="Q2" s="63"/>
      <c r="R2" s="63"/>
      <c r="T2" s="63"/>
    </row>
    <row r="3" spans="1:41" ht="23.5">
      <c r="A3" s="63"/>
      <c r="B3" s="63"/>
      <c r="C3" s="63"/>
      <c r="D3" s="63"/>
      <c r="E3" s="63"/>
      <c r="F3" s="63"/>
      <c r="G3" s="63"/>
      <c r="H3" s="63"/>
      <c r="I3" s="63"/>
      <c r="J3" s="63"/>
      <c r="K3" s="63"/>
      <c r="L3" s="63"/>
      <c r="M3" s="63"/>
      <c r="N3" s="63"/>
      <c r="O3" s="63"/>
      <c r="P3" s="63"/>
      <c r="Q3" s="63"/>
      <c r="R3" s="63"/>
      <c r="V3" t="s">
        <v>656</v>
      </c>
    </row>
    <row r="4" spans="1:41" ht="26">
      <c r="A4" s="64" t="s">
        <v>612</v>
      </c>
      <c r="B4" s="64" t="s">
        <v>613</v>
      </c>
      <c r="C4" s="64" t="s">
        <v>614</v>
      </c>
      <c r="D4" s="64" t="s">
        <v>615</v>
      </c>
      <c r="E4" s="64" t="s">
        <v>616</v>
      </c>
      <c r="F4" s="64" t="s">
        <v>617</v>
      </c>
      <c r="G4" s="64" t="s">
        <v>657</v>
      </c>
      <c r="H4" s="64" t="s">
        <v>658</v>
      </c>
      <c r="I4" s="64" t="s">
        <v>659</v>
      </c>
      <c r="J4" s="64" t="s">
        <v>660</v>
      </c>
      <c r="K4" s="64" t="s">
        <v>661</v>
      </c>
      <c r="L4" s="64" t="s">
        <v>662</v>
      </c>
      <c r="M4" s="64" t="s">
        <v>663</v>
      </c>
      <c r="N4" s="64" t="s">
        <v>664</v>
      </c>
      <c r="O4" s="64" t="s">
        <v>665</v>
      </c>
      <c r="P4" s="64" t="s">
        <v>666</v>
      </c>
      <c r="Q4" s="64" t="s">
        <v>578</v>
      </c>
      <c r="R4" s="64" t="s">
        <v>667</v>
      </c>
      <c r="S4" s="64" t="s">
        <v>524</v>
      </c>
      <c r="T4" s="64" t="s">
        <v>668</v>
      </c>
      <c r="U4" s="64" t="s">
        <v>669</v>
      </c>
      <c r="W4" s="181" t="s">
        <v>670</v>
      </c>
      <c r="X4" s="181" t="s">
        <v>671</v>
      </c>
      <c r="Y4" s="181" t="s">
        <v>672</v>
      </c>
      <c r="AI4" s="16"/>
    </row>
    <row r="5" spans="1:41" ht="26">
      <c r="A5" s="167">
        <v>2021</v>
      </c>
      <c r="B5" s="168">
        <v>44370</v>
      </c>
      <c r="C5" s="167">
        <v>174</v>
      </c>
      <c r="D5" s="167" t="s">
        <v>288</v>
      </c>
      <c r="E5" s="167">
        <v>1</v>
      </c>
      <c r="F5" s="167">
        <v>1</v>
      </c>
      <c r="G5" s="167">
        <v>1375.5</v>
      </c>
      <c r="H5" s="167">
        <f>Table7[[#This Row],[Sample Wet Weight (g)]]-55.8</f>
        <v>1319.7</v>
      </c>
      <c r="I5" s="167">
        <v>605.79999999999995</v>
      </c>
      <c r="J5" s="167">
        <f>Table7[[#This Row],[Sample Dry Weight (g) ]]-55.8</f>
        <v>550</v>
      </c>
      <c r="K5" s="167">
        <v>133.6</v>
      </c>
      <c r="L5" s="167">
        <f>((Table7[[#This Row],[Wet - Bag Weight (g) ]]-Table7[[#This Row],[Redry (post Mold Weight) (g) ]])/Table7[[#This Row],[Wet - Bag Weight (g) ]])*100</f>
        <v>89.876487080397069</v>
      </c>
      <c r="M5" s="167">
        <f>(Table7[[#This Row],[Redry (post Mold Weight) (g) ]]/1000)/0.0001</f>
        <v>1336</v>
      </c>
      <c r="N5" s="167">
        <f>Table7[[#This Row],[Yield (kg/ha)]]*1.155</f>
        <v>1543.08</v>
      </c>
      <c r="O5" s="167">
        <f>Table7[[#This Row],[Yield @ 15% Moisture (kg/ha)]]/1000</f>
        <v>1.54308</v>
      </c>
      <c r="P5" s="169">
        <f>Table7[[#This Row],[Yield (kg/ha)]]/1000</f>
        <v>1.3360000000000001</v>
      </c>
      <c r="Q5" s="169" t="s">
        <v>673</v>
      </c>
      <c r="R5" s="169">
        <f>Table7[[#This Row],[Dry Yield (tons/ha)]]*(Table7[[#This Row],[%C]]/100)</f>
        <v>0.55778000000000005</v>
      </c>
      <c r="S5" s="169" t="s">
        <v>674</v>
      </c>
      <c r="T5" s="169">
        <f>Table7[[#This Row],[Dry Yield (tons/ha)]]*(Table7[[#This Row],[%N]]/100)</f>
        <v>6.7735200000000009E-2</v>
      </c>
      <c r="U5" s="169">
        <f>Table7[[#This Row],[Yield (kg/ha)]]*(Table7[[#This Row],[%N]]/100)</f>
        <v>67.735200000000006</v>
      </c>
      <c r="W5" s="156">
        <f>AVERAGE(O5:O13)</f>
        <v>1.5043874999999998</v>
      </c>
      <c r="X5" s="156">
        <f>STDEV(O5:O13)</f>
        <v>0.10549501812881969</v>
      </c>
      <c r="Y5" s="156" t="s">
        <v>675</v>
      </c>
      <c r="AA5" s="155" t="s">
        <v>52</v>
      </c>
      <c r="AB5" s="156" t="s">
        <v>675</v>
      </c>
      <c r="AC5" s="156" t="s">
        <v>676</v>
      </c>
      <c r="AD5" s="156" t="s">
        <v>677</v>
      </c>
      <c r="AE5" s="156" t="s">
        <v>678</v>
      </c>
      <c r="AI5" s="16"/>
      <c r="AK5" s="155" t="s">
        <v>679</v>
      </c>
      <c r="AL5" s="155"/>
      <c r="AM5" s="155"/>
      <c r="AN5" s="155"/>
      <c r="AO5" s="155"/>
    </row>
    <row r="6" spans="1:41" ht="26">
      <c r="A6" s="167">
        <v>2021</v>
      </c>
      <c r="B6" s="168">
        <v>44370</v>
      </c>
      <c r="C6" s="167">
        <v>174</v>
      </c>
      <c r="D6" s="167" t="s">
        <v>290</v>
      </c>
      <c r="E6" s="167">
        <v>1</v>
      </c>
      <c r="F6" s="167">
        <v>2</v>
      </c>
      <c r="G6" s="167">
        <v>1231.5</v>
      </c>
      <c r="H6" s="167">
        <f>Table7[[#This Row],[Sample Wet Weight (g)]]-55.8</f>
        <v>1175.7</v>
      </c>
      <c r="I6" s="167">
        <v>456.5</v>
      </c>
      <c r="J6" s="167">
        <f>Table7[[#This Row],[Sample Dry Weight (g) ]]-55.8</f>
        <v>400.7</v>
      </c>
      <c r="K6" s="167">
        <v>130.9</v>
      </c>
      <c r="L6" s="167">
        <f>((Table7[[#This Row],[Wet - Bag Weight (g) ]]-Table7[[#This Row],[Redry (post Mold Weight) (g) ]])/Table7[[#This Row],[Wet - Bag Weight (g) ]])*100</f>
        <v>88.866207365824607</v>
      </c>
      <c r="M6" s="167">
        <f>(Table7[[#This Row],[Redry (post Mold Weight) (g) ]]/1000)/0.0001</f>
        <v>1309</v>
      </c>
      <c r="N6" s="167">
        <f>Table7[[#This Row],[Yield (kg/ha)]]*1.155</f>
        <v>1511.895</v>
      </c>
      <c r="O6" s="167">
        <f>Table7[[#This Row],[Yield @ 15% Moisture (kg/ha)]]/1000</f>
        <v>1.511895</v>
      </c>
      <c r="P6" s="169">
        <f>Table7[[#This Row],[Yield (kg/ha)]]/1000</f>
        <v>1.3089999999999999</v>
      </c>
      <c r="Q6" s="169" t="s">
        <v>680</v>
      </c>
      <c r="R6" s="169">
        <f>Table7[[#This Row],[Dry Yield (tons/ha)]]*(Table7[[#This Row],[%C]]/100)</f>
        <v>0.54912550000000004</v>
      </c>
      <c r="S6" s="169" t="s">
        <v>681</v>
      </c>
      <c r="T6" s="169">
        <f>Table7[[#This Row],[Dry Yield (tons/ha)]]*(Table7[[#This Row],[%N]]/100)</f>
        <v>6.0083099999999993E-2</v>
      </c>
      <c r="U6" s="169">
        <f>Table7[[#This Row],[Yield (kg/ha)]]*(Table7[[#This Row],[%N]]/100)</f>
        <v>60.083099999999995</v>
      </c>
      <c r="W6" s="156">
        <f>AVERAGE(O14:O16)</f>
        <v>1.08185</v>
      </c>
      <c r="X6" s="156">
        <f>STDEV(O14:O16)</f>
        <v>3.4656416072640701E-2</v>
      </c>
      <c r="Y6" s="156" t="s">
        <v>682</v>
      </c>
      <c r="AA6" s="16" t="s">
        <v>683</v>
      </c>
      <c r="AB6" s="16">
        <v>1.5043874999999998</v>
      </c>
      <c r="AC6" s="16">
        <v>1.4539800000000001</v>
      </c>
      <c r="AD6" s="16">
        <v>1.3496816666666667</v>
      </c>
      <c r="AE6" s="16">
        <v>1.4209066666666665</v>
      </c>
      <c r="AI6" s="16"/>
      <c r="AK6" s="155" t="s">
        <v>672</v>
      </c>
      <c r="AL6" s="155" t="s">
        <v>684</v>
      </c>
      <c r="AM6" s="155" t="s">
        <v>586</v>
      </c>
      <c r="AN6" s="155" t="s">
        <v>685</v>
      </c>
      <c r="AO6" s="155" t="s">
        <v>586</v>
      </c>
    </row>
    <row r="7" spans="1:41" ht="26">
      <c r="A7" s="167">
        <v>2021</v>
      </c>
      <c r="B7" s="168">
        <v>44370</v>
      </c>
      <c r="C7" s="167">
        <v>174</v>
      </c>
      <c r="D7" s="167" t="s">
        <v>291</v>
      </c>
      <c r="E7" s="167">
        <v>1</v>
      </c>
      <c r="F7" s="167">
        <v>3</v>
      </c>
      <c r="G7" s="167">
        <v>1507.5</v>
      </c>
      <c r="H7" s="167">
        <f>Table7[[#This Row],[Sample Wet Weight (g)]]-55.8</f>
        <v>1451.7</v>
      </c>
      <c r="I7" s="167">
        <v>620.1</v>
      </c>
      <c r="J7" s="167">
        <f>Table7[[#This Row],[Sample Dry Weight (g) ]]-55.8</f>
        <v>564.30000000000007</v>
      </c>
      <c r="K7" s="167">
        <v>131</v>
      </c>
      <c r="L7" s="167">
        <f>((Table7[[#This Row],[Wet - Bag Weight (g) ]]-Table7[[#This Row],[Redry (post Mold Weight) (g) ]])/Table7[[#This Row],[Wet - Bag Weight (g) ]])*100</f>
        <v>90.976096989736178</v>
      </c>
      <c r="M7" s="167">
        <f>(Table7[[#This Row],[Redry (post Mold Weight) (g) ]]/1000)/0.0001</f>
        <v>1310</v>
      </c>
      <c r="N7" s="167">
        <f>Table7[[#This Row],[Yield (kg/ha)]]*1.155</f>
        <v>1513.05</v>
      </c>
      <c r="O7" s="167">
        <f>Table7[[#This Row],[Yield @ 15% Moisture (kg/ha)]]/1000</f>
        <v>1.51305</v>
      </c>
      <c r="P7" s="169">
        <f>Table7[[#This Row],[Yield (kg/ha)]]/1000</f>
        <v>1.31</v>
      </c>
      <c r="Q7" s="169" t="s">
        <v>686</v>
      </c>
      <c r="R7" s="169">
        <f>Table7[[#This Row],[Dry Yield (tons/ha)]]*(Table7[[#This Row],[%C]]/100)</f>
        <v>0.52504799999999996</v>
      </c>
      <c r="S7" s="169" t="s">
        <v>687</v>
      </c>
      <c r="T7" s="169">
        <f>Table7[[#This Row],[Dry Yield (tons/ha)]]*(Table7[[#This Row],[%N]]/100)</f>
        <v>5.6592000000000003E-2</v>
      </c>
      <c r="U7" s="169">
        <f>Table7[[#This Row],[Yield (kg/ha)]]*(Table7[[#This Row],[%N]]/100)</f>
        <v>56.592000000000006</v>
      </c>
      <c r="W7" s="156">
        <f>AVERAGE(O17:O25)</f>
        <v>1.4539800000000001</v>
      </c>
      <c r="X7" s="156">
        <f>STDEV(O17:O25)</f>
        <v>0.21881324725665022</v>
      </c>
      <c r="Y7" s="156" t="s">
        <v>676</v>
      </c>
      <c r="AA7" s="16" t="s">
        <v>688</v>
      </c>
      <c r="AB7" s="16">
        <v>1.08185</v>
      </c>
      <c r="AC7" s="16">
        <v>1.15577</v>
      </c>
      <c r="AD7" s="16">
        <v>0.99060499999999996</v>
      </c>
      <c r="AE7" s="16">
        <v>0.97366499999999989</v>
      </c>
      <c r="AH7" s="16"/>
      <c r="AI7" s="16"/>
      <c r="AK7" s="156" t="s">
        <v>675</v>
      </c>
      <c r="AL7" s="157">
        <v>0.527975525</v>
      </c>
      <c r="AM7" s="157">
        <v>4.6250341239938063E-2</v>
      </c>
      <c r="AN7" s="157">
        <v>0.38141206666666666</v>
      </c>
      <c r="AO7" s="157">
        <v>2.3584931633637014E-2</v>
      </c>
    </row>
    <row r="8" spans="1:41" ht="26">
      <c r="A8" s="167">
        <v>2021</v>
      </c>
      <c r="B8" s="168">
        <v>44370</v>
      </c>
      <c r="C8" s="167">
        <v>174</v>
      </c>
      <c r="D8" s="167" t="s">
        <v>292</v>
      </c>
      <c r="E8" s="167">
        <v>1</v>
      </c>
      <c r="F8" s="167">
        <v>4</v>
      </c>
      <c r="G8" s="167">
        <v>1542.9</v>
      </c>
      <c r="H8" s="167">
        <f>Table7[[#This Row],[Sample Wet Weight (g)]]-55.8</f>
        <v>1487.1000000000001</v>
      </c>
      <c r="I8" s="167">
        <v>667.1</v>
      </c>
      <c r="J8" s="167">
        <f>Table7[[#This Row],[Sample Dry Weight (g) ]]-55.8</f>
        <v>611.30000000000007</v>
      </c>
      <c r="K8" s="167">
        <v>129.6</v>
      </c>
      <c r="L8" s="167">
        <f>((Table7[[#This Row],[Wet - Bag Weight (g) ]]-Table7[[#This Row],[Redry (post Mold Weight) (g) ]])/Table7[[#This Row],[Wet - Bag Weight (g) ]])*100</f>
        <v>91.285051442404679</v>
      </c>
      <c r="M8" s="167">
        <f>(Table7[[#This Row],[Redry (post Mold Weight) (g) ]]/1000)/0.0001</f>
        <v>1295.9999999999998</v>
      </c>
      <c r="N8" s="167">
        <f>Table7[[#This Row],[Yield (kg/ha)]]*1.155</f>
        <v>1496.8799999999999</v>
      </c>
      <c r="O8" s="167">
        <f>Table7[[#This Row],[Yield @ 15% Moisture (kg/ha)]]/1000</f>
        <v>1.49688</v>
      </c>
      <c r="P8" s="169">
        <f>Table7[[#This Row],[Yield (kg/ha)]]/1000</f>
        <v>1.2959999999999998</v>
      </c>
      <c r="Q8" s="169" t="s">
        <v>686</v>
      </c>
      <c r="R8" s="169">
        <f>Table7[[#This Row],[Dry Yield (tons/ha)]]*(Table7[[#This Row],[%C]]/100)</f>
        <v>0.51943679999999992</v>
      </c>
      <c r="S8" s="169" t="s">
        <v>689</v>
      </c>
      <c r="T8" s="169">
        <f>Table7[[#This Row],[Dry Yield (tons/ha)]]*(Table7[[#This Row],[%N]]/100)</f>
        <v>5.9227200000000001E-2</v>
      </c>
      <c r="U8" s="169">
        <f>Table7[[#This Row],[Yield (kg/ha)]]*(Table7[[#This Row],[%N]]/100)</f>
        <v>59.227199999999996</v>
      </c>
      <c r="W8" s="156">
        <f>AVERAGE(O26:O28)</f>
        <v>1.15577</v>
      </c>
      <c r="X8" s="156">
        <f>STDEV(O26:O28)</f>
        <v>7.4534051110884875E-2</v>
      </c>
      <c r="Y8" s="156" t="s">
        <v>690</v>
      </c>
      <c r="AA8" s="16"/>
      <c r="AB8" s="16"/>
      <c r="AC8" s="16"/>
      <c r="AD8" s="16"/>
      <c r="AE8" s="16"/>
      <c r="AH8" s="16"/>
      <c r="AI8" s="16"/>
      <c r="AK8" s="156" t="s">
        <v>676</v>
      </c>
      <c r="AL8" s="157">
        <v>0.51804351428571427</v>
      </c>
      <c r="AM8" s="157">
        <v>8.2732573022388067E-2</v>
      </c>
      <c r="AN8" s="157">
        <v>0.4134337666666667</v>
      </c>
      <c r="AO8" s="157">
        <v>2.8928399063261966E-2</v>
      </c>
    </row>
    <row r="9" spans="1:41" ht="26">
      <c r="A9" s="167">
        <v>2021</v>
      </c>
      <c r="B9" s="168">
        <v>44370</v>
      </c>
      <c r="C9" s="167">
        <v>174</v>
      </c>
      <c r="D9" s="167" t="s">
        <v>293</v>
      </c>
      <c r="E9" s="167">
        <v>1</v>
      </c>
      <c r="F9" s="167">
        <v>5</v>
      </c>
      <c r="G9" s="167">
        <v>1455.4</v>
      </c>
      <c r="H9" s="167">
        <f>Table7[[#This Row],[Sample Wet Weight (g)]]-55.8</f>
        <v>1399.6000000000001</v>
      </c>
      <c r="I9" s="167">
        <v>612.6</v>
      </c>
      <c r="J9" s="167">
        <f>Table7[[#This Row],[Sample Dry Weight (g) ]]-55.8</f>
        <v>556.80000000000007</v>
      </c>
      <c r="K9" s="167">
        <v>118.4</v>
      </c>
      <c r="L9" s="167">
        <f>((Table7[[#This Row],[Wet - Bag Weight (g) ]]-Table7[[#This Row],[Redry (post Mold Weight) (g) ]])/Table7[[#This Row],[Wet - Bag Weight (g) ]])*100</f>
        <v>91.540440125750209</v>
      </c>
      <c r="M9" s="167">
        <f>(Table7[[#This Row],[Redry (post Mold Weight) (g) ]]/1000)/0.0001</f>
        <v>1184</v>
      </c>
      <c r="N9" s="167">
        <f>Table7[[#This Row],[Yield (kg/ha)]]*1.155</f>
        <v>1367.52</v>
      </c>
      <c r="O9" s="167">
        <f>Table7[[#This Row],[Yield @ 15% Moisture (kg/ha)]]/1000</f>
        <v>1.3675200000000001</v>
      </c>
      <c r="P9" s="169">
        <f>Table7[[#This Row],[Yield (kg/ha)]]/1000</f>
        <v>1.1839999999999999</v>
      </c>
      <c r="Q9" s="169" t="s">
        <v>691</v>
      </c>
      <c r="R9" s="169">
        <f>Table7[[#This Row],[Dry Yield (tons/ha)]]*(Table7[[#This Row],[%C]]/100)</f>
        <v>0.45524799999999999</v>
      </c>
      <c r="S9" s="169" t="s">
        <v>692</v>
      </c>
      <c r="T9" s="169">
        <f>Table7[[#This Row],[Dry Yield (tons/ha)]]*(Table7[[#This Row],[%N]]/100)</f>
        <v>4.9491199999999992E-2</v>
      </c>
      <c r="U9" s="169">
        <f>Table7[[#This Row],[Yield (kg/ha)]]*(Table7[[#This Row],[%N]]/100)</f>
        <v>49.491199999999999</v>
      </c>
      <c r="W9" s="156">
        <f>AVERAGE(O29:O37)</f>
        <v>1.3496816666666667</v>
      </c>
      <c r="X9" s="156">
        <f>STDEV(O29:O37)</f>
        <v>0.15606729001459557</v>
      </c>
      <c r="Y9" s="156" t="s">
        <v>677</v>
      </c>
      <c r="AA9" s="16"/>
      <c r="AB9" s="16"/>
      <c r="AC9" s="16"/>
      <c r="AD9" s="16"/>
      <c r="AE9" s="16"/>
      <c r="AF9" s="16"/>
      <c r="AG9" s="16"/>
      <c r="AH9" s="16"/>
      <c r="AI9" s="16"/>
      <c r="AK9" s="156" t="s">
        <v>677</v>
      </c>
      <c r="AL9" s="157">
        <v>0.48066722222222225</v>
      </c>
      <c r="AM9" s="157">
        <v>4.8584834076586508E-2</v>
      </c>
      <c r="AN9" s="157">
        <v>0.35020306666666667</v>
      </c>
      <c r="AO9" s="157">
        <v>2.5375208078227313E-2</v>
      </c>
    </row>
    <row r="10" spans="1:41" ht="26">
      <c r="A10" s="149">
        <v>2021</v>
      </c>
      <c r="B10" s="150">
        <v>44370</v>
      </c>
      <c r="C10" s="149">
        <v>174</v>
      </c>
      <c r="D10" s="149" t="s">
        <v>294</v>
      </c>
      <c r="E10" s="149">
        <v>1</v>
      </c>
      <c r="F10" s="149">
        <v>6</v>
      </c>
      <c r="G10" s="149">
        <v>1744.2</v>
      </c>
      <c r="H10" s="149">
        <f>Table7[[#This Row],[Sample Wet Weight (g)]]-55.8</f>
        <v>1688.4</v>
      </c>
      <c r="I10" s="149">
        <v>829.2</v>
      </c>
      <c r="J10" s="149">
        <f>Table7[[#This Row],[Sample Dry Weight (g) ]]-55.8</f>
        <v>773.40000000000009</v>
      </c>
      <c r="K10" s="149" t="s">
        <v>693</v>
      </c>
      <c r="L10" s="101" t="s">
        <v>693</v>
      </c>
      <c r="M10" s="101" t="s">
        <v>693</v>
      </c>
      <c r="N10" s="101" t="s">
        <v>693</v>
      </c>
      <c r="O10" s="101" t="s">
        <v>694</v>
      </c>
      <c r="P10" s="101" t="s">
        <v>694</v>
      </c>
      <c r="Q10" s="101" t="s">
        <v>694</v>
      </c>
      <c r="R10" s="101" t="e">
        <f>Table7[[#This Row],[Dry Yield (tons/ha)]]*(Table7[[#This Row],[%C]]/100)</f>
        <v>#VALUE!</v>
      </c>
      <c r="S10" s="101" t="s">
        <v>694</v>
      </c>
      <c r="T10" s="172" t="e">
        <f>Table7[[#This Row],[Dry Yield (tons/ha)]]*(Table7[[#This Row],[%N]]/100)</f>
        <v>#VALUE!</v>
      </c>
      <c r="U10" s="172" t="e">
        <f>Table7[[#This Row],[Yield (kg/ha)]]*(Table7[[#This Row],[%N]]/100)</f>
        <v>#VALUE!</v>
      </c>
      <c r="W10" s="156">
        <f>AVERAGE(O38:O40)</f>
        <v>0.99060499999999996</v>
      </c>
      <c r="X10" s="156">
        <f>STDEV(O38:O40)</f>
        <v>7.7706124758605735E-2</v>
      </c>
      <c r="Y10" s="156" t="s">
        <v>695</v>
      </c>
      <c r="AC10" s="16"/>
      <c r="AD10" s="16"/>
      <c r="AE10" s="16"/>
      <c r="AF10" s="16"/>
      <c r="AG10" s="16"/>
      <c r="AH10" s="16"/>
      <c r="AI10" s="16"/>
      <c r="AK10" s="156" t="s">
        <v>678</v>
      </c>
      <c r="AL10" s="157">
        <v>0.50526615555555543</v>
      </c>
      <c r="AM10" s="157">
        <v>7.07733430015519E-2</v>
      </c>
      <c r="AN10" s="157">
        <v>0.34679116666666659</v>
      </c>
      <c r="AO10" s="157">
        <v>5.9030224114629049E-2</v>
      </c>
    </row>
    <row r="11" spans="1:41" ht="26">
      <c r="A11" s="167">
        <v>2021</v>
      </c>
      <c r="B11" s="168">
        <v>44370</v>
      </c>
      <c r="C11" s="167">
        <v>174</v>
      </c>
      <c r="D11" s="167" t="s">
        <v>295</v>
      </c>
      <c r="E11" s="167">
        <v>1</v>
      </c>
      <c r="F11" s="167">
        <v>7</v>
      </c>
      <c r="G11" s="167">
        <v>1552.4</v>
      </c>
      <c r="H11" s="167">
        <f>Table7[[#This Row],[Sample Wet Weight (g)]]-55.8</f>
        <v>1496.6000000000001</v>
      </c>
      <c r="I11" s="167">
        <v>693.1</v>
      </c>
      <c r="J11" s="167">
        <f>Table7[[#This Row],[Sample Dry Weight (g) ]]-55.8</f>
        <v>637.30000000000007</v>
      </c>
      <c r="K11" s="167">
        <v>147.69999999999999</v>
      </c>
      <c r="L11" s="167">
        <f>((Table7[[#This Row],[Wet - Bag Weight (g) ]]-Table7[[#This Row],[Redry (post Mold Weight) (g) ]])/Table7[[#This Row],[Wet - Bag Weight (g) ]])*100</f>
        <v>90.130963517305901</v>
      </c>
      <c r="M11" s="167">
        <f>(Table7[[#This Row],[Redry (post Mold Weight) (g) ]]/1000)/0.0001</f>
        <v>1477</v>
      </c>
      <c r="N11" s="167">
        <f>Table7[[#This Row],[Yield (kg/ha)]]*1.155</f>
        <v>1705.9349999999999</v>
      </c>
      <c r="O11" s="167">
        <f>Table7[[#This Row],[Yield @ 15% Moisture (kg/ha)]]/1000</f>
        <v>1.705935</v>
      </c>
      <c r="P11" s="169">
        <f>Table7[[#This Row],[Yield (kg/ha)]]/1000</f>
        <v>1.4770000000000001</v>
      </c>
      <c r="Q11" s="169" t="s">
        <v>696</v>
      </c>
      <c r="R11" s="169">
        <f>Table7[[#This Row],[Dry Yield (tons/ha)]]*(Table7[[#This Row],[%C]]/100)</f>
        <v>0.60837629999999998</v>
      </c>
      <c r="S11" s="169" t="s">
        <v>697</v>
      </c>
      <c r="T11" s="169">
        <f>Table7[[#This Row],[Dry Yield (tons/ha)]]*(Table7[[#This Row],[%N]]/100)</f>
        <v>6.2034000000000006E-2</v>
      </c>
      <c r="U11" s="169">
        <f>Table7[[#This Row],[Yield (kg/ha)]]*(Table7[[#This Row],[%N]]/100)</f>
        <v>62.034000000000006</v>
      </c>
      <c r="W11" s="156">
        <f>AVERAGE(O41:O49)</f>
        <v>1.4209066666666665</v>
      </c>
      <c r="X11" s="156">
        <f>STDEV(O41:O49)</f>
        <v>0.17733649155630649</v>
      </c>
      <c r="Y11" s="156" t="s">
        <v>678</v>
      </c>
      <c r="AC11" s="16"/>
      <c r="AD11" s="16"/>
      <c r="AE11" s="16"/>
      <c r="AF11" s="16"/>
      <c r="AG11" s="16"/>
      <c r="AH11" s="16"/>
      <c r="AI11" s="16"/>
      <c r="AK11" s="16"/>
      <c r="AL11" s="16"/>
      <c r="AM11" s="16"/>
      <c r="AN11" s="16"/>
      <c r="AO11" s="16"/>
    </row>
    <row r="12" spans="1:41" ht="26">
      <c r="A12" s="167">
        <v>2021</v>
      </c>
      <c r="B12" s="168">
        <v>44370</v>
      </c>
      <c r="C12" s="167">
        <v>174</v>
      </c>
      <c r="D12" s="167" t="s">
        <v>296</v>
      </c>
      <c r="E12" s="167">
        <v>1</v>
      </c>
      <c r="F12" s="167">
        <v>8</v>
      </c>
      <c r="G12" s="167">
        <v>1222.5</v>
      </c>
      <c r="H12" s="167">
        <f>Table7[[#This Row],[Sample Wet Weight (g)]]-55.8</f>
        <v>1166.7</v>
      </c>
      <c r="I12" s="167">
        <v>464.8</v>
      </c>
      <c r="J12" s="167">
        <f>Table7[[#This Row],[Sample Dry Weight (g) ]]-55.8</f>
        <v>409</v>
      </c>
      <c r="K12" s="167">
        <v>131.69999999999999</v>
      </c>
      <c r="L12" s="167">
        <f>((Table7[[#This Row],[Wet - Bag Weight (g) ]]-Table7[[#This Row],[Redry (post Mold Weight) (g) ]])/Table7[[#This Row],[Wet - Bag Weight (g) ]])*100</f>
        <v>88.711751092825921</v>
      </c>
      <c r="M12" s="167">
        <f>(Table7[[#This Row],[Redry (post Mold Weight) (g) ]]/1000)/0.0001</f>
        <v>1316.9999999999998</v>
      </c>
      <c r="N12" s="167">
        <f>Table7[[#This Row],[Yield (kg/ha)]]*1.155</f>
        <v>1521.1349999999998</v>
      </c>
      <c r="O12" s="167">
        <f>Table7[[#This Row],[Yield @ 15% Moisture (kg/ha)]]/1000</f>
        <v>1.5211349999999997</v>
      </c>
      <c r="P12" s="169">
        <f>Table7[[#This Row],[Yield (kg/ha)]]/1000</f>
        <v>1.3169999999999997</v>
      </c>
      <c r="Q12" s="169" t="s">
        <v>698</v>
      </c>
      <c r="R12" s="169">
        <f>Table7[[#This Row],[Dry Yield (tons/ha)]]*(Table7[[#This Row],[%C]]/100)</f>
        <v>0.52298069999999985</v>
      </c>
      <c r="S12" s="169" t="s">
        <v>699</v>
      </c>
      <c r="T12" s="169">
        <f>Table7[[#This Row],[Dry Yield (tons/ha)]]*(Table7[[#This Row],[%N]]/100)</f>
        <v>5.2811699999999982E-2</v>
      </c>
      <c r="U12" s="169">
        <f>Table7[[#This Row],[Yield (kg/ha)]]*(Table7[[#This Row],[%N]]/100)</f>
        <v>52.811699999999988</v>
      </c>
      <c r="W12" s="156">
        <f>AVERAGE(O50:O52)</f>
        <v>0.97366499999999989</v>
      </c>
      <c r="X12" s="156">
        <f>STDEV(O50:O52)</f>
        <v>0.14390298841580809</v>
      </c>
      <c r="Y12" s="156" t="s">
        <v>700</v>
      </c>
      <c r="AC12" s="16"/>
      <c r="AD12" s="16"/>
      <c r="AE12" s="16"/>
      <c r="AF12" s="16"/>
      <c r="AG12" s="16"/>
      <c r="AH12" s="16"/>
      <c r="AI12" s="16"/>
      <c r="AK12" s="155" t="s">
        <v>701</v>
      </c>
      <c r="AL12" s="155"/>
      <c r="AM12" s="155"/>
      <c r="AN12" s="155"/>
      <c r="AO12" s="155"/>
    </row>
    <row r="13" spans="1:41" ht="26">
      <c r="A13" s="167">
        <v>2021</v>
      </c>
      <c r="B13" s="168">
        <v>44370</v>
      </c>
      <c r="C13" s="167">
        <v>174</v>
      </c>
      <c r="D13" s="167" t="s">
        <v>297</v>
      </c>
      <c r="E13" s="167">
        <v>1</v>
      </c>
      <c r="F13" s="167">
        <v>9</v>
      </c>
      <c r="G13" s="167">
        <v>1505.4</v>
      </c>
      <c r="H13" s="167">
        <f>Table7[[#This Row],[Sample Wet Weight (g)]]-55.8</f>
        <v>1449.6000000000001</v>
      </c>
      <c r="I13" s="167">
        <v>730.8</v>
      </c>
      <c r="J13" s="167">
        <f>Table7[[#This Row],[Sample Dry Weight (g) ]]-55.8</f>
        <v>675</v>
      </c>
      <c r="K13" s="167">
        <v>119.1</v>
      </c>
      <c r="L13" s="167">
        <f>((Table7[[#This Row],[Wet - Bag Weight (g) ]]-Table7[[#This Row],[Redry (post Mold Weight) (g) ]])/Table7[[#This Row],[Wet - Bag Weight (g) ]])*100</f>
        <v>91.783940397351003</v>
      </c>
      <c r="M13" s="167">
        <f>(Table7[[#This Row],[Redry (post Mold Weight) (g) ]]/1000)/0.0001</f>
        <v>1191</v>
      </c>
      <c r="N13" s="167">
        <f>Table7[[#This Row],[Yield (kg/ha)]]*1.155</f>
        <v>1375.605</v>
      </c>
      <c r="O13" s="167">
        <f>Table7[[#This Row],[Yield @ 15% Moisture (kg/ha)]]/1000</f>
        <v>1.375605</v>
      </c>
      <c r="P13" s="169">
        <f>Table7[[#This Row],[Yield (kg/ha)]]/1000</f>
        <v>1.1910000000000001</v>
      </c>
      <c r="Q13" s="169" t="s">
        <v>642</v>
      </c>
      <c r="R13" s="169">
        <f>Table7[[#This Row],[Dry Yield (tons/ha)]]*(Table7[[#This Row],[%C]]/100)</f>
        <v>0.48580889999999999</v>
      </c>
      <c r="S13" s="169" t="s">
        <v>702</v>
      </c>
      <c r="T13" s="169">
        <f>Table7[[#This Row],[Dry Yield (tons/ha)]]*(Table7[[#This Row],[%N]]/100)</f>
        <v>4.7401800000000008E-2</v>
      </c>
      <c r="U13" s="169">
        <f>Table7[[#This Row],[Yield (kg/ha)]]*(Table7[[#This Row],[%N]]/100)</f>
        <v>47.401800000000001</v>
      </c>
      <c r="W13" s="137"/>
      <c r="X13" s="137"/>
      <c r="Y13" s="137"/>
      <c r="AC13" s="16"/>
      <c r="AD13" s="16"/>
      <c r="AE13" s="16"/>
      <c r="AF13" s="16"/>
      <c r="AG13" s="16"/>
      <c r="AH13" s="16"/>
      <c r="AI13" s="16"/>
      <c r="AK13" s="155" t="s">
        <v>672</v>
      </c>
      <c r="AL13" s="155" t="s">
        <v>703</v>
      </c>
      <c r="AM13" s="155" t="s">
        <v>586</v>
      </c>
      <c r="AN13" s="155" t="s">
        <v>704</v>
      </c>
      <c r="AO13" s="155" t="s">
        <v>586</v>
      </c>
    </row>
    <row r="14" spans="1:41" ht="26">
      <c r="A14" s="103">
        <v>2021</v>
      </c>
      <c r="B14" s="104">
        <v>44370</v>
      </c>
      <c r="C14" s="103">
        <v>174</v>
      </c>
      <c r="D14" s="103" t="s">
        <v>298</v>
      </c>
      <c r="E14" s="103">
        <v>1</v>
      </c>
      <c r="F14" s="103">
        <v>11</v>
      </c>
      <c r="G14" s="103">
        <v>790.1</v>
      </c>
      <c r="H14" s="103">
        <f>Table7[[#This Row],[Sample Wet Weight (g)]]-55.8</f>
        <v>734.30000000000007</v>
      </c>
      <c r="I14" s="103">
        <v>293.8</v>
      </c>
      <c r="J14" s="103">
        <f>Table7[[#This Row],[Sample Dry Weight (g) ]]-55.8</f>
        <v>238</v>
      </c>
      <c r="K14" s="103">
        <v>96.3</v>
      </c>
      <c r="L14" s="103">
        <f>((Table7[[#This Row],[Wet - Bag Weight (g) ]]-Table7[[#This Row],[Redry (post Mold Weight) (g) ]])/Table7[[#This Row],[Wet - Bag Weight (g) ]])*100</f>
        <v>86.885469154296615</v>
      </c>
      <c r="M14" s="103">
        <f>(Table7[[#This Row],[Redry (post Mold Weight) (g) ]]/1000)/0.0001</f>
        <v>962.99999999999989</v>
      </c>
      <c r="N14" s="103">
        <f>Table7[[#This Row],[Yield (kg/ha)]]*1.155</f>
        <v>1112.2649999999999</v>
      </c>
      <c r="O14" s="103">
        <f>Table7[[#This Row],[Yield @ 15% Moisture (kg/ha)]]/1000</f>
        <v>1.1122649999999998</v>
      </c>
      <c r="P14" s="170">
        <f>Table7[[#This Row],[Yield (kg/ha)]]/1000</f>
        <v>0.96299999999999986</v>
      </c>
      <c r="Q14" s="170" t="s">
        <v>705</v>
      </c>
      <c r="R14" s="170">
        <f>Table7[[#This Row],[Dry Yield (tons/ha)]]*(Table7[[#This Row],[%C]]/100)</f>
        <v>0.38818529999999996</v>
      </c>
      <c r="S14" s="170" t="s">
        <v>706</v>
      </c>
      <c r="T14" s="170">
        <f>Table7[[#This Row],[Dry Yield (tons/ha)]]*(Table7[[#This Row],[%N]]/100)</f>
        <v>3.7942199999999995E-2</v>
      </c>
      <c r="U14" s="170">
        <f>Table7[[#This Row],[Yield (kg/ha)]]*(Table7[[#This Row],[%N]]/100)</f>
        <v>37.942199999999993</v>
      </c>
      <c r="W14" s="14"/>
      <c r="X14" s="14"/>
      <c r="Y14" s="137"/>
      <c r="AC14" s="16"/>
      <c r="AD14" s="16"/>
      <c r="AE14" s="16"/>
      <c r="AF14" s="16"/>
      <c r="AG14" s="16"/>
      <c r="AH14" s="16"/>
      <c r="AI14" s="16"/>
      <c r="AK14" s="156" t="s">
        <v>675</v>
      </c>
      <c r="AL14" s="157">
        <v>5.6922025000000001E-2</v>
      </c>
      <c r="AM14" s="157">
        <v>6.7740977391299697E-3</v>
      </c>
      <c r="AN14" s="157">
        <v>3.8552199999999995E-2</v>
      </c>
      <c r="AO14" s="157">
        <v>4.177139686436156E-3</v>
      </c>
    </row>
    <row r="15" spans="1:41" ht="26">
      <c r="A15" s="103">
        <v>2021</v>
      </c>
      <c r="B15" s="104">
        <v>44370</v>
      </c>
      <c r="C15" s="103">
        <v>174</v>
      </c>
      <c r="D15" s="103" t="s">
        <v>299</v>
      </c>
      <c r="E15" s="103">
        <v>1</v>
      </c>
      <c r="F15" s="103">
        <v>12</v>
      </c>
      <c r="G15" s="103">
        <v>687.4</v>
      </c>
      <c r="H15" s="103">
        <f>Table7[[#This Row],[Sample Wet Weight (g)]]-55.8</f>
        <v>631.6</v>
      </c>
      <c r="I15" s="103">
        <v>263.39999999999998</v>
      </c>
      <c r="J15" s="103">
        <f>Table7[[#This Row],[Sample Dry Weight (g) ]]-55.8</f>
        <v>207.59999999999997</v>
      </c>
      <c r="K15" s="103">
        <v>94.3</v>
      </c>
      <c r="L15" s="103">
        <f>((Table7[[#This Row],[Wet - Bag Weight (g) ]]-Table7[[#This Row],[Redry (post Mold Weight) (g) ]])/Table7[[#This Row],[Wet - Bag Weight (g) ]])*100</f>
        <v>85.069664344521854</v>
      </c>
      <c r="M15" s="103">
        <f>(Table7[[#This Row],[Redry (post Mold Weight) (g) ]]/1000)/0.0001</f>
        <v>942.99999999999989</v>
      </c>
      <c r="N15" s="103">
        <f>Table7[[#This Row],[Yield (kg/ha)]]*1.155</f>
        <v>1089.165</v>
      </c>
      <c r="O15" s="103">
        <f>Table7[[#This Row],[Yield @ 15% Moisture (kg/ha)]]/1000</f>
        <v>1.0891649999999999</v>
      </c>
      <c r="P15" s="170">
        <f>Table7[[#This Row],[Yield (kg/ha)]]/1000</f>
        <v>0.94299999999999984</v>
      </c>
      <c r="Q15" s="170" t="s">
        <v>707</v>
      </c>
      <c r="R15" s="170">
        <f>Table7[[#This Row],[Dry Yield (tons/ha)]]*(Table7[[#This Row],[%C]]/100)</f>
        <v>0.40086929999999993</v>
      </c>
      <c r="S15" s="170" t="s">
        <v>708</v>
      </c>
      <c r="T15" s="170">
        <f>Table7[[#This Row],[Dry Yield (tons/ha)]]*(Table7[[#This Row],[%N]]/100)</f>
        <v>4.3000799999999985E-2</v>
      </c>
      <c r="U15" s="170">
        <f>Table7[[#This Row],[Yield (kg/ha)]]*(Table7[[#This Row],[%N]]/100)</f>
        <v>43.000799999999991</v>
      </c>
      <c r="W15" s="181" t="s">
        <v>709</v>
      </c>
      <c r="X15" s="181" t="s">
        <v>586</v>
      </c>
      <c r="Y15" s="181" t="s">
        <v>672</v>
      </c>
      <c r="AC15" s="16"/>
      <c r="AD15" s="16"/>
      <c r="AE15" s="16"/>
      <c r="AF15" s="16"/>
      <c r="AG15" s="16"/>
      <c r="AH15" s="16"/>
      <c r="AI15" s="16"/>
      <c r="AK15" s="156" t="s">
        <v>676</v>
      </c>
      <c r="AL15" s="157">
        <v>5.4878699999999996E-2</v>
      </c>
      <c r="AM15" s="157">
        <v>7.0485258063891195E-3</v>
      </c>
      <c r="AN15" s="157">
        <v>4.2799200000000003E-2</v>
      </c>
      <c r="AO15" s="157">
        <v>2.232270899778972E-3</v>
      </c>
    </row>
    <row r="16" spans="1:41" ht="26">
      <c r="A16" s="261">
        <v>2021</v>
      </c>
      <c r="B16" s="262">
        <v>44370</v>
      </c>
      <c r="C16" s="261">
        <v>174</v>
      </c>
      <c r="D16" s="261" t="s">
        <v>300</v>
      </c>
      <c r="E16" s="261">
        <v>1</v>
      </c>
      <c r="F16" s="261">
        <v>13</v>
      </c>
      <c r="G16" s="261">
        <v>819.6</v>
      </c>
      <c r="H16" s="261">
        <f>Table7[[#This Row],[Sample Wet Weight (g)]]-55.8</f>
        <v>763.80000000000007</v>
      </c>
      <c r="I16" s="261">
        <v>319.7</v>
      </c>
      <c r="J16" s="261">
        <f>Table7[[#This Row],[Sample Dry Weight (g) ]]-55.8</f>
        <v>263.89999999999998</v>
      </c>
      <c r="K16" s="261">
        <v>90.4</v>
      </c>
      <c r="L16" s="261">
        <f>((Table7[[#This Row],[Wet - Bag Weight (g) ]]-Table7[[#This Row],[Redry (post Mold Weight) (g) ]])/Table7[[#This Row],[Wet - Bag Weight (g) ]])*100</f>
        <v>88.164440953129102</v>
      </c>
      <c r="M16" s="261">
        <f>(Table7[[#This Row],[Redry (post Mold Weight) (g) ]]/1000)/0.0001</f>
        <v>904</v>
      </c>
      <c r="N16" s="261">
        <f>Table7[[#This Row],[Yield (kg/ha)]]*1.155</f>
        <v>1044.1200000000001</v>
      </c>
      <c r="O16" s="261">
        <f>Table7[[#This Row],[Yield @ 15% Moisture (kg/ha)]]/1000</f>
        <v>1.0441200000000002</v>
      </c>
      <c r="P16" s="263">
        <f>Table7[[#This Row],[Yield (kg/ha)]]/1000</f>
        <v>0.90400000000000003</v>
      </c>
      <c r="Q16" s="263" t="s">
        <v>710</v>
      </c>
      <c r="R16" s="263">
        <f>Table7[[#This Row],[Dry Yield (tons/ha)]]*(Table7[[#This Row],[%C]]/100)</f>
        <v>0.35518159999999999</v>
      </c>
      <c r="S16" s="263" t="s">
        <v>711</v>
      </c>
      <c r="T16" s="263">
        <f>Table7[[#This Row],[Dry Yield (tons/ha)]]*(Table7[[#This Row],[%N]]/100)</f>
        <v>3.4713599999999997E-2</v>
      </c>
      <c r="U16" s="263">
        <f>Table7[[#This Row],[Yield (kg/ha)]]*(Table7[[#This Row],[%N]]/100)</f>
        <v>34.7136</v>
      </c>
      <c r="W16" s="156">
        <f>AVERAGE(R5:R9,R11:R13)</f>
        <v>0.527975525</v>
      </c>
      <c r="X16" s="156">
        <f>STDEV(R5:R9,R11:R13)</f>
        <v>4.6250341239938063E-2</v>
      </c>
      <c r="Y16" s="156" t="s">
        <v>675</v>
      </c>
      <c r="AC16" s="16"/>
      <c r="AD16" s="16"/>
      <c r="AE16" s="16"/>
      <c r="AF16" s="16"/>
      <c r="AG16" s="16"/>
      <c r="AH16" s="16"/>
      <c r="AI16" s="16"/>
      <c r="AK16" s="156" t="s">
        <v>677</v>
      </c>
      <c r="AL16" s="157">
        <v>4.8472033333333331E-2</v>
      </c>
      <c r="AM16" s="157">
        <v>4.9879266719750357E-3</v>
      </c>
      <c r="AN16" s="157">
        <v>2.881383333333333E-2</v>
      </c>
      <c r="AO16" s="157">
        <v>3.8153454736541649E-3</v>
      </c>
    </row>
    <row r="17" spans="1:41" ht="26">
      <c r="A17" s="64">
        <v>2021</v>
      </c>
      <c r="B17" s="65">
        <v>44370</v>
      </c>
      <c r="C17" s="64">
        <v>174</v>
      </c>
      <c r="D17" s="64" t="s">
        <v>301</v>
      </c>
      <c r="E17" s="64">
        <v>2</v>
      </c>
      <c r="F17" s="64">
        <v>1</v>
      </c>
      <c r="G17" s="64">
        <v>1372.6</v>
      </c>
      <c r="H17" s="64">
        <f>Table7[[#This Row],[Sample Wet Weight (g)]]-55.8</f>
        <v>1316.8</v>
      </c>
      <c r="I17" s="64">
        <v>595.6</v>
      </c>
      <c r="J17" s="64">
        <f>Table7[[#This Row],[Sample Dry Weight (g) ]]-55.8</f>
        <v>539.80000000000007</v>
      </c>
      <c r="K17" s="64">
        <v>123.4</v>
      </c>
      <c r="L17" s="64">
        <f>((Table7[[#This Row],[Wet - Bag Weight (g) ]]-Table7[[#This Row],[Redry (post Mold Weight) (g) ]])/Table7[[#This Row],[Wet - Bag Weight (g) ]])*100</f>
        <v>90.628797083839601</v>
      </c>
      <c r="M17" s="64">
        <f>(Table7[[#This Row],[Redry (post Mold Weight) (g) ]]/1000)/0.0001</f>
        <v>1234</v>
      </c>
      <c r="N17" s="64">
        <f>Table7[[#This Row],[Yield (kg/ha)]]*1.155</f>
        <v>1425.27</v>
      </c>
      <c r="O17" s="64">
        <f>Table7[[#This Row],[Yield @ 15% Moisture (kg/ha)]]/1000</f>
        <v>1.42527</v>
      </c>
      <c r="P17" s="64">
        <f>Table7[[#This Row],[Yield (kg/ha)]]/1000</f>
        <v>1.234</v>
      </c>
      <c r="Q17" s="64" t="s">
        <v>712</v>
      </c>
      <c r="R17" s="64">
        <f>Table7[[#This Row],[Dry Yield (tons/ha)]]*(Table7[[#This Row],[%C]]/100)</f>
        <v>0.50717400000000001</v>
      </c>
      <c r="S17" s="64" t="s">
        <v>713</v>
      </c>
      <c r="T17" s="64">
        <f>Table7[[#This Row],[Dry Yield (tons/ha)]]*(Table7[[#This Row],[%N]]/100)</f>
        <v>5.269179999999999E-2</v>
      </c>
      <c r="U17" s="64">
        <f>Table7[[#This Row],[Yield (kg/ha)]]*(Table7[[#This Row],[%N]]/100)</f>
        <v>52.691799999999994</v>
      </c>
      <c r="W17" s="156">
        <f>AVERAGE(R14:R16)</f>
        <v>0.38141206666666666</v>
      </c>
      <c r="X17" s="156">
        <f>STDEV(R14:R16)</f>
        <v>2.3584931633637014E-2</v>
      </c>
      <c r="Y17" s="156" t="s">
        <v>682</v>
      </c>
      <c r="AC17" s="16"/>
      <c r="AD17" s="16"/>
      <c r="AE17" s="16"/>
      <c r="AF17" s="16"/>
      <c r="AG17" s="16"/>
      <c r="AH17" s="16"/>
      <c r="AI17" s="16"/>
      <c r="AK17" s="156" t="s">
        <v>678</v>
      </c>
      <c r="AL17" s="157">
        <v>4.7512266666666664E-2</v>
      </c>
      <c r="AM17" s="157">
        <v>6.0240503550352221E-3</v>
      </c>
      <c r="AN17" s="157">
        <v>3.0917966666666668E-2</v>
      </c>
      <c r="AO17" s="157">
        <v>7.8831655204831021E-3</v>
      </c>
    </row>
    <row r="18" spans="1:41" ht="26">
      <c r="A18" s="149">
        <v>2021</v>
      </c>
      <c r="B18" s="150">
        <v>44370</v>
      </c>
      <c r="C18" s="149">
        <v>174</v>
      </c>
      <c r="D18" s="149" t="s">
        <v>302</v>
      </c>
      <c r="E18" s="149">
        <v>2</v>
      </c>
      <c r="F18" s="149">
        <v>2</v>
      </c>
      <c r="G18" s="149">
        <v>1177</v>
      </c>
      <c r="H18" s="149">
        <f>Table7[[#This Row],[Sample Wet Weight (g)]]-55.8</f>
        <v>1121.2</v>
      </c>
      <c r="I18" s="149">
        <v>522.6</v>
      </c>
      <c r="J18" s="149">
        <f>Table7[[#This Row],[Sample Dry Weight (g) ]]-55.8</f>
        <v>466.8</v>
      </c>
      <c r="K18" s="149" t="s">
        <v>693</v>
      </c>
      <c r="L18" s="101" t="s">
        <v>693</v>
      </c>
      <c r="M18" s="101" t="s">
        <v>693</v>
      </c>
      <c r="N18" s="101" t="s">
        <v>693</v>
      </c>
      <c r="O18" s="101" t="s">
        <v>694</v>
      </c>
      <c r="P18" s="101" t="s">
        <v>694</v>
      </c>
      <c r="Q18" s="101" t="s">
        <v>694</v>
      </c>
      <c r="R18" s="101" t="e">
        <f>Table7[[#This Row],[Dry Yield (tons/ha)]]*(Table7[[#This Row],[%C]]/100)</f>
        <v>#VALUE!</v>
      </c>
      <c r="S18" s="101" t="s">
        <v>694</v>
      </c>
      <c r="T18" s="172" t="e">
        <f>Table7[[#This Row],[Dry Yield (tons/ha)]]*(Table7[[#This Row],[%N]]/100)</f>
        <v>#VALUE!</v>
      </c>
      <c r="U18" s="172" t="e">
        <f>Table7[[#This Row],[Yield (kg/ha)]]*(Table7[[#This Row],[%N]]/100)</f>
        <v>#VALUE!</v>
      </c>
      <c r="W18" s="156">
        <f>AVERAGE(R17,R19:R21,R23:R25)</f>
        <v>0.51804351428571427</v>
      </c>
      <c r="X18" s="156">
        <f>STDEV(R17,R19:R21,R23:R25)</f>
        <v>8.2732573022388067E-2</v>
      </c>
      <c r="Y18" s="156" t="s">
        <v>676</v>
      </c>
      <c r="AC18" s="16"/>
      <c r="AD18" s="16"/>
      <c r="AE18" s="16"/>
      <c r="AF18" s="16"/>
      <c r="AG18" s="16"/>
      <c r="AH18" s="16"/>
      <c r="AI18" s="16"/>
    </row>
    <row r="19" spans="1:41" ht="26">
      <c r="A19" s="64">
        <v>2021</v>
      </c>
      <c r="B19" s="65">
        <v>44370</v>
      </c>
      <c r="C19" s="64">
        <v>174</v>
      </c>
      <c r="D19" s="64" t="s">
        <v>303</v>
      </c>
      <c r="E19" s="64">
        <v>2</v>
      </c>
      <c r="F19" s="64">
        <v>3</v>
      </c>
      <c r="G19" s="64">
        <v>1807.5</v>
      </c>
      <c r="H19" s="64">
        <f>Table7[[#This Row],[Sample Wet Weight (g)]]-55.8</f>
        <v>1751.7</v>
      </c>
      <c r="I19" s="64">
        <v>763.3</v>
      </c>
      <c r="J19" s="64">
        <f>Table7[[#This Row],[Sample Dry Weight (g) ]]-55.8</f>
        <v>707.5</v>
      </c>
      <c r="K19" s="64">
        <v>91.5</v>
      </c>
      <c r="L19" s="64">
        <f>((Table7[[#This Row],[Wet - Bag Weight (g) ]]-Table7[[#This Row],[Redry (post Mold Weight) (g) ]])/Table7[[#This Row],[Wet - Bag Weight (g) ]])*100</f>
        <v>94.776502825826341</v>
      </c>
      <c r="M19" s="64">
        <f>(Table7[[#This Row],[Redry (post Mold Weight) (g) ]]/1000)/0.0001</f>
        <v>914.99999999999989</v>
      </c>
      <c r="N19" s="64">
        <f>Table7[[#This Row],[Yield (kg/ha)]]*1.155</f>
        <v>1056.8249999999998</v>
      </c>
      <c r="O19" s="64">
        <f>Table7[[#This Row],[Yield @ 15% Moisture (kg/ha)]]/1000</f>
        <v>1.0568249999999999</v>
      </c>
      <c r="P19" s="64">
        <f>Table7[[#This Row],[Yield (kg/ha)]]/1000</f>
        <v>0.91499999999999992</v>
      </c>
      <c r="Q19" s="64" t="s">
        <v>714</v>
      </c>
      <c r="R19" s="64">
        <f>Table7[[#This Row],[Dry Yield (tons/ha)]]*(Table7[[#This Row],[%C]]/100)</f>
        <v>0.37441799999999997</v>
      </c>
      <c r="S19" s="64" t="s">
        <v>715</v>
      </c>
      <c r="T19" s="64">
        <f>Table7[[#This Row],[Dry Yield (tons/ha)]]*(Table7[[#This Row],[%N]]/100)</f>
        <v>4.3462499999999994E-2</v>
      </c>
      <c r="U19" s="64">
        <f>Table7[[#This Row],[Yield (kg/ha)]]*(Table7[[#This Row],[%N]]/100)</f>
        <v>43.462499999999999</v>
      </c>
      <c r="V19" s="63"/>
      <c r="W19" s="156">
        <f>AVERAGE(R26:R28)</f>
        <v>0.4134337666666667</v>
      </c>
      <c r="X19" s="156">
        <f>STDEV(R26:R28)</f>
        <v>2.8928399063261966E-2</v>
      </c>
      <c r="Y19" s="156" t="s">
        <v>690</v>
      </c>
    </row>
    <row r="20" spans="1:41" ht="26">
      <c r="A20" s="167">
        <v>2021</v>
      </c>
      <c r="B20" s="168">
        <v>44370</v>
      </c>
      <c r="C20" s="167">
        <v>174</v>
      </c>
      <c r="D20" s="167" t="s">
        <v>304</v>
      </c>
      <c r="E20" s="167">
        <v>2</v>
      </c>
      <c r="F20" s="167">
        <v>4</v>
      </c>
      <c r="G20" s="167">
        <v>1400.1</v>
      </c>
      <c r="H20" s="167">
        <f>Table7[[#This Row],[Sample Wet Weight (g)]]-55.8</f>
        <v>1344.3</v>
      </c>
      <c r="I20" s="167">
        <v>607.20000000000005</v>
      </c>
      <c r="J20" s="167">
        <f>Table7[[#This Row],[Sample Dry Weight (g) ]]-55.8</f>
        <v>551.40000000000009</v>
      </c>
      <c r="K20" s="167">
        <v>136.5</v>
      </c>
      <c r="L20" s="167">
        <f>((Table7[[#This Row],[Wet - Bag Weight (g) ]]-Table7[[#This Row],[Redry (post Mold Weight) (g) ]])/Table7[[#This Row],[Wet - Bag Weight (g) ]])*100</f>
        <v>89.846016514170941</v>
      </c>
      <c r="M20" s="167">
        <f>(Table7[[#This Row],[Redry (post Mold Weight) (g) ]]/1000)/0.0001</f>
        <v>1365</v>
      </c>
      <c r="N20" s="167">
        <f>Table7[[#This Row],[Yield (kg/ha)]]*1.155</f>
        <v>1576.575</v>
      </c>
      <c r="O20" s="167">
        <f>Table7[[#This Row],[Yield @ 15% Moisture (kg/ha)]]/1000</f>
        <v>1.5765750000000001</v>
      </c>
      <c r="P20" s="169">
        <f>Table7[[#This Row],[Yield (kg/ha)]]/1000</f>
        <v>1.365</v>
      </c>
      <c r="Q20" s="169" t="s">
        <v>716</v>
      </c>
      <c r="R20" s="169">
        <f>Table7[[#This Row],[Dry Yield (tons/ha)]]*(Table7[[#This Row],[%C]]/100)</f>
        <v>0.53671800000000003</v>
      </c>
      <c r="S20" s="169" t="s">
        <v>717</v>
      </c>
      <c r="T20" s="169">
        <f>Table7[[#This Row],[Dry Yield (tons/ha)]]*(Table7[[#This Row],[%N]]/100)</f>
        <v>5.1323999999999995E-2</v>
      </c>
      <c r="U20" s="169">
        <f>Table7[[#This Row],[Yield (kg/ha)]]*(Table7[[#This Row],[%N]]/100)</f>
        <v>51.323999999999991</v>
      </c>
      <c r="V20" s="63"/>
      <c r="W20" s="156">
        <f>AVERAGE(R29:R37)</f>
        <v>0.48066722222222225</v>
      </c>
      <c r="X20" s="156">
        <f>STDEV(R29:R37)</f>
        <v>4.8584834076586508E-2</v>
      </c>
      <c r="Y20" s="156" t="s">
        <v>677</v>
      </c>
    </row>
    <row r="21" spans="1:41" ht="26">
      <c r="A21" s="64">
        <v>2021</v>
      </c>
      <c r="B21" s="65">
        <v>44370</v>
      </c>
      <c r="C21" s="64">
        <v>174</v>
      </c>
      <c r="D21" s="64" t="s">
        <v>305</v>
      </c>
      <c r="E21" s="64">
        <v>2</v>
      </c>
      <c r="F21" s="64">
        <v>5</v>
      </c>
      <c r="G21" s="64">
        <v>1365.1</v>
      </c>
      <c r="H21" s="64">
        <f>Table7[[#This Row],[Sample Wet Weight (g)]]-55.8</f>
        <v>1309.3</v>
      </c>
      <c r="I21" s="64">
        <v>543.20000000000005</v>
      </c>
      <c r="J21" s="64">
        <f>Table7[[#This Row],[Sample Dry Weight (g) ]]-55.8</f>
        <v>487.40000000000003</v>
      </c>
      <c r="K21" s="64">
        <v>148.1</v>
      </c>
      <c r="L21" s="64">
        <f>((Table7[[#This Row],[Wet - Bag Weight (g) ]]-Table7[[#This Row],[Redry (post Mold Weight) (g) ]])/Table7[[#This Row],[Wet - Bag Weight (g) ]])*100</f>
        <v>88.688612235545719</v>
      </c>
      <c r="M21" s="64">
        <f>(Table7[[#This Row],[Redry (post Mold Weight) (g) ]]/1000)/0.0001</f>
        <v>1480.9999999999998</v>
      </c>
      <c r="N21" s="64">
        <f>Table7[[#This Row],[Yield (kg/ha)]]*1.155</f>
        <v>1710.5549999999998</v>
      </c>
      <c r="O21" s="64">
        <f>Table7[[#This Row],[Yield @ 15% Moisture (kg/ha)]]/1000</f>
        <v>1.7105549999999998</v>
      </c>
      <c r="P21" s="64">
        <f>Table7[[#This Row],[Yield (kg/ha)]]/1000</f>
        <v>1.4809999999999999</v>
      </c>
      <c r="Q21" s="64" t="s">
        <v>718</v>
      </c>
      <c r="R21" s="64">
        <f>Table7[[#This Row],[Dry Yield (tons/ha)]]*(Table7[[#This Row],[%C]]/100)</f>
        <v>0.63075789999999998</v>
      </c>
      <c r="S21" s="64" t="s">
        <v>719</v>
      </c>
      <c r="T21" s="64">
        <f>Table7[[#This Row],[Dry Yield (tons/ha)]]*(Table7[[#This Row],[%N]]/100)</f>
        <v>6.2053900000000002E-2</v>
      </c>
      <c r="U21" s="64">
        <f>Table7[[#This Row],[Yield (kg/ha)]]*(Table7[[#This Row],[%N]]/100)</f>
        <v>62.053899999999999</v>
      </c>
      <c r="V21" s="63"/>
      <c r="W21" s="156">
        <f>AVERAGE(R38:R40)</f>
        <v>0.35020306666666667</v>
      </c>
      <c r="X21" s="156">
        <f>STDEV(R38:R40)</f>
        <v>2.5375208078227313E-2</v>
      </c>
      <c r="Y21" s="156" t="s">
        <v>695</v>
      </c>
    </row>
    <row r="22" spans="1:41" ht="26">
      <c r="A22" s="149">
        <v>2021</v>
      </c>
      <c r="B22" s="150">
        <v>44370</v>
      </c>
      <c r="C22" s="149">
        <v>174</v>
      </c>
      <c r="D22" s="149" t="s">
        <v>306</v>
      </c>
      <c r="E22" s="149">
        <v>2</v>
      </c>
      <c r="F22" s="149">
        <v>6</v>
      </c>
      <c r="G22" s="149">
        <v>1343.6</v>
      </c>
      <c r="H22" s="149">
        <f>Table7[[#This Row],[Sample Wet Weight (g)]]-55.8</f>
        <v>1287.8</v>
      </c>
      <c r="I22" s="149">
        <v>586.9</v>
      </c>
      <c r="J22" s="149">
        <f>Table7[[#This Row],[Sample Dry Weight (g) ]]-55.8</f>
        <v>531.1</v>
      </c>
      <c r="K22" s="149" t="s">
        <v>693</v>
      </c>
      <c r="L22" s="101" t="s">
        <v>693</v>
      </c>
      <c r="M22" s="101" t="s">
        <v>693</v>
      </c>
      <c r="N22" s="101" t="s">
        <v>693</v>
      </c>
      <c r="O22" s="171" t="s">
        <v>694</v>
      </c>
      <c r="P22" s="171" t="s">
        <v>694</v>
      </c>
      <c r="Q22" s="101" t="s">
        <v>694</v>
      </c>
      <c r="R22" s="101" t="e">
        <f>Table7[[#This Row],[Dry Yield (tons/ha)]]*(Table7[[#This Row],[%C]]/100)</f>
        <v>#VALUE!</v>
      </c>
      <c r="S22" s="101" t="s">
        <v>694</v>
      </c>
      <c r="T22" s="172" t="e">
        <f>Table7[[#This Row],[Dry Yield (tons/ha)]]*(Table7[[#This Row],[%N]]/100)</f>
        <v>#VALUE!</v>
      </c>
      <c r="U22" s="172" t="e">
        <f>Table7[[#This Row],[Yield (kg/ha)]]*(Table7[[#This Row],[%N]]/100)</f>
        <v>#VALUE!</v>
      </c>
      <c r="V22" s="63"/>
      <c r="W22" s="156">
        <f>AVERAGE(R41:R49)</f>
        <v>0.50526615555555543</v>
      </c>
      <c r="X22" s="156">
        <f>STDEV(R41:R49)</f>
        <v>7.07733430015519E-2</v>
      </c>
      <c r="Y22" s="156" t="s">
        <v>678</v>
      </c>
    </row>
    <row r="23" spans="1:41" ht="26">
      <c r="A23" s="64">
        <v>2021</v>
      </c>
      <c r="B23" s="65">
        <v>44370</v>
      </c>
      <c r="C23" s="64">
        <v>174</v>
      </c>
      <c r="D23" s="64" t="s">
        <v>307</v>
      </c>
      <c r="E23" s="64">
        <v>2</v>
      </c>
      <c r="F23" s="64">
        <v>7</v>
      </c>
      <c r="G23" s="64">
        <v>1607.6</v>
      </c>
      <c r="H23" s="64">
        <f>Table7[[#This Row],[Sample Wet Weight (g)]]-55.8</f>
        <v>1551.8</v>
      </c>
      <c r="I23" s="64">
        <v>763.1</v>
      </c>
      <c r="J23" s="64">
        <f>Table7[[#This Row],[Sample Dry Weight (g) ]]-55.8</f>
        <v>707.30000000000007</v>
      </c>
      <c r="K23" s="64">
        <v>142.1</v>
      </c>
      <c r="L23" s="64">
        <f>((Table7[[#This Row],[Wet - Bag Weight (g) ]]-Table7[[#This Row],[Redry (post Mold Weight) (g) ]])/Table7[[#This Row],[Wet - Bag Weight (g) ]])*100</f>
        <v>90.842892125273877</v>
      </c>
      <c r="M23" s="64">
        <f>(Table7[[#This Row],[Redry (post Mold Weight) (g) ]]/1000)/0.0001</f>
        <v>1421</v>
      </c>
      <c r="N23" s="64">
        <f>Table7[[#This Row],[Yield (kg/ha)]]*1.155</f>
        <v>1641.2550000000001</v>
      </c>
      <c r="O23" s="64">
        <f>Table7[[#This Row],[Yield @ 15% Moisture (kg/ha)]]/1000</f>
        <v>1.6412550000000001</v>
      </c>
      <c r="P23" s="64">
        <f>Table7[[#This Row],[Yield (kg/ha)]]/1000</f>
        <v>1.421</v>
      </c>
      <c r="Q23" s="64" t="s">
        <v>720</v>
      </c>
      <c r="R23" s="64">
        <f>Table7[[#This Row],[Dry Yield (tons/ha)]]*(Table7[[#This Row],[%C]]/100)</f>
        <v>0.59127810000000003</v>
      </c>
      <c r="S23" s="64" t="s">
        <v>721</v>
      </c>
      <c r="T23" s="64">
        <f>Table7[[#This Row],[Dry Yield (tons/ha)]]*(Table7[[#This Row],[%N]]/100)</f>
        <v>6.4655500000000005E-2</v>
      </c>
      <c r="U23" s="64">
        <f>Table7[[#This Row],[Yield (kg/ha)]]*(Table7[[#This Row],[%N]]/100)</f>
        <v>64.655500000000004</v>
      </c>
      <c r="V23" s="63"/>
      <c r="W23" s="156" t="e" vm="1">
        <f ca="1">AVERAGE(R50:R52)</f>
        <v>#VALUE!</v>
      </c>
      <c r="X23" s="156" t="e" vm="1">
        <f ca="1">STDEV(R50:R52)</f>
        <v>#VALUE!</v>
      </c>
      <c r="Y23" s="156" t="s">
        <v>700</v>
      </c>
    </row>
    <row r="24" spans="1:41" ht="23.5">
      <c r="A24" s="167">
        <v>2021</v>
      </c>
      <c r="B24" s="168">
        <v>44370</v>
      </c>
      <c r="C24" s="167">
        <v>174</v>
      </c>
      <c r="D24" s="167" t="s">
        <v>308</v>
      </c>
      <c r="E24" s="167">
        <v>2</v>
      </c>
      <c r="F24" s="167">
        <v>8</v>
      </c>
      <c r="G24" s="167">
        <v>1369.7</v>
      </c>
      <c r="H24" s="167">
        <f>Table7[[#This Row],[Sample Wet Weight (g)]]-55.8</f>
        <v>1313.9</v>
      </c>
      <c r="I24" s="167">
        <v>652</v>
      </c>
      <c r="J24" s="167">
        <f>Table7[[#This Row],[Sample Dry Weight (g) ]]-55.8</f>
        <v>596.20000000000005</v>
      </c>
      <c r="K24" s="167">
        <v>123.1</v>
      </c>
      <c r="L24" s="167">
        <f>((Table7[[#This Row],[Wet - Bag Weight (g) ]]-Table7[[#This Row],[Redry (post Mold Weight) (g) ]])/Table7[[#This Row],[Wet - Bag Weight (g) ]])*100</f>
        <v>90.630946038511311</v>
      </c>
      <c r="M24" s="167">
        <f>(Table7[[#This Row],[Redry (post Mold Weight) (g) ]]/1000)/0.0001</f>
        <v>1231</v>
      </c>
      <c r="N24" s="167">
        <f>Table7[[#This Row],[Yield (kg/ha)]]*1.155</f>
        <v>1421.8050000000001</v>
      </c>
      <c r="O24" s="167">
        <f>Table7[[#This Row],[Yield @ 15% Moisture (kg/ha)]]/1000</f>
        <v>1.421805</v>
      </c>
      <c r="P24" s="169">
        <f>Table7[[#This Row],[Yield (kg/ha)]]/1000</f>
        <v>1.2310000000000001</v>
      </c>
      <c r="Q24" s="169" t="s">
        <v>722</v>
      </c>
      <c r="R24" s="169">
        <f>Table7[[#This Row],[Dry Yield (tons/ha)]]*(Table7[[#This Row],[%C]]/100)</f>
        <v>0.51098810000000006</v>
      </c>
      <c r="S24" s="169" t="s">
        <v>689</v>
      </c>
      <c r="T24" s="169">
        <f>Table7[[#This Row],[Dry Yield (tons/ha)]]*(Table7[[#This Row],[%N]]/100)</f>
        <v>5.6256700000000007E-2</v>
      </c>
      <c r="U24" s="169">
        <f>Table7[[#This Row],[Yield (kg/ha)]]*(Table7[[#This Row],[%N]]/100)</f>
        <v>56.256700000000002</v>
      </c>
      <c r="V24" s="63"/>
      <c r="W24" s="14"/>
      <c r="X24" s="14"/>
      <c r="Y24" s="14"/>
    </row>
    <row r="25" spans="1:41" ht="23.5">
      <c r="A25" s="64">
        <v>2021</v>
      </c>
      <c r="B25" s="65">
        <v>44370</v>
      </c>
      <c r="C25" s="64">
        <v>174</v>
      </c>
      <c r="D25" s="64" t="s">
        <v>309</v>
      </c>
      <c r="E25" s="64">
        <v>2</v>
      </c>
      <c r="F25" s="64">
        <v>9</v>
      </c>
      <c r="G25" s="64">
        <v>1373.5</v>
      </c>
      <c r="H25" s="64">
        <f>Table7[[#This Row],[Sample Wet Weight (g)]]-55.8</f>
        <v>1317.7</v>
      </c>
      <c r="I25" s="64">
        <v>647.20000000000005</v>
      </c>
      <c r="J25" s="64">
        <f>Table7[[#This Row],[Sample Dry Weight (g) ]]-55.8</f>
        <v>591.40000000000009</v>
      </c>
      <c r="K25" s="64">
        <v>116.5</v>
      </c>
      <c r="L25" s="64">
        <f>((Table7[[#This Row],[Wet - Bag Weight (g) ]]-Table7[[#This Row],[Redry (post Mold Weight) (g) ]])/Table7[[#This Row],[Wet - Bag Weight (g) ]])*100</f>
        <v>91.158837368141448</v>
      </c>
      <c r="M25" s="64">
        <f>(Table7[[#This Row],[Redry (post Mold Weight) (g) ]]/1000)/0.0001</f>
        <v>1165</v>
      </c>
      <c r="N25" s="64">
        <f>Table7[[#This Row],[Yield (kg/ha)]]*1.155</f>
        <v>1345.575</v>
      </c>
      <c r="O25" s="64">
        <f>Table7[[#This Row],[Yield @ 15% Moisture (kg/ha)]]/1000</f>
        <v>1.345575</v>
      </c>
      <c r="P25" s="64">
        <f>Table7[[#This Row],[Yield (kg/ha)]]/1000</f>
        <v>1.165</v>
      </c>
      <c r="Q25" s="64" t="s">
        <v>723</v>
      </c>
      <c r="R25" s="64">
        <f>Table7[[#This Row],[Dry Yield (tons/ha)]]*(Table7[[#This Row],[%C]]/100)</f>
        <v>0.47497050000000002</v>
      </c>
      <c r="S25" s="64" t="s">
        <v>724</v>
      </c>
      <c r="T25" s="64">
        <f>Table7[[#This Row],[Dry Yield (tons/ha)]]*(Table7[[#This Row],[%N]]/100)</f>
        <v>5.3706500000000004E-2</v>
      </c>
      <c r="U25" s="64">
        <f>Table7[[#This Row],[Yield (kg/ha)]]*(Table7[[#This Row],[%N]]/100)</f>
        <v>53.706500000000005</v>
      </c>
      <c r="V25" s="63"/>
      <c r="W25" s="14"/>
      <c r="X25" s="14"/>
      <c r="Y25" s="14"/>
    </row>
    <row r="26" spans="1:41" ht="26">
      <c r="A26" s="103">
        <v>2021</v>
      </c>
      <c r="B26" s="104">
        <v>44370</v>
      </c>
      <c r="C26" s="103">
        <v>174</v>
      </c>
      <c r="D26" s="103" t="s">
        <v>310</v>
      </c>
      <c r="E26" s="103">
        <v>2</v>
      </c>
      <c r="F26" s="103">
        <v>11</v>
      </c>
      <c r="G26" s="103">
        <v>628.1</v>
      </c>
      <c r="H26" s="103">
        <f>Table7[[#This Row],[Sample Wet Weight (g)]]-55.8</f>
        <v>572.30000000000007</v>
      </c>
      <c r="I26" s="103">
        <v>202</v>
      </c>
      <c r="J26" s="103">
        <f>Table7[[#This Row],[Sample Dry Weight (g) ]]-55.8</f>
        <v>146.19999999999999</v>
      </c>
      <c r="K26" s="103">
        <v>93.5</v>
      </c>
      <c r="L26" s="103">
        <f>((Table7[[#This Row],[Wet - Bag Weight (g) ]]-Table7[[#This Row],[Redry (post Mold Weight) (g) ]])/Table7[[#This Row],[Wet - Bag Weight (g) ]])*100</f>
        <v>83.662414817403459</v>
      </c>
      <c r="M26" s="103">
        <f>(Table7[[#This Row],[Redry (post Mold Weight) (g) ]]/1000)/0.0001</f>
        <v>935</v>
      </c>
      <c r="N26" s="103">
        <f>Table7[[#This Row],[Yield (kg/ha)]]*1.155</f>
        <v>1079.925</v>
      </c>
      <c r="O26" s="103">
        <f>Table7[[#This Row],[Yield @ 15% Moisture (kg/ha)]]/1000</f>
        <v>1.079925</v>
      </c>
      <c r="P26" s="170">
        <f>Table7[[#This Row],[Yield (kg/ha)]]/1000</f>
        <v>0.93500000000000005</v>
      </c>
      <c r="Q26" s="170" t="s">
        <v>722</v>
      </c>
      <c r="R26" s="170">
        <f>Table7[[#This Row],[Dry Yield (tons/ha)]]*(Table7[[#This Row],[%C]]/100)</f>
        <v>0.38811849999999998</v>
      </c>
      <c r="S26" s="170" t="s">
        <v>725</v>
      </c>
      <c r="T26" s="170">
        <f>Table7[[#This Row],[Dry Yield (tons/ha)]]*(Table7[[#This Row],[%N]]/100)</f>
        <v>4.2355500000000004E-2</v>
      </c>
      <c r="U26" s="170">
        <f>Table7[[#This Row],[Yield (kg/ha)]]*(Table7[[#This Row],[%N]]/100)</f>
        <v>42.355499999999999</v>
      </c>
      <c r="W26" s="181" t="s">
        <v>726</v>
      </c>
      <c r="X26" s="181" t="s">
        <v>586</v>
      </c>
      <c r="Y26" s="181" t="s">
        <v>672</v>
      </c>
    </row>
    <row r="27" spans="1:41" ht="26">
      <c r="A27" s="103">
        <v>2021</v>
      </c>
      <c r="B27" s="104">
        <v>44370</v>
      </c>
      <c r="C27" s="103">
        <v>174</v>
      </c>
      <c r="D27" s="103" t="s">
        <v>311</v>
      </c>
      <c r="E27" s="103">
        <v>2</v>
      </c>
      <c r="F27" s="103">
        <v>12</v>
      </c>
      <c r="G27" s="103">
        <v>763.1</v>
      </c>
      <c r="H27" s="103">
        <f>Table7[[#This Row],[Sample Wet Weight (g)]]-55.8</f>
        <v>707.30000000000007</v>
      </c>
      <c r="I27" s="103">
        <v>344.2</v>
      </c>
      <c r="J27" s="103">
        <f>Table7[[#This Row],[Sample Dry Weight (g) ]]-55.8</f>
        <v>288.39999999999998</v>
      </c>
      <c r="K27" s="103">
        <v>100.3</v>
      </c>
      <c r="L27" s="103">
        <f>((Table7[[#This Row],[Wet - Bag Weight (g) ]]-Table7[[#This Row],[Redry (post Mold Weight) (g) ]])/Table7[[#This Row],[Wet - Bag Weight (g) ]])*100</f>
        <v>85.819312879966077</v>
      </c>
      <c r="M27" s="103">
        <f>(Table7[[#This Row],[Redry (post Mold Weight) (g) ]]/1000)/0.0001</f>
        <v>1003</v>
      </c>
      <c r="N27" s="103">
        <f>Table7[[#This Row],[Yield (kg/ha)]]*1.155</f>
        <v>1158.4649999999999</v>
      </c>
      <c r="O27" s="103">
        <f>Table7[[#This Row],[Yield @ 15% Moisture (kg/ha)]]/1000</f>
        <v>1.1584649999999999</v>
      </c>
      <c r="P27" s="170">
        <f>Table7[[#This Row],[Yield (kg/ha)]]/1000</f>
        <v>1.0029999999999999</v>
      </c>
      <c r="Q27" s="170" t="s">
        <v>727</v>
      </c>
      <c r="R27" s="170">
        <f>Table7[[#This Row],[Dry Yield (tons/ha)]]*(Table7[[#This Row],[%C]]/100)</f>
        <v>0.40721799999999997</v>
      </c>
      <c r="S27" s="170" t="s">
        <v>728</v>
      </c>
      <c r="T27" s="170">
        <f>Table7[[#This Row],[Dry Yield (tons/ha)]]*(Table7[[#This Row],[%N]]/100)</f>
        <v>4.0822099999999993E-2</v>
      </c>
      <c r="U27" s="170">
        <f>Table7[[#This Row],[Yield (kg/ha)]]*(Table7[[#This Row],[%N]]/100)</f>
        <v>40.822099999999999</v>
      </c>
      <c r="V27" s="63"/>
      <c r="W27" s="156">
        <f>AVERAGE(T5:T9,T11:T13)</f>
        <v>5.6922025000000001E-2</v>
      </c>
      <c r="X27" s="156">
        <f>STDEV(T5:T9,T11:T13)</f>
        <v>6.7740977391299697E-3</v>
      </c>
      <c r="Y27" s="156" t="s">
        <v>675</v>
      </c>
    </row>
    <row r="28" spans="1:41" ht="26">
      <c r="A28" s="103">
        <v>2021</v>
      </c>
      <c r="B28" s="104">
        <v>44370</v>
      </c>
      <c r="C28" s="103">
        <v>174</v>
      </c>
      <c r="D28" s="103" t="s">
        <v>312</v>
      </c>
      <c r="E28" s="103">
        <v>2</v>
      </c>
      <c r="F28" s="103">
        <v>13</v>
      </c>
      <c r="G28" s="103">
        <v>731.5</v>
      </c>
      <c r="H28" s="103">
        <f>Table7[[#This Row],[Sample Wet Weight (g)]]-55.8</f>
        <v>675.7</v>
      </c>
      <c r="I28" s="103">
        <v>254.8</v>
      </c>
      <c r="J28" s="103">
        <f>Table7[[#This Row],[Sample Dry Weight (g) ]]-55.8</f>
        <v>199</v>
      </c>
      <c r="K28" s="103">
        <v>106.4</v>
      </c>
      <c r="L28" s="103">
        <f>((Table7[[#This Row],[Wet - Bag Weight (g) ]]-Table7[[#This Row],[Redry (post Mold Weight) (g) ]])/Table7[[#This Row],[Wet - Bag Weight (g) ]])*100</f>
        <v>84.253366878792363</v>
      </c>
      <c r="M28" s="103">
        <f>(Table7[[#This Row],[Redry (post Mold Weight) (g) ]]/1000)/0.0001</f>
        <v>1064</v>
      </c>
      <c r="N28" s="103">
        <f>Table7[[#This Row],[Yield (kg/ha)]]*1.155</f>
        <v>1228.92</v>
      </c>
      <c r="O28" s="103">
        <f>Table7[[#This Row],[Yield @ 15% Moisture (kg/ha)]]/1000</f>
        <v>1.22892</v>
      </c>
      <c r="P28" s="170">
        <f>Table7[[#This Row],[Yield (kg/ha)]]/1000</f>
        <v>1.0640000000000001</v>
      </c>
      <c r="Q28" s="170" t="s">
        <v>729</v>
      </c>
      <c r="R28" s="170">
        <f>Table7[[#This Row],[Dry Yield (tons/ha)]]*(Table7[[#This Row],[%C]]/100)</f>
        <v>0.44496480000000005</v>
      </c>
      <c r="S28" s="170" t="s">
        <v>730</v>
      </c>
      <c r="T28" s="170">
        <f>Table7[[#This Row],[Dry Yield (tons/ha)]]*(Table7[[#This Row],[%N]]/100)</f>
        <v>4.5220000000000003E-2</v>
      </c>
      <c r="U28" s="170">
        <f>Table7[[#This Row],[Yield (kg/ha)]]*(Table7[[#This Row],[%N]]/100)</f>
        <v>45.220000000000006</v>
      </c>
      <c r="V28" s="63"/>
      <c r="W28" s="156">
        <f>AVERAGE(T14:T16)</f>
        <v>3.8552199999999995E-2</v>
      </c>
      <c r="X28" s="156">
        <f>STDEV(T14:T16)</f>
        <v>4.177139686436156E-3</v>
      </c>
      <c r="Y28" s="156" t="s">
        <v>682</v>
      </c>
    </row>
    <row r="29" spans="1:41" ht="26">
      <c r="A29" s="64">
        <v>2021</v>
      </c>
      <c r="B29" s="65">
        <v>44370</v>
      </c>
      <c r="C29" s="64">
        <v>174</v>
      </c>
      <c r="D29" s="64" t="s">
        <v>313</v>
      </c>
      <c r="E29" s="64">
        <v>3</v>
      </c>
      <c r="F29" s="64">
        <v>1</v>
      </c>
      <c r="G29" s="64">
        <v>1488.2</v>
      </c>
      <c r="H29" s="64">
        <f>Table7[[#This Row],[Sample Wet Weight (g)]]-55.8</f>
        <v>1432.4</v>
      </c>
      <c r="I29" s="64">
        <v>619.5</v>
      </c>
      <c r="J29" s="64">
        <f>Table7[[#This Row],[Sample Dry Weight (g) ]]-55.8</f>
        <v>563.70000000000005</v>
      </c>
      <c r="K29" s="64">
        <v>138</v>
      </c>
      <c r="L29" s="64">
        <f>((Table7[[#This Row],[Wet - Bag Weight (g) ]]-Table7[[#This Row],[Redry (post Mold Weight) (g) ]])/Table7[[#This Row],[Wet - Bag Weight (g) ]])*100</f>
        <v>90.365819603462711</v>
      </c>
      <c r="M29" s="64">
        <f>(Table7[[#This Row],[Redry (post Mold Weight) (g) ]]/1000)/0.0001</f>
        <v>1380</v>
      </c>
      <c r="N29" s="64">
        <f>Table7[[#This Row],[Yield (kg/ha)]]*1.155</f>
        <v>1593.9</v>
      </c>
      <c r="O29" s="64">
        <f>Table7[[#This Row],[Yield @ 15% Moisture (kg/ha)]]/1000</f>
        <v>1.5939000000000001</v>
      </c>
      <c r="P29" s="64">
        <f>Table7[[#This Row],[Yield (kg/ha)]]/1000</f>
        <v>1.38</v>
      </c>
      <c r="Q29" s="64" t="s">
        <v>731</v>
      </c>
      <c r="R29" s="64">
        <f>Table7[[#This Row],[Dry Yield (tons/ha)]]*(Table7[[#This Row],[%C]]/100)</f>
        <v>0.51956999999999998</v>
      </c>
      <c r="S29" s="64" t="s">
        <v>732</v>
      </c>
      <c r="T29" s="64">
        <f>Table7[[#This Row],[Dry Yield (tons/ha)]]*(Table7[[#This Row],[%N]]/100)</f>
        <v>5.5475999999999984E-2</v>
      </c>
      <c r="U29" s="64">
        <f>Table7[[#This Row],[Yield (kg/ha)]]*(Table7[[#This Row],[%N]]/100)</f>
        <v>55.475999999999992</v>
      </c>
      <c r="W29" s="156">
        <f>AVERAGE(T17,T19:T21,T23:T25)</f>
        <v>5.4878699999999996E-2</v>
      </c>
      <c r="X29" s="156">
        <f>STDEV(T17,T19:T21,T23:T25)</f>
        <v>7.0485258063891195E-3</v>
      </c>
      <c r="Y29" s="156" t="s">
        <v>676</v>
      </c>
    </row>
    <row r="30" spans="1:41" ht="26">
      <c r="A30" s="167">
        <v>2021</v>
      </c>
      <c r="B30" s="167">
        <v>44370</v>
      </c>
      <c r="C30" s="167">
        <v>174</v>
      </c>
      <c r="D30" s="167" t="s">
        <v>314</v>
      </c>
      <c r="E30" s="167">
        <v>3</v>
      </c>
      <c r="F30" s="167">
        <v>2</v>
      </c>
      <c r="G30" s="167">
        <v>938.9</v>
      </c>
      <c r="H30" s="167">
        <f>Table7[[#This Row],[Sample Wet Weight (g)]]-55.8</f>
        <v>883.1</v>
      </c>
      <c r="I30" s="167">
        <v>294.3</v>
      </c>
      <c r="J30" s="167">
        <f>Table7[[#This Row],[Sample Dry Weight (g) ]]-55.8</f>
        <v>238.5</v>
      </c>
      <c r="K30" s="167">
        <v>132.5</v>
      </c>
      <c r="L30" s="167">
        <f>((Table7[[#This Row],[Wet - Bag Weight (g) ]]-Table7[[#This Row],[Redry (post Mold Weight) (g) ]])/Table7[[#This Row],[Wet - Bag Weight (g) ]])*100</f>
        <v>84.996036688936698</v>
      </c>
      <c r="M30" s="167">
        <f>(Table7[[#This Row],[Redry (post Mold Weight) (g) ]]/1000)/0.0001</f>
        <v>1325</v>
      </c>
      <c r="N30" s="167">
        <f>Table7[[#This Row],[Yield (kg/ha)]]*1.155</f>
        <v>1530.375</v>
      </c>
      <c r="O30" s="167">
        <f>Table7[[#This Row],[Yield @ 15% Moisture (kg/ha)]]/1000</f>
        <v>1.530375</v>
      </c>
      <c r="P30" s="167">
        <f>Table7[[#This Row],[Yield (kg/ha)]]/1000</f>
        <v>1.325</v>
      </c>
      <c r="Q30" s="169" t="s">
        <v>733</v>
      </c>
      <c r="R30" s="169">
        <f>Table7[[#This Row],[Dry Yield (tons/ha)]]*(Table7[[#This Row],[%C]]/100)</f>
        <v>0.54126249999999998</v>
      </c>
      <c r="S30" s="169" t="s">
        <v>734</v>
      </c>
      <c r="T30" s="169">
        <f>Table7[[#This Row],[Dry Yield (tons/ha)]]*(Table7[[#This Row],[%N]]/100)</f>
        <v>4.6242499999999999E-2</v>
      </c>
      <c r="U30" s="169">
        <f>Table7[[#This Row],[Yield (kg/ha)]]*(Table7[[#This Row],[%N]]/100)</f>
        <v>46.2425</v>
      </c>
      <c r="V30" s="63"/>
      <c r="W30" s="156">
        <f>AVERAGE(T26:T28)</f>
        <v>4.2799200000000003E-2</v>
      </c>
      <c r="X30" s="156">
        <f>STDEV(T26:T28)</f>
        <v>2.232270899778972E-3</v>
      </c>
      <c r="Y30" s="156" t="s">
        <v>690</v>
      </c>
    </row>
    <row r="31" spans="1:41" ht="26">
      <c r="A31" s="167">
        <v>2021</v>
      </c>
      <c r="B31" s="167">
        <v>44370</v>
      </c>
      <c r="C31" s="167">
        <v>174</v>
      </c>
      <c r="D31" s="167" t="s">
        <v>315</v>
      </c>
      <c r="E31" s="167">
        <v>3</v>
      </c>
      <c r="F31" s="167">
        <v>3</v>
      </c>
      <c r="G31" s="167">
        <v>789.3</v>
      </c>
      <c r="H31" s="167">
        <f>Table7[[#This Row],[Sample Wet Weight (g)]]-55.8</f>
        <v>733.5</v>
      </c>
      <c r="I31" s="167">
        <v>309.3</v>
      </c>
      <c r="J31" s="167">
        <f>Table7[[#This Row],[Sample Dry Weight (g) ]]-55.8</f>
        <v>253.5</v>
      </c>
      <c r="K31" s="167">
        <v>107.3</v>
      </c>
      <c r="L31" s="167">
        <f>((Table7[[#This Row],[Wet - Bag Weight (g) ]]-Table7[[#This Row],[Redry (post Mold Weight) (g) ]])/Table7[[#This Row],[Wet - Bag Weight (g) ]])*100</f>
        <v>85.371506475800956</v>
      </c>
      <c r="M31" s="167">
        <f>(Table7[[#This Row],[Redry (post Mold Weight) (g) ]]/1000)/0.0001</f>
        <v>1072.9999999999998</v>
      </c>
      <c r="N31" s="167">
        <f>Table7[[#This Row],[Yield (kg/ha)]]*1.155</f>
        <v>1239.3149999999998</v>
      </c>
      <c r="O31" s="167">
        <f>Table7[[#This Row],[Yield @ 15% Moisture (kg/ha)]]/1000</f>
        <v>1.2393149999999997</v>
      </c>
      <c r="P31" s="167">
        <f>Table7[[#This Row],[Yield (kg/ha)]]/1000</f>
        <v>1.0729999999999997</v>
      </c>
      <c r="Q31" s="169" t="s">
        <v>735</v>
      </c>
      <c r="R31" s="169">
        <f>Table7[[#This Row],[Dry Yield (tons/ha)]]*(Table7[[#This Row],[%C]]/100)</f>
        <v>0.45259139999999992</v>
      </c>
      <c r="S31" s="169" t="s">
        <v>708</v>
      </c>
      <c r="T31" s="169">
        <f>Table7[[#This Row],[Dry Yield (tons/ha)]]*(Table7[[#This Row],[%N]]/100)</f>
        <v>4.8928799999999981E-2</v>
      </c>
      <c r="U31" s="169">
        <f>Table7[[#This Row],[Yield (kg/ha)]]*(Table7[[#This Row],[%N]]/100)</f>
        <v>48.928799999999981</v>
      </c>
      <c r="V31" s="63"/>
      <c r="W31" s="156">
        <f>AVERAGE(T29:T37)</f>
        <v>4.8472033333333331E-2</v>
      </c>
      <c r="X31" s="156">
        <f>STDEV(T29:T37)</f>
        <v>4.9879266719750357E-3</v>
      </c>
      <c r="Y31" s="156" t="s">
        <v>677</v>
      </c>
    </row>
    <row r="32" spans="1:41" ht="26">
      <c r="A32" s="167">
        <v>2021</v>
      </c>
      <c r="B32" s="167">
        <v>44370</v>
      </c>
      <c r="C32" s="167">
        <v>174</v>
      </c>
      <c r="D32" s="167" t="s">
        <v>316</v>
      </c>
      <c r="E32" s="167">
        <v>3</v>
      </c>
      <c r="F32" s="167">
        <v>4</v>
      </c>
      <c r="G32" s="167">
        <v>671.9</v>
      </c>
      <c r="H32" s="167">
        <f>Table7[[#This Row],[Sample Wet Weight (g)]]-55.8</f>
        <v>616.1</v>
      </c>
      <c r="I32" s="167">
        <v>218</v>
      </c>
      <c r="J32" s="167">
        <f>Table7[[#This Row],[Sample Dry Weight (g) ]]-55.8</f>
        <v>162.19999999999999</v>
      </c>
      <c r="K32" s="167">
        <v>99.2</v>
      </c>
      <c r="L32" s="167">
        <f>((Table7[[#This Row],[Wet - Bag Weight (g) ]]-Table7[[#This Row],[Redry (post Mold Weight) (g) ]])/Table7[[#This Row],[Wet - Bag Weight (g) ]])*100</f>
        <v>83.898717740626523</v>
      </c>
      <c r="M32" s="167">
        <f>(Table7[[#This Row],[Redry (post Mold Weight) (g) ]]/1000)/0.0001</f>
        <v>991.99999999999989</v>
      </c>
      <c r="N32" s="167">
        <f>Table7[[#This Row],[Yield (kg/ha)]]*1.155</f>
        <v>1145.76</v>
      </c>
      <c r="O32" s="167">
        <f>Table7[[#This Row],[Yield @ 15% Moisture (kg/ha)]]/1000</f>
        <v>1.1457599999999999</v>
      </c>
      <c r="P32" s="167">
        <f>Table7[[#This Row],[Yield (kg/ha)]]/1000</f>
        <v>0.99199999999999988</v>
      </c>
      <c r="Q32" s="169" t="s">
        <v>736</v>
      </c>
      <c r="R32" s="169">
        <f>Table7[[#This Row],[Dry Yield (tons/ha)]]*(Table7[[#This Row],[%C]]/100)</f>
        <v>0.40781119999999998</v>
      </c>
      <c r="S32" s="169" t="s">
        <v>737</v>
      </c>
      <c r="T32" s="169">
        <f>Table7[[#This Row],[Dry Yield (tons/ha)]]*(Table7[[#This Row],[%N]]/100)</f>
        <v>4.1961600000000002E-2</v>
      </c>
      <c r="U32" s="169">
        <f>Table7[[#This Row],[Yield (kg/ha)]]*(Table7[[#This Row],[%N]]/100)</f>
        <v>41.961599999999997</v>
      </c>
      <c r="V32" s="63"/>
      <c r="W32" s="156">
        <f>AVERAGE(T38:T40)</f>
        <v>2.881383333333333E-2</v>
      </c>
      <c r="X32" s="156">
        <f>STDEV(T38:T40)</f>
        <v>3.8153454736541649E-3</v>
      </c>
      <c r="Y32" s="156" t="s">
        <v>695</v>
      </c>
    </row>
    <row r="33" spans="1:25" ht="26">
      <c r="A33" s="167">
        <v>2021</v>
      </c>
      <c r="B33" s="167">
        <v>44370</v>
      </c>
      <c r="C33" s="167">
        <v>174</v>
      </c>
      <c r="D33" s="167" t="s">
        <v>317</v>
      </c>
      <c r="E33" s="167">
        <v>3</v>
      </c>
      <c r="F33" s="167">
        <v>5</v>
      </c>
      <c r="G33" s="167">
        <v>695.7</v>
      </c>
      <c r="H33" s="167">
        <f>Table7[[#This Row],[Sample Wet Weight (g)]]-55.8</f>
        <v>639.90000000000009</v>
      </c>
      <c r="I33" s="167">
        <v>189.6</v>
      </c>
      <c r="J33" s="167">
        <f>Table7[[#This Row],[Sample Dry Weight (g) ]]-55.8</f>
        <v>133.80000000000001</v>
      </c>
      <c r="K33" s="167">
        <v>115.5</v>
      </c>
      <c r="L33" s="167">
        <f>((Table7[[#This Row],[Wet - Bag Weight (g) ]]-Table7[[#This Row],[Redry (post Mold Weight) (g) ]])/Table7[[#This Row],[Wet - Bag Weight (g) ]])*100</f>
        <v>81.950304735114869</v>
      </c>
      <c r="M33" s="167">
        <f>(Table7[[#This Row],[Redry (post Mold Weight) (g) ]]/1000)/0.0001</f>
        <v>1155</v>
      </c>
      <c r="N33" s="167">
        <f>Table7[[#This Row],[Yield (kg/ha)]]*1.155</f>
        <v>1334.0250000000001</v>
      </c>
      <c r="O33" s="167">
        <f>Table7[[#This Row],[Yield @ 15% Moisture (kg/ha)]]/1000</f>
        <v>1.334025</v>
      </c>
      <c r="P33" s="167">
        <f>Table7[[#This Row],[Yield (kg/ha)]]/1000</f>
        <v>1.155</v>
      </c>
      <c r="Q33" s="169" t="s">
        <v>738</v>
      </c>
      <c r="R33" s="169">
        <f>Table7[[#This Row],[Dry Yield (tons/ha)]]*(Table7[[#This Row],[%C]]/100)</f>
        <v>0.48590850000000002</v>
      </c>
      <c r="S33" s="169" t="s">
        <v>706</v>
      </c>
      <c r="T33" s="169">
        <f>Table7[[#This Row],[Dry Yield (tons/ha)]]*(Table7[[#This Row],[%N]]/100)</f>
        <v>4.5506999999999999E-2</v>
      </c>
      <c r="U33" s="169">
        <f>Table7[[#This Row],[Yield (kg/ha)]]*(Table7[[#This Row],[%N]]/100)</f>
        <v>45.506999999999998</v>
      </c>
      <c r="V33" s="63"/>
      <c r="W33" s="156">
        <f>AVERAGE(T41:T49)</f>
        <v>4.7512266666666664E-2</v>
      </c>
      <c r="X33" s="156">
        <f>STDEV(T41:T49)</f>
        <v>6.0240503550352221E-3</v>
      </c>
      <c r="Y33" s="156" t="s">
        <v>678</v>
      </c>
    </row>
    <row r="34" spans="1:25" ht="26">
      <c r="A34" s="167">
        <v>2021</v>
      </c>
      <c r="B34" s="167">
        <v>44370</v>
      </c>
      <c r="C34" s="167">
        <v>174</v>
      </c>
      <c r="D34" s="167" t="s">
        <v>318</v>
      </c>
      <c r="E34" s="167">
        <v>3</v>
      </c>
      <c r="F34" s="167">
        <v>6</v>
      </c>
      <c r="G34" s="167">
        <v>886.9</v>
      </c>
      <c r="H34" s="167">
        <f>Table7[[#This Row],[Sample Wet Weight (g)]]-55.8</f>
        <v>831.1</v>
      </c>
      <c r="I34" s="167">
        <v>259.8</v>
      </c>
      <c r="J34" s="167">
        <f>Table7[[#This Row],[Sample Dry Weight (g) ]]-55.8</f>
        <v>204</v>
      </c>
      <c r="K34" s="167">
        <v>129.19999999999999</v>
      </c>
      <c r="L34" s="167">
        <f>((Table7[[#This Row],[Wet - Bag Weight (g) ]]-Table7[[#This Row],[Redry (post Mold Weight) (g) ]])/Table7[[#This Row],[Wet - Bag Weight (g) ]])*100</f>
        <v>84.454337624834565</v>
      </c>
      <c r="M34" s="167">
        <f>(Table7[[#This Row],[Redry (post Mold Weight) (g) ]]/1000)/0.0001</f>
        <v>1291.9999999999998</v>
      </c>
      <c r="N34" s="167">
        <f>Table7[[#This Row],[Yield (kg/ha)]]*1.155</f>
        <v>1492.2599999999998</v>
      </c>
      <c r="O34" s="167">
        <f>Table7[[#This Row],[Yield @ 15% Moisture (kg/ha)]]/1000</f>
        <v>1.4922599999999997</v>
      </c>
      <c r="P34" s="167">
        <f>Table7[[#This Row],[Yield (kg/ha)]]/1000</f>
        <v>1.2919999999999998</v>
      </c>
      <c r="Q34" s="169" t="s">
        <v>739</v>
      </c>
      <c r="R34" s="169">
        <f>Table7[[#This Row],[Dry Yield (tons/ha)]]*(Table7[[#This Row],[%C]]/100)</f>
        <v>0.54419039999999985</v>
      </c>
      <c r="S34" s="169" t="s">
        <v>740</v>
      </c>
      <c r="T34" s="169">
        <f>Table7[[#This Row],[Dry Yield (tons/ha)]]*(Table7[[#This Row],[%N]]/100)</f>
        <v>5.4393199999999989E-2</v>
      </c>
      <c r="U34" s="169">
        <f>Table7[[#This Row],[Yield (kg/ha)]]*(Table7[[#This Row],[%N]]/100)</f>
        <v>54.393199999999986</v>
      </c>
      <c r="V34" s="63"/>
      <c r="W34" s="156" t="e" vm="1">
        <f ca="1">AVERAGE(T50:T52)</f>
        <v>#VALUE!</v>
      </c>
      <c r="X34" s="156" t="e" vm="1">
        <f ca="1">STDEV(T50:T52)</f>
        <v>#VALUE!</v>
      </c>
      <c r="Y34" s="156" t="s">
        <v>700</v>
      </c>
    </row>
    <row r="35" spans="1:25" ht="23.5">
      <c r="A35" s="167">
        <v>2021</v>
      </c>
      <c r="B35" s="167">
        <v>44370</v>
      </c>
      <c r="C35" s="167">
        <v>174</v>
      </c>
      <c r="D35" s="167" t="s">
        <v>319</v>
      </c>
      <c r="E35" s="167">
        <v>3</v>
      </c>
      <c r="F35" s="167">
        <v>7</v>
      </c>
      <c r="G35" s="167">
        <v>713.3</v>
      </c>
      <c r="H35" s="167">
        <f>Table7[[#This Row],[Sample Wet Weight (g)]]-55.8</f>
        <v>657.5</v>
      </c>
      <c r="I35" s="167">
        <v>205.2</v>
      </c>
      <c r="J35" s="167">
        <f>Table7[[#This Row],[Sample Dry Weight (g) ]]-55.8</f>
        <v>149.39999999999998</v>
      </c>
      <c r="K35" s="167">
        <v>115.5</v>
      </c>
      <c r="L35" s="167">
        <f>((Table7[[#This Row],[Wet - Bag Weight (g) ]]-Table7[[#This Row],[Redry (post Mold Weight) (g) ]])/Table7[[#This Row],[Wet - Bag Weight (g) ]])*100</f>
        <v>82.433460076045634</v>
      </c>
      <c r="M35" s="167">
        <f>(Table7[[#This Row],[Redry (post Mold Weight) (g) ]]/1000)/0.0001</f>
        <v>1155</v>
      </c>
      <c r="N35" s="167">
        <f>Table7[[#This Row],[Yield (kg/ha)]]*1.155</f>
        <v>1334.0250000000001</v>
      </c>
      <c r="O35" s="167">
        <f>Table7[[#This Row],[Yield @ 15% Moisture (kg/ha)]]/1000</f>
        <v>1.334025</v>
      </c>
      <c r="P35" s="167">
        <f>Table7[[#This Row],[Yield (kg/ha)]]/1000</f>
        <v>1.155</v>
      </c>
      <c r="Q35" s="169" t="s">
        <v>741</v>
      </c>
      <c r="R35" s="169">
        <f>Table7[[#This Row],[Dry Yield (tons/ha)]]*(Table7[[#This Row],[%C]]/100)</f>
        <v>0.4854465</v>
      </c>
      <c r="S35" s="169" t="s">
        <v>742</v>
      </c>
      <c r="T35" s="169">
        <f>Table7[[#This Row],[Dry Yield (tons/ha)]]*(Table7[[#This Row],[%N]]/100)</f>
        <v>5.2205999999999995E-2</v>
      </c>
      <c r="U35" s="169">
        <f>Table7[[#This Row],[Yield (kg/ha)]]*(Table7[[#This Row],[%N]]/100)</f>
        <v>52.205999999999996</v>
      </c>
      <c r="V35" s="63"/>
    </row>
    <row r="36" spans="1:25" ht="23.5">
      <c r="A36" s="167">
        <v>2021</v>
      </c>
      <c r="B36" s="167">
        <v>44370</v>
      </c>
      <c r="C36" s="167">
        <v>174</v>
      </c>
      <c r="D36" s="167" t="s">
        <v>320</v>
      </c>
      <c r="E36" s="167">
        <v>3</v>
      </c>
      <c r="F36" s="167">
        <v>8</v>
      </c>
      <c r="G36" s="167">
        <v>849.2</v>
      </c>
      <c r="H36" s="167">
        <f>Table7[[#This Row],[Sample Wet Weight (g)]]-55.8</f>
        <v>793.40000000000009</v>
      </c>
      <c r="I36" s="167">
        <v>337</v>
      </c>
      <c r="J36" s="167">
        <f>Table7[[#This Row],[Sample Dry Weight (g) ]]-55.8</f>
        <v>281.2</v>
      </c>
      <c r="K36" s="167">
        <v>103.7</v>
      </c>
      <c r="L36" s="167">
        <f>((Table7[[#This Row],[Wet - Bag Weight (g) ]]-Table7[[#This Row],[Redry (post Mold Weight) (g) ]])/Table7[[#This Row],[Wet - Bag Weight (g) ]])*100</f>
        <v>86.929669775649103</v>
      </c>
      <c r="M36" s="167">
        <f>(Table7[[#This Row],[Redry (post Mold Weight) (g) ]]/1000)/0.0001</f>
        <v>1037</v>
      </c>
      <c r="N36" s="167">
        <f>Table7[[#This Row],[Yield (kg/ha)]]*1.155</f>
        <v>1197.7350000000001</v>
      </c>
      <c r="O36" s="167">
        <f>Table7[[#This Row],[Yield @ 15% Moisture (kg/ha)]]/1000</f>
        <v>1.1977350000000002</v>
      </c>
      <c r="P36" s="167">
        <f>Table7[[#This Row],[Yield (kg/ha)]]/1000</f>
        <v>1.0369999999999999</v>
      </c>
      <c r="Q36" s="169" t="s">
        <v>743</v>
      </c>
      <c r="R36" s="169">
        <f>Table7[[#This Row],[Dry Yield (tons/ha)]]*(Table7[[#This Row],[%C]]/100)</f>
        <v>0.42319970000000001</v>
      </c>
      <c r="S36" s="169" t="s">
        <v>744</v>
      </c>
      <c r="T36" s="169">
        <f>Table7[[#This Row],[Dry Yield (tons/ha)]]*(Table7[[#This Row],[%N]]/100)</f>
        <v>4.1894799999999996E-2</v>
      </c>
      <c r="U36" s="169">
        <f>Table7[[#This Row],[Yield (kg/ha)]]*(Table7[[#This Row],[%N]]/100)</f>
        <v>41.894799999999996</v>
      </c>
      <c r="V36" s="63"/>
      <c r="W36" t="s">
        <v>745</v>
      </c>
    </row>
    <row r="37" spans="1:25" ht="26">
      <c r="A37" s="64">
        <v>2021</v>
      </c>
      <c r="B37" s="65">
        <v>44370</v>
      </c>
      <c r="C37" s="64">
        <v>174</v>
      </c>
      <c r="D37" s="64" t="s">
        <v>321</v>
      </c>
      <c r="E37" s="64">
        <v>3</v>
      </c>
      <c r="F37" s="64">
        <v>9</v>
      </c>
      <c r="G37" s="64">
        <v>637.5</v>
      </c>
      <c r="H37" s="64">
        <f>Table7[[#This Row],[Sample Wet Weight (g)]]-55.8</f>
        <v>581.70000000000005</v>
      </c>
      <c r="I37" s="64">
        <v>158.80000000000001</v>
      </c>
      <c r="J37" s="64">
        <f>Table7[[#This Row],[Sample Dry Weight (g) ]]-55.8</f>
        <v>103.00000000000001</v>
      </c>
      <c r="K37" s="64">
        <v>110.8</v>
      </c>
      <c r="L37" s="64">
        <f>((Table7[[#This Row],[Wet - Bag Weight (g) ]]-Table7[[#This Row],[Redry (post Mold Weight) (g) ]])/Table7[[#This Row],[Wet - Bag Weight (g) ]])*100</f>
        <v>80.952380952380949</v>
      </c>
      <c r="M37" s="64">
        <f>(Table7[[#This Row],[Redry (post Mold Weight) (g) ]]/1000)/0.0001</f>
        <v>1108</v>
      </c>
      <c r="N37" s="64">
        <f>Table7[[#This Row],[Yield (kg/ha)]]*1.155</f>
        <v>1279.74</v>
      </c>
      <c r="O37" s="64">
        <f>Table7[[#This Row],[Yield @ 15% Moisture (kg/ha)]]/1000</f>
        <v>1.2797400000000001</v>
      </c>
      <c r="P37" s="64">
        <f>Table7[[#This Row],[Yield (kg/ha)]]/1000</f>
        <v>1.1080000000000001</v>
      </c>
      <c r="Q37" s="64" t="s">
        <v>746</v>
      </c>
      <c r="R37" s="64">
        <f>Table7[[#This Row],[Dry Yield (tons/ha)]]*(Table7[[#This Row],[%C]]/100)</f>
        <v>0.46602480000000007</v>
      </c>
      <c r="S37" s="64" t="s">
        <v>747</v>
      </c>
      <c r="T37" s="64">
        <f>Table7[[#This Row],[Dry Yield (tons/ha)]]*(Table7[[#This Row],[%N]]/100)</f>
        <v>4.9638400000000013E-2</v>
      </c>
      <c r="U37" s="64">
        <f>Table7[[#This Row],[Yield (kg/ha)]]*(Table7[[#This Row],[%N]]/100)</f>
        <v>49.638400000000004</v>
      </c>
      <c r="V37" s="63"/>
      <c r="W37" s="184" t="s">
        <v>670</v>
      </c>
      <c r="X37" s="184" t="s">
        <v>671</v>
      </c>
      <c r="Y37" s="184" t="s">
        <v>672</v>
      </c>
    </row>
    <row r="38" spans="1:25" ht="26">
      <c r="A38" s="103">
        <v>2021</v>
      </c>
      <c r="B38" s="104">
        <v>44370</v>
      </c>
      <c r="C38" s="103">
        <v>174</v>
      </c>
      <c r="D38" s="103" t="s">
        <v>322</v>
      </c>
      <c r="E38" s="103">
        <v>3</v>
      </c>
      <c r="F38" s="103">
        <v>11</v>
      </c>
      <c r="G38" s="103">
        <v>345.6</v>
      </c>
      <c r="H38" s="103">
        <f>Table7[[#This Row],[Sample Wet Weight (g)]]-55.8</f>
        <v>289.8</v>
      </c>
      <c r="I38" s="103">
        <v>117.5</v>
      </c>
      <c r="J38" s="103">
        <f>Table7[[#This Row],[Sample Dry Weight (g) ]]-55.8</f>
        <v>61.7</v>
      </c>
      <c r="K38" s="103">
        <v>89.8</v>
      </c>
      <c r="L38" s="103">
        <f>((Table7[[#This Row],[Wet - Bag Weight (g) ]]-Table7[[#This Row],[Redry (post Mold Weight) (g) ]])/Table7[[#This Row],[Wet - Bag Weight (g) ]])*100</f>
        <v>69.013112491373363</v>
      </c>
      <c r="M38" s="103">
        <f>(Table7[[#This Row],[Redry (post Mold Weight) (g) ]]/1000)/0.0001</f>
        <v>897.99999999999989</v>
      </c>
      <c r="N38" s="103">
        <f>Table7[[#This Row],[Yield (kg/ha)]]*1.155</f>
        <v>1037.1899999999998</v>
      </c>
      <c r="O38" s="103">
        <f>Table7[[#This Row],[Yield @ 15% Moisture (kg/ha)]]/1000</f>
        <v>1.0371899999999998</v>
      </c>
      <c r="P38" s="170">
        <f>Table7[[#This Row],[Yield (kg/ha)]]/1000</f>
        <v>0.89799999999999991</v>
      </c>
      <c r="Q38" s="170" t="s">
        <v>748</v>
      </c>
      <c r="R38" s="170">
        <f>Table7[[#This Row],[Dry Yield (tons/ha)]]*(Table7[[#This Row],[%C]]/100)</f>
        <v>0.3622532</v>
      </c>
      <c r="S38" s="170" t="s">
        <v>749</v>
      </c>
      <c r="T38" s="170">
        <f>Table7[[#This Row],[Dry Yield (tons/ha)]]*(Table7[[#This Row],[%N]]/100)</f>
        <v>2.8735999999999998E-2</v>
      </c>
      <c r="U38" s="170">
        <f>Table7[[#This Row],[Yield (kg/ha)]]*(Table7[[#This Row],[%N]]/100)</f>
        <v>28.735999999999997</v>
      </c>
      <c r="W38" s="156">
        <f>AVERAGE(P5:P9,P11:P13)</f>
        <v>1.3025</v>
      </c>
      <c r="X38" s="185">
        <f>STDEV(P5:P9,P11:P13)</f>
        <v>9.1337678033610176E-2</v>
      </c>
      <c r="Y38" s="156" t="s">
        <v>675</v>
      </c>
    </row>
    <row r="39" spans="1:25" ht="26">
      <c r="A39" s="103">
        <v>2021</v>
      </c>
      <c r="B39" s="104">
        <v>44370</v>
      </c>
      <c r="C39" s="103">
        <v>174</v>
      </c>
      <c r="D39" s="103" t="s">
        <v>323</v>
      </c>
      <c r="E39" s="103">
        <v>3</v>
      </c>
      <c r="F39" s="103">
        <v>12</v>
      </c>
      <c r="G39" s="103">
        <v>467.3</v>
      </c>
      <c r="H39" s="103">
        <f>Table7[[#This Row],[Sample Wet Weight (g)]]-55.8</f>
        <v>411.5</v>
      </c>
      <c r="I39" s="103">
        <v>155.1</v>
      </c>
      <c r="J39" s="103">
        <f>Table7[[#This Row],[Sample Dry Weight (g) ]]-55.8</f>
        <v>99.3</v>
      </c>
      <c r="K39" s="103">
        <v>89.5</v>
      </c>
      <c r="L39" s="103">
        <f>((Table7[[#This Row],[Wet - Bag Weight (g) ]]-Table7[[#This Row],[Redry (post Mold Weight) (g) ]])/Table7[[#This Row],[Wet - Bag Weight (g) ]])*100</f>
        <v>78.250303766707177</v>
      </c>
      <c r="M39" s="103">
        <f>(Table7[[#This Row],[Redry (post Mold Weight) (g) ]]/1000)/0.0001</f>
        <v>894.99999999999989</v>
      </c>
      <c r="N39" s="103">
        <f>Table7[[#This Row],[Yield (kg/ha)]]*1.155</f>
        <v>1033.7249999999999</v>
      </c>
      <c r="O39" s="103">
        <f>Table7[[#This Row],[Yield @ 15% Moisture (kg/ha)]]/1000</f>
        <v>1.033725</v>
      </c>
      <c r="P39" s="170">
        <f>Table7[[#This Row],[Yield (kg/ha)]]/1000</f>
        <v>0.89499999999999991</v>
      </c>
      <c r="Q39" s="170" t="s">
        <v>750</v>
      </c>
      <c r="R39" s="170">
        <f>Table7[[#This Row],[Dry Yield (tons/ha)]]*(Table7[[#This Row],[%C]]/100)</f>
        <v>0.36730799999999997</v>
      </c>
      <c r="S39" s="170" t="s">
        <v>751</v>
      </c>
      <c r="T39" s="170">
        <f>Table7[[#This Row],[Dry Yield (tons/ha)]]*(Table7[[#This Row],[%N]]/100)</f>
        <v>3.2667499999999995E-2</v>
      </c>
      <c r="U39" s="170">
        <f>Table7[[#This Row],[Yield (kg/ha)]]*(Table7[[#This Row],[%N]]/100)</f>
        <v>32.667499999999997</v>
      </c>
      <c r="W39" s="156">
        <f>AVERAGE(P14:P16)</f>
        <v>0.93666666666666654</v>
      </c>
      <c r="X39" s="185">
        <f>STDEV(P14:P16)</f>
        <v>3.0005555041247408E-2</v>
      </c>
      <c r="Y39" s="156" t="s">
        <v>682</v>
      </c>
    </row>
    <row r="40" spans="1:25" ht="26">
      <c r="A40" s="103">
        <v>2021</v>
      </c>
      <c r="B40" s="104">
        <v>44370</v>
      </c>
      <c r="C40" s="103">
        <v>174</v>
      </c>
      <c r="D40" s="103" t="s">
        <v>324</v>
      </c>
      <c r="E40" s="103">
        <v>3</v>
      </c>
      <c r="F40" s="103">
        <v>13</v>
      </c>
      <c r="G40" s="103">
        <v>342</v>
      </c>
      <c r="H40" s="103">
        <f>Table7[[#This Row],[Sample Wet Weight (g)]]-55.8</f>
        <v>286.2</v>
      </c>
      <c r="I40" s="103">
        <v>95.2</v>
      </c>
      <c r="J40" s="103">
        <f>Table7[[#This Row],[Sample Dry Weight (g) ]]-55.8</f>
        <v>39.400000000000006</v>
      </c>
      <c r="K40" s="103">
        <v>78</v>
      </c>
      <c r="L40" s="103">
        <f>((Table7[[#This Row],[Wet - Bag Weight (g) ]]-Table7[[#This Row],[Redry (post Mold Weight) (g) ]])/Table7[[#This Row],[Wet - Bag Weight (g) ]])*100</f>
        <v>72.746331236897277</v>
      </c>
      <c r="M40" s="103">
        <f>(Table7[[#This Row],[Redry (post Mold Weight) (g) ]]/1000)/0.0001</f>
        <v>780</v>
      </c>
      <c r="N40" s="103">
        <f>Table7[[#This Row],[Yield (kg/ha)]]*1.155</f>
        <v>900.9</v>
      </c>
      <c r="O40" s="103">
        <f>Table7[[#This Row],[Yield @ 15% Moisture (kg/ha)]]/1000</f>
        <v>0.90089999999999992</v>
      </c>
      <c r="P40" s="170">
        <f>Table7[[#This Row],[Yield (kg/ha)]]/1000</f>
        <v>0.78</v>
      </c>
      <c r="Q40" s="170" t="s">
        <v>752</v>
      </c>
      <c r="R40" s="170">
        <f>Table7[[#This Row],[Dry Yield (tons/ha)]]*(Table7[[#This Row],[%C]]/100)</f>
        <v>0.321048</v>
      </c>
      <c r="S40" s="170" t="s">
        <v>753</v>
      </c>
      <c r="T40" s="170">
        <f>Table7[[#This Row],[Dry Yield (tons/ha)]]*(Table7[[#This Row],[%N]]/100)</f>
        <v>2.5037999999999998E-2</v>
      </c>
      <c r="U40" s="170">
        <f>Table7[[#This Row],[Yield (kg/ha)]]*(Table7[[#This Row],[%N]]/100)</f>
        <v>25.037999999999997</v>
      </c>
      <c r="W40" s="156">
        <f>AVERAGE(P17,P19:P21,P23:P25)</f>
        <v>1.2588571428571431</v>
      </c>
      <c r="X40" s="185">
        <f>STDEV(P17,P19:P21,P23:P25)</f>
        <v>0.18944869892350483</v>
      </c>
      <c r="Y40" s="156" t="s">
        <v>676</v>
      </c>
    </row>
    <row r="41" spans="1:25" ht="26">
      <c r="A41" s="64">
        <v>2021</v>
      </c>
      <c r="B41" s="65">
        <v>44370</v>
      </c>
      <c r="C41" s="64">
        <v>174</v>
      </c>
      <c r="D41" s="64" t="s">
        <v>325</v>
      </c>
      <c r="E41" s="64">
        <v>4</v>
      </c>
      <c r="F41" s="64">
        <v>1</v>
      </c>
      <c r="G41" s="64">
        <v>996.6</v>
      </c>
      <c r="H41" s="64">
        <f>Table7[[#This Row],[Sample Wet Weight (g)]]-55.8</f>
        <v>940.80000000000007</v>
      </c>
      <c r="I41" s="64">
        <v>268</v>
      </c>
      <c r="J41" s="64">
        <f>Table7[[#This Row],[Sample Dry Weight (g) ]]-55.8</f>
        <v>212.2</v>
      </c>
      <c r="K41" s="64">
        <v>145</v>
      </c>
      <c r="L41" s="64">
        <f>((Table7[[#This Row],[Wet - Bag Weight (g) ]]-Table7[[#This Row],[Redry (post Mold Weight) (g) ]])/Table7[[#This Row],[Wet - Bag Weight (g) ]])*100</f>
        <v>84.5875850340136</v>
      </c>
      <c r="M41" s="64">
        <f>(Table7[[#This Row],[Redry (post Mold Weight) (g) ]]/1000)/0.0001</f>
        <v>1449.9999999999998</v>
      </c>
      <c r="N41" s="64">
        <f>Table7[[#This Row],[Yield (kg/ha)]]*1.155</f>
        <v>1674.7499999999998</v>
      </c>
      <c r="O41" s="64">
        <f>Table7[[#This Row],[Yield @ 15% Moisture (kg/ha)]]/1000</f>
        <v>1.6747499999999997</v>
      </c>
      <c r="P41" s="64">
        <f>Table7[[#This Row],[Yield (kg/ha)]]/1000</f>
        <v>1.4499999999999997</v>
      </c>
      <c r="Q41" s="64" t="s">
        <v>754</v>
      </c>
      <c r="R41" s="64">
        <f>Table7[[#This Row],[Dry Yield (tons/ha)]]*(Table7[[#This Row],[%C]]/100)</f>
        <v>0.59768999999999994</v>
      </c>
      <c r="S41" s="64" t="s">
        <v>755</v>
      </c>
      <c r="T41" s="64">
        <f>Table7[[#This Row],[Dry Yield (tons/ha)]]*(Table7[[#This Row],[%N]]/100)</f>
        <v>5.3649999999999996E-2</v>
      </c>
      <c r="U41" s="64">
        <f>Table7[[#This Row],[Yield (kg/ha)]]*(Table7[[#This Row],[%N]]/100)</f>
        <v>53.65</v>
      </c>
      <c r="W41" s="156">
        <f>AVERAGE(P26:P28)</f>
        <v>1.0006666666666666</v>
      </c>
      <c r="X41" s="185">
        <f>STDEV(P26:P28)</f>
        <v>6.4531645983450112E-2</v>
      </c>
      <c r="Y41" s="156" t="s">
        <v>690</v>
      </c>
    </row>
    <row r="42" spans="1:25" ht="26">
      <c r="A42" s="167">
        <v>2021</v>
      </c>
      <c r="B42" s="168">
        <v>44370</v>
      </c>
      <c r="C42" s="167">
        <v>174</v>
      </c>
      <c r="D42" s="167" t="s">
        <v>326</v>
      </c>
      <c r="E42" s="167">
        <v>4</v>
      </c>
      <c r="F42" s="167">
        <v>2</v>
      </c>
      <c r="G42" s="167">
        <v>505.9</v>
      </c>
      <c r="H42" s="167">
        <f>Table7[[#This Row],[Sample Wet Weight (g)]]-55.8</f>
        <v>450.09999999999997</v>
      </c>
      <c r="I42" s="167">
        <v>153.19999999999999</v>
      </c>
      <c r="J42" s="167">
        <f>Table7[[#This Row],[Sample Dry Weight (g) ]]-55.8</f>
        <v>97.399999999999991</v>
      </c>
      <c r="K42" s="167">
        <v>94.5</v>
      </c>
      <c r="L42" s="167">
        <f>((Table7[[#This Row],[Wet - Bag Weight (g) ]]-Table7[[#This Row],[Redry (post Mold Weight) (g) ]])/Table7[[#This Row],[Wet - Bag Weight (g) ]])*100</f>
        <v>79.004665629860028</v>
      </c>
      <c r="M42" s="167">
        <f>(Table7[[#This Row],[Redry (post Mold Weight) (g) ]]/1000)/0.0001</f>
        <v>945</v>
      </c>
      <c r="N42" s="167">
        <f>Table7[[#This Row],[Yield (kg/ha)]]*1.155</f>
        <v>1091.4750000000001</v>
      </c>
      <c r="O42" s="167">
        <f>Table7[[#This Row],[Yield @ 15% Moisture (kg/ha)]]/1000</f>
        <v>1.0914750000000002</v>
      </c>
      <c r="P42" s="169">
        <f>Table7[[#This Row],[Yield (kg/ha)]]/1000</f>
        <v>0.94499999999999995</v>
      </c>
      <c r="Q42" s="169" t="s">
        <v>756</v>
      </c>
      <c r="R42" s="169">
        <f>Table7[[#This Row],[Dry Yield (tons/ha)]]*(Table7[[#This Row],[%C]]/100)</f>
        <v>0.37610999999999994</v>
      </c>
      <c r="S42" s="169" t="s">
        <v>757</v>
      </c>
      <c r="T42" s="169">
        <f>Table7[[#This Row],[Dry Yield (tons/ha)]]*(Table7[[#This Row],[%N]]/100)</f>
        <v>3.4587E-2</v>
      </c>
      <c r="U42" s="169">
        <f>Table7[[#This Row],[Yield (kg/ha)]]*(Table7[[#This Row],[%N]]/100)</f>
        <v>34.587000000000003</v>
      </c>
      <c r="V42" s="63"/>
      <c r="W42" s="156">
        <f>AVERAGE(P29:P37)</f>
        <v>1.1685555555555556</v>
      </c>
      <c r="X42" s="185">
        <f>STDEV(P29:P37)</f>
        <v>0.13512319481783197</v>
      </c>
      <c r="Y42" s="156" t="s">
        <v>677</v>
      </c>
    </row>
    <row r="43" spans="1:25" ht="26">
      <c r="A43" s="167">
        <v>2021</v>
      </c>
      <c r="B43" s="168">
        <v>44370</v>
      </c>
      <c r="C43" s="167">
        <v>174</v>
      </c>
      <c r="D43" s="167" t="s">
        <v>327</v>
      </c>
      <c r="E43" s="167">
        <v>4</v>
      </c>
      <c r="F43" s="167">
        <v>3</v>
      </c>
      <c r="G43" s="167">
        <v>862</v>
      </c>
      <c r="H43" s="167">
        <f>Table7[[#This Row],[Sample Wet Weight (g)]]-55.8</f>
        <v>806.2</v>
      </c>
      <c r="I43" s="167">
        <v>272.39999999999998</v>
      </c>
      <c r="J43" s="167">
        <f>Table7[[#This Row],[Sample Dry Weight (g) ]]-55.8</f>
        <v>216.59999999999997</v>
      </c>
      <c r="K43" s="167">
        <v>126.1</v>
      </c>
      <c r="L43" s="167">
        <f>((Table7[[#This Row],[Wet - Bag Weight (g) ]]-Table7[[#This Row],[Redry (post Mold Weight) (g) ]])/Table7[[#This Row],[Wet - Bag Weight (g) ]])*100</f>
        <v>84.358719920615229</v>
      </c>
      <c r="M43" s="167">
        <f>(Table7[[#This Row],[Redry (post Mold Weight) (g) ]]/1000)/0.0001</f>
        <v>1260.9999999999998</v>
      </c>
      <c r="N43" s="167">
        <f>Table7[[#This Row],[Yield (kg/ha)]]*1.155</f>
        <v>1456.4549999999997</v>
      </c>
      <c r="O43" s="167">
        <f>Table7[[#This Row],[Yield @ 15% Moisture (kg/ha)]]/1000</f>
        <v>1.4564549999999996</v>
      </c>
      <c r="P43" s="169">
        <f>Table7[[#This Row],[Yield (kg/ha)]]/1000</f>
        <v>1.2609999999999997</v>
      </c>
      <c r="Q43" s="169" t="s">
        <v>758</v>
      </c>
      <c r="R43" s="169">
        <f>Table7[[#This Row],[Dry Yield (tons/ha)]]*(Table7[[#This Row],[%C]]/100)</f>
        <v>0.53806869999999984</v>
      </c>
      <c r="S43" s="169" t="s">
        <v>759</v>
      </c>
      <c r="T43" s="169">
        <f>Table7[[#This Row],[Dry Yield (tons/ha)]]*(Table7[[#This Row],[%N]]/100)</f>
        <v>5.2457599999999986E-2</v>
      </c>
      <c r="U43" s="169">
        <f>Table7[[#This Row],[Yield (kg/ha)]]*(Table7[[#This Row],[%N]]/100)</f>
        <v>52.457599999999985</v>
      </c>
      <c r="V43" s="63"/>
      <c r="W43" s="156">
        <f>AVERAGE(P38:P40)</f>
        <v>0.85766666666666647</v>
      </c>
      <c r="X43" s="185">
        <f>STDEV(P38:P40)</f>
        <v>6.7278030094030869E-2</v>
      </c>
      <c r="Y43" s="156" t="s">
        <v>695</v>
      </c>
    </row>
    <row r="44" spans="1:25" ht="26">
      <c r="A44" s="167">
        <v>2021</v>
      </c>
      <c r="B44" s="168">
        <v>44370</v>
      </c>
      <c r="C44" s="167">
        <v>174</v>
      </c>
      <c r="D44" s="167" t="s">
        <v>328</v>
      </c>
      <c r="E44" s="167">
        <v>4</v>
      </c>
      <c r="F44" s="167">
        <v>4</v>
      </c>
      <c r="G44" s="167">
        <v>787.6</v>
      </c>
      <c r="H44" s="167">
        <f>Table7[[#This Row],[Sample Wet Weight (g)]]-55.8</f>
        <v>731.80000000000007</v>
      </c>
      <c r="I44" s="167">
        <v>241.6</v>
      </c>
      <c r="J44" s="167">
        <f>Table7[[#This Row],[Sample Dry Weight (g) ]]-55.8</f>
        <v>185.8</v>
      </c>
      <c r="K44" s="167">
        <v>119.5</v>
      </c>
      <c r="L44" s="167">
        <f>((Table7[[#This Row],[Wet - Bag Weight (g) ]]-Table7[[#This Row],[Redry (post Mold Weight) (g) ]])/Table7[[#This Row],[Wet - Bag Weight (g) ]])*100</f>
        <v>83.670401749111775</v>
      </c>
      <c r="M44" s="167">
        <f>(Table7[[#This Row],[Redry (post Mold Weight) (g) ]]/1000)/0.0001</f>
        <v>1195</v>
      </c>
      <c r="N44" s="167">
        <f>Table7[[#This Row],[Yield (kg/ha)]]*1.155</f>
        <v>1380.2250000000001</v>
      </c>
      <c r="O44" s="167">
        <f>Table7[[#This Row],[Yield @ 15% Moisture (kg/ha)]]/1000</f>
        <v>1.380225</v>
      </c>
      <c r="P44" s="169">
        <f>Table7[[#This Row],[Yield (kg/ha)]]/1000</f>
        <v>1.1950000000000001</v>
      </c>
      <c r="Q44" s="169" t="s">
        <v>760</v>
      </c>
      <c r="R44" s="169">
        <f>Table7[[#This Row],[Dry Yield (tons/ha)]]*(Table7[[#This Row],[%C]]/100)</f>
        <v>0.50285600000000008</v>
      </c>
      <c r="S44" s="169" t="s">
        <v>706</v>
      </c>
      <c r="T44" s="169">
        <f>Table7[[#This Row],[Dry Yield (tons/ha)]]*(Table7[[#This Row],[%N]]/100)</f>
        <v>4.7083E-2</v>
      </c>
      <c r="U44" s="169">
        <f>Table7[[#This Row],[Yield (kg/ha)]]*(Table7[[#This Row],[%N]]/100)</f>
        <v>47.082999999999998</v>
      </c>
      <c r="V44" s="63"/>
      <c r="W44" s="156">
        <f>AVERAGE(P41:P49)</f>
        <v>1.2302222222222221</v>
      </c>
      <c r="X44" s="185">
        <f>STDEV(P41:P49)</f>
        <v>0.15353808792753834</v>
      </c>
      <c r="Y44" s="156" t="s">
        <v>678</v>
      </c>
    </row>
    <row r="45" spans="1:25" ht="26">
      <c r="A45" s="167">
        <v>2021</v>
      </c>
      <c r="B45" s="168">
        <v>44370</v>
      </c>
      <c r="C45" s="167">
        <v>174</v>
      </c>
      <c r="D45" s="167" t="s">
        <v>329</v>
      </c>
      <c r="E45" s="167">
        <v>4</v>
      </c>
      <c r="F45" s="167">
        <v>5</v>
      </c>
      <c r="G45" s="167">
        <v>999.9</v>
      </c>
      <c r="H45" s="167">
        <f>Table7[[#This Row],[Sample Wet Weight (g)]]-55.8</f>
        <v>944.1</v>
      </c>
      <c r="I45" s="167">
        <v>323.8</v>
      </c>
      <c r="J45" s="167">
        <f>Table7[[#This Row],[Sample Dry Weight (g) ]]-55.8</f>
        <v>268</v>
      </c>
      <c r="K45" s="167">
        <v>126.2</v>
      </c>
      <c r="L45" s="167">
        <f>((Table7[[#This Row],[Wet - Bag Weight (g) ]]-Table7[[#This Row],[Redry (post Mold Weight) (g) ]])/Table7[[#This Row],[Wet - Bag Weight (g) ]])*100</f>
        <v>86.632771952123704</v>
      </c>
      <c r="M45" s="167">
        <f>(Table7[[#This Row],[Redry (post Mold Weight) (g) ]]/1000)/0.0001</f>
        <v>1262</v>
      </c>
      <c r="N45" s="167">
        <f>Table7[[#This Row],[Yield (kg/ha)]]*1.155</f>
        <v>1457.6100000000001</v>
      </c>
      <c r="O45" s="167">
        <f>Table7[[#This Row],[Yield @ 15% Moisture (kg/ha)]]/1000</f>
        <v>1.4576100000000001</v>
      </c>
      <c r="P45" s="169">
        <f>Table7[[#This Row],[Yield (kg/ha)]]/1000</f>
        <v>1.262</v>
      </c>
      <c r="Q45" s="169" t="s">
        <v>761</v>
      </c>
      <c r="R45" s="169">
        <f>Table7[[#This Row],[Dry Yield (tons/ha)]]*(Table7[[#This Row],[%C]]/100)</f>
        <v>0.521837</v>
      </c>
      <c r="S45" s="169" t="s">
        <v>762</v>
      </c>
      <c r="T45" s="169">
        <f>Table7[[#This Row],[Dry Yield (tons/ha)]]*(Table7[[#This Row],[%N]]/100)</f>
        <v>4.9596600000000005E-2</v>
      </c>
      <c r="U45" s="169">
        <f>Table7[[#This Row],[Yield (kg/ha)]]*(Table7[[#This Row],[%N]]/100)</f>
        <v>49.596600000000002</v>
      </c>
      <c r="V45" s="63"/>
      <c r="W45" s="156" t="e" vm="1">
        <f ca="1">AVERAGE(P50:P52)</f>
        <v>#VALUE!</v>
      </c>
      <c r="X45" s="185" t="e" vm="1">
        <f ca="1">STDEV(P50:P52)</f>
        <v>#VALUE!</v>
      </c>
      <c r="Y45" s="156" t="s">
        <v>700</v>
      </c>
    </row>
    <row r="46" spans="1:25" ht="23.5">
      <c r="A46" s="167">
        <v>2021</v>
      </c>
      <c r="B46" s="168">
        <v>44370</v>
      </c>
      <c r="C46" s="167">
        <v>174</v>
      </c>
      <c r="D46" s="167" t="s">
        <v>330</v>
      </c>
      <c r="E46" s="167">
        <v>4</v>
      </c>
      <c r="F46" s="167">
        <v>6</v>
      </c>
      <c r="G46" s="167">
        <v>932.2</v>
      </c>
      <c r="H46" s="167">
        <f>Table7[[#This Row],[Sample Wet Weight (g)]]-55.8</f>
        <v>876.40000000000009</v>
      </c>
      <c r="I46" s="167">
        <v>338.7</v>
      </c>
      <c r="J46" s="167">
        <f>Table7[[#This Row],[Sample Dry Weight (g) ]]-55.8</f>
        <v>282.89999999999998</v>
      </c>
      <c r="K46" s="167">
        <v>105.9</v>
      </c>
      <c r="L46" s="167">
        <f>((Table7[[#This Row],[Wet - Bag Weight (g) ]]-Table7[[#This Row],[Redry (post Mold Weight) (g) ]])/Table7[[#This Row],[Wet - Bag Weight (g) ]])*100</f>
        <v>87.916476494751265</v>
      </c>
      <c r="M46" s="167">
        <f>(Table7[[#This Row],[Redry (post Mold Weight) (g) ]]/1000)/0.0001</f>
        <v>1059</v>
      </c>
      <c r="N46" s="167">
        <f>Table7[[#This Row],[Yield (kg/ha)]]*1.155</f>
        <v>1223.145</v>
      </c>
      <c r="O46" s="167">
        <f>Table7[[#This Row],[Yield @ 15% Moisture (kg/ha)]]/1000</f>
        <v>1.2231449999999999</v>
      </c>
      <c r="P46" s="169">
        <f>Table7[[#This Row],[Yield (kg/ha)]]/1000</f>
        <v>1.0589999999999999</v>
      </c>
      <c r="Q46" s="169" t="s">
        <v>763</v>
      </c>
      <c r="R46" s="169">
        <f>Table7[[#This Row],[Dry Yield (tons/ha)]]*(Table7[[#This Row],[%C]]/100)</f>
        <v>0.40845629999999994</v>
      </c>
      <c r="S46" s="169" t="s">
        <v>764</v>
      </c>
      <c r="T46" s="169">
        <f>Table7[[#This Row],[Dry Yield (tons/ha)]]*(Table7[[#This Row],[%N]]/100)</f>
        <v>4.1936399999999992E-2</v>
      </c>
      <c r="U46" s="169">
        <f>Table7[[#This Row],[Yield (kg/ha)]]*(Table7[[#This Row],[%N]]/100)</f>
        <v>41.936399999999999</v>
      </c>
      <c r="V46" s="63"/>
    </row>
    <row r="47" spans="1:25" ht="23.5">
      <c r="A47" s="167">
        <v>2021</v>
      </c>
      <c r="B47" s="168">
        <v>44370</v>
      </c>
      <c r="C47" s="167">
        <v>174</v>
      </c>
      <c r="D47" s="167" t="s">
        <v>331</v>
      </c>
      <c r="E47" s="167">
        <v>4</v>
      </c>
      <c r="F47" s="167">
        <v>7</v>
      </c>
      <c r="G47" s="167">
        <v>838</v>
      </c>
      <c r="H47" s="167">
        <f>Table7[[#This Row],[Sample Wet Weight (g)]]-55.8</f>
        <v>782.2</v>
      </c>
      <c r="I47" s="167">
        <v>234.7</v>
      </c>
      <c r="J47" s="167">
        <f>Table7[[#This Row],[Sample Dry Weight (g) ]]-55.8</f>
        <v>178.89999999999998</v>
      </c>
      <c r="K47" s="167">
        <v>133.4</v>
      </c>
      <c r="L47" s="167">
        <f>((Table7[[#This Row],[Wet - Bag Weight (g) ]]-Table7[[#This Row],[Redry (post Mold Weight) (g) ]])/Table7[[#This Row],[Wet - Bag Weight (g) ]])*100</f>
        <v>82.94553822551778</v>
      </c>
      <c r="M47" s="167">
        <f>(Table7[[#This Row],[Redry (post Mold Weight) (g) ]]/1000)/0.0001</f>
        <v>1334.0000000000002</v>
      </c>
      <c r="N47" s="167">
        <f>Table7[[#This Row],[Yield (kg/ha)]]*1.155</f>
        <v>1540.7700000000002</v>
      </c>
      <c r="O47" s="167">
        <f>Table7[[#This Row],[Yield @ 15% Moisture (kg/ha)]]/1000</f>
        <v>1.5407700000000002</v>
      </c>
      <c r="P47" s="169">
        <f>Table7[[#This Row],[Yield (kg/ha)]]/1000</f>
        <v>1.3340000000000003</v>
      </c>
      <c r="Q47" s="169" t="s">
        <v>696</v>
      </c>
      <c r="R47" s="169">
        <f>Table7[[#This Row],[Dry Yield (tons/ha)]]*(Table7[[#This Row],[%C]]/100)</f>
        <v>0.54947460000000015</v>
      </c>
      <c r="S47" s="169" t="s">
        <v>765</v>
      </c>
      <c r="T47" s="169">
        <f>Table7[[#This Row],[Dry Yield (tons/ha)]]*(Table7[[#This Row],[%N]]/100)</f>
        <v>4.7890600000000012E-2</v>
      </c>
      <c r="U47" s="169">
        <f>Table7[[#This Row],[Yield (kg/ha)]]*(Table7[[#This Row],[%N]]/100)</f>
        <v>47.890600000000013</v>
      </c>
      <c r="V47" s="63"/>
    </row>
    <row r="48" spans="1:25" ht="23.5">
      <c r="A48" s="167">
        <v>2021</v>
      </c>
      <c r="B48" s="168">
        <v>44370</v>
      </c>
      <c r="C48" s="167">
        <v>174</v>
      </c>
      <c r="D48" s="167" t="s">
        <v>332</v>
      </c>
      <c r="E48" s="167">
        <v>4</v>
      </c>
      <c r="F48" s="167">
        <v>8</v>
      </c>
      <c r="G48" s="167">
        <v>1100.8</v>
      </c>
      <c r="H48" s="167">
        <f>Table7[[#This Row],[Sample Wet Weight (g)]]-55.8</f>
        <v>1045</v>
      </c>
      <c r="I48" s="167">
        <v>349.1</v>
      </c>
      <c r="J48" s="167">
        <f>Table7[[#This Row],[Sample Dry Weight (g) ]]-55.8</f>
        <v>293.3</v>
      </c>
      <c r="K48" s="167">
        <v>135.4</v>
      </c>
      <c r="L48" s="167">
        <f>((Table7[[#This Row],[Wet - Bag Weight (g) ]]-Table7[[#This Row],[Redry (post Mold Weight) (g) ]])/Table7[[#This Row],[Wet - Bag Weight (g) ]])*100</f>
        <v>87.043062200956939</v>
      </c>
      <c r="M48" s="167">
        <f>(Table7[[#This Row],[Redry (post Mold Weight) (g) ]]/1000)/0.0001</f>
        <v>1353.9999999999998</v>
      </c>
      <c r="N48" s="167">
        <f>Table7[[#This Row],[Yield (kg/ha)]]*1.155</f>
        <v>1563.8699999999997</v>
      </c>
      <c r="O48" s="167">
        <f>Table7[[#This Row],[Yield @ 15% Moisture (kg/ha)]]/1000</f>
        <v>1.5638699999999996</v>
      </c>
      <c r="P48" s="169">
        <f>Table7[[#This Row],[Yield (kg/ha)]]/1000</f>
        <v>1.3539999999999999</v>
      </c>
      <c r="Q48" s="169" t="s">
        <v>766</v>
      </c>
      <c r="R48" s="169">
        <f>Table7[[#This Row],[Dry Yield (tons/ha)]]*(Table7[[#This Row],[%C]]/100)</f>
        <v>0.55161959999999999</v>
      </c>
      <c r="S48" s="169" t="s">
        <v>767</v>
      </c>
      <c r="T48" s="169">
        <f>Table7[[#This Row],[Dry Yield (tons/ha)]]*(Table7[[#This Row],[%N]]/100)</f>
        <v>5.2535199999999997E-2</v>
      </c>
      <c r="U48" s="169">
        <f>Table7[[#This Row],[Yield (kg/ha)]]*(Table7[[#This Row],[%N]]/100)</f>
        <v>52.535199999999996</v>
      </c>
      <c r="V48" s="63"/>
    </row>
    <row r="49" spans="1:22" ht="23.5">
      <c r="A49" s="64">
        <v>2021</v>
      </c>
      <c r="B49" s="65">
        <v>44370</v>
      </c>
      <c r="C49" s="64">
        <v>174</v>
      </c>
      <c r="D49" s="64" t="s">
        <v>333</v>
      </c>
      <c r="E49" s="64">
        <v>4</v>
      </c>
      <c r="F49" s="64">
        <v>9</v>
      </c>
      <c r="G49" s="64">
        <v>951.1</v>
      </c>
      <c r="H49" s="64">
        <f>Table7[[#This Row],[Sample Wet Weight (g)]]-55.8</f>
        <v>895.30000000000007</v>
      </c>
      <c r="I49" s="64">
        <v>334</v>
      </c>
      <c r="J49" s="64">
        <f>Table7[[#This Row],[Sample Dry Weight (g) ]]-55.8</f>
        <v>278.2</v>
      </c>
      <c r="K49" s="64">
        <v>121.2</v>
      </c>
      <c r="L49" s="64">
        <f>((Table7[[#This Row],[Wet - Bag Weight (g) ]]-Table7[[#This Row],[Redry (post Mold Weight) (g) ]])/Table7[[#This Row],[Wet - Bag Weight (g) ]])*100</f>
        <v>86.462638221825088</v>
      </c>
      <c r="M49" s="64">
        <f>(Table7[[#This Row],[Redry (post Mold Weight) (g) ]]/1000)/0.0001</f>
        <v>1212</v>
      </c>
      <c r="N49" s="64">
        <f>Table7[[#This Row],[Yield (kg/ha)]]*1.155</f>
        <v>1399.8600000000001</v>
      </c>
      <c r="O49" s="64">
        <f>Table7[[#This Row],[Yield @ 15% Moisture (kg/ha)]]/1000</f>
        <v>1.3998600000000001</v>
      </c>
      <c r="P49" s="64">
        <f>Table7[[#This Row],[Yield (kg/ha)]]/1000</f>
        <v>1.212</v>
      </c>
      <c r="Q49" s="64" t="s">
        <v>768</v>
      </c>
      <c r="R49" s="64">
        <f>Table7[[#This Row],[Dry Yield (tons/ha)]]*(Table7[[#This Row],[%C]]/100)</f>
        <v>0.50128319999999993</v>
      </c>
      <c r="S49" s="64" t="s">
        <v>769</v>
      </c>
      <c r="T49" s="64">
        <f>Table7[[#This Row],[Dry Yield (tons/ha)]]*(Table7[[#This Row],[%N]]/100)</f>
        <v>4.7874E-2</v>
      </c>
      <c r="U49" s="64">
        <f>Table7[[#This Row],[Yield (kg/ha)]]*(Table7[[#This Row],[%N]]/100)</f>
        <v>47.874000000000002</v>
      </c>
      <c r="V49" s="63"/>
    </row>
    <row r="50" spans="1:22" ht="23.5">
      <c r="A50" s="261">
        <v>2021</v>
      </c>
      <c r="B50" s="262">
        <v>44370</v>
      </c>
      <c r="C50" s="261">
        <v>174</v>
      </c>
      <c r="D50" s="261" t="s">
        <v>334</v>
      </c>
      <c r="E50" s="261">
        <v>4</v>
      </c>
      <c r="F50" s="261">
        <v>11</v>
      </c>
      <c r="G50" s="261">
        <v>527.5</v>
      </c>
      <c r="H50" s="261">
        <f>Table7[[#This Row],[Sample Wet Weight (g)]]-55.8</f>
        <v>471.7</v>
      </c>
      <c r="I50" s="261">
        <v>147.5</v>
      </c>
      <c r="J50" s="261">
        <f>Table7[[#This Row],[Sample Dry Weight (g) ]]-55.8</f>
        <v>91.7</v>
      </c>
      <c r="K50" s="261">
        <v>95.7</v>
      </c>
      <c r="L50" s="261">
        <f>((Table7[[#This Row],[Wet - Bag Weight (g) ]]-Table7[[#This Row],[Redry (post Mold Weight) (g) ]])/Table7[[#This Row],[Wet - Bag Weight (g) ]])*100</f>
        <v>79.711681153275393</v>
      </c>
      <c r="M50" s="261">
        <f>(Table7[[#This Row],[Redry (post Mold Weight) (g) ]]/1000)/0.0001</f>
        <v>957</v>
      </c>
      <c r="N50" s="261">
        <f>Table7[[#This Row],[Yield (kg/ha)]]*1.155</f>
        <v>1105.335</v>
      </c>
      <c r="O50" s="261">
        <f>Table7[[#This Row],[Yield @ 15% Moisture (kg/ha)]]/1000</f>
        <v>1.105335</v>
      </c>
      <c r="P50" s="263">
        <f>Table7[[#This Row],[Yield (kg/ha)]]/1000</f>
        <v>0.95699999999999996</v>
      </c>
      <c r="Q50" s="263" t="s">
        <v>770</v>
      </c>
      <c r="R50" s="263">
        <f>Table7[[#This Row],[Dry Yield (tons/ha)]]*(Table7[[#This Row],[%C]]/100)</f>
        <v>0.39897329999999998</v>
      </c>
      <c r="S50" s="263" t="s">
        <v>771</v>
      </c>
      <c r="T50" s="263">
        <f>Table7[[#This Row],[Dry Yield (tons/ha)]]*(Table7[[#This Row],[%N]]/100)</f>
        <v>3.7227300000000005E-2</v>
      </c>
      <c r="U50" s="263">
        <f>Table7[[#This Row],[Yield (kg/ha)]]*(Table7[[#This Row],[%N]]/100)</f>
        <v>37.227300000000007</v>
      </c>
    </row>
    <row r="51" spans="1:22" ht="23.5">
      <c r="A51" s="103">
        <v>2021</v>
      </c>
      <c r="B51" s="104">
        <v>44370</v>
      </c>
      <c r="C51" s="103">
        <v>174</v>
      </c>
      <c r="D51" s="103" t="s">
        <v>335</v>
      </c>
      <c r="E51" s="103">
        <v>4</v>
      </c>
      <c r="F51" s="103">
        <v>12</v>
      </c>
      <c r="G51" s="103">
        <v>443.2</v>
      </c>
      <c r="H51" s="103">
        <f>Table7[[#This Row],[Sample Wet Weight (g)]]-55.8</f>
        <v>387.4</v>
      </c>
      <c r="I51" s="103">
        <v>131.80000000000001</v>
      </c>
      <c r="J51" s="103">
        <f>Table7[[#This Row],[Sample Dry Weight (g) ]]-55.8</f>
        <v>76.000000000000014</v>
      </c>
      <c r="K51" s="103">
        <v>86.2</v>
      </c>
      <c r="L51" s="103">
        <f>((Table7[[#This Row],[Wet - Bag Weight (g) ]]-Table7[[#This Row],[Redry (post Mold Weight) (g) ]])/Table7[[#This Row],[Wet - Bag Weight (g) ]])*100</f>
        <v>77.749096541042846</v>
      </c>
      <c r="M51" s="103">
        <f>(Table7[[#This Row],[Redry (post Mold Weight) (g) ]]/1000)/0.0001</f>
        <v>862</v>
      </c>
      <c r="N51" s="103">
        <f>Table7[[#This Row],[Yield (kg/ha)]]*1.155</f>
        <v>995.61</v>
      </c>
      <c r="O51" s="103">
        <f>Table7[[#This Row],[Yield @ 15% Moisture (kg/ha)]]/1000</f>
        <v>0.99560999999999999</v>
      </c>
      <c r="P51" s="170" t="e" cm="1" vm="2">
        <f t="array" aca="1" ref="P51" ca="1">Table7[[#All],[%N]]=Table7[[#This Row],[Yield (kg/ha)]]/1000</f>
        <v>#VALUE!</v>
      </c>
      <c r="Q51" s="170" t="s">
        <v>720</v>
      </c>
      <c r="R51" s="170" t="e" vm="1">
        <f ca="1">Table7[[#This Row],[Dry Yield (tons/ha)]]*(Table7[[#This Row],[%C]]/100)</f>
        <v>#VALUE!</v>
      </c>
      <c r="S51" s="170" t="s">
        <v>767</v>
      </c>
      <c r="T51" s="170" t="e" vm="1">
        <f ca="1">Table7[[#This Row],[Dry Yield (tons/ha)]]*(Table7[[#This Row],[%N]]/100)</f>
        <v>#VALUE!</v>
      </c>
      <c r="U51" s="170">
        <f>Table7[[#This Row],[Yield (kg/ha)]]*(Table7[[#This Row],[%N]]/100)</f>
        <v>33.445599999999999</v>
      </c>
      <c r="V51" s="63"/>
    </row>
    <row r="52" spans="1:22" ht="23.5">
      <c r="A52" s="103">
        <v>2021</v>
      </c>
      <c r="B52" s="104">
        <v>44370</v>
      </c>
      <c r="C52" s="103">
        <v>174</v>
      </c>
      <c r="D52" s="103" t="s">
        <v>336</v>
      </c>
      <c r="E52" s="103">
        <v>4</v>
      </c>
      <c r="F52" s="103">
        <v>13</v>
      </c>
      <c r="G52" s="103">
        <v>275.8</v>
      </c>
      <c r="H52" s="103">
        <f>Table7[[#This Row],[Sample Wet Weight (g)]]-55.8</f>
        <v>220</v>
      </c>
      <c r="I52" s="103">
        <v>89.2</v>
      </c>
      <c r="J52" s="103">
        <f>Table7[[#This Row],[Sample Dry Weight (g) ]]-55.8</f>
        <v>33.400000000000006</v>
      </c>
      <c r="K52" s="103">
        <v>71</v>
      </c>
      <c r="L52" s="103">
        <f>((Table7[[#This Row],[Wet - Bag Weight (g) ]]-Table7[[#This Row],[Redry (post Mold Weight) (g) ]])/Table7[[#This Row],[Wet - Bag Weight (g) ]])*100</f>
        <v>67.72727272727272</v>
      </c>
      <c r="M52" s="103">
        <f>(Table7[[#This Row],[Redry (post Mold Weight) (g) ]]/1000)/0.0001</f>
        <v>709.99999999999989</v>
      </c>
      <c r="N52" s="103">
        <f>Table7[[#This Row],[Yield (kg/ha)]]*1.155</f>
        <v>820.04999999999984</v>
      </c>
      <c r="O52" s="103">
        <f>Table7[[#This Row],[Yield @ 15% Moisture (kg/ha)]]/1000</f>
        <v>0.82004999999999983</v>
      </c>
      <c r="P52" s="170">
        <f>Table7[[#This Row],[Yield (kg/ha)]]/1000</f>
        <v>0.70999999999999985</v>
      </c>
      <c r="Q52" s="170" t="s">
        <v>772</v>
      </c>
      <c r="R52" s="170">
        <f>Table7[[#This Row],[Dry Yield (tons/ha)]]*(Table7[[#This Row],[%C]]/100)</f>
        <v>0.28272199999999992</v>
      </c>
      <c r="S52" s="170" t="s">
        <v>773</v>
      </c>
      <c r="T52" s="170">
        <f>Table7[[#This Row],[Dry Yield (tons/ha)]]*(Table7[[#This Row],[%N]]/100)</f>
        <v>2.2080999999999996E-2</v>
      </c>
      <c r="U52" s="170">
        <f>Table7[[#This Row],[Yield (kg/ha)]]*(Table7[[#This Row],[%N]]/100)</f>
        <v>22.080999999999996</v>
      </c>
      <c r="V52" s="63"/>
    </row>
    <row r="53" spans="1:22" ht="23.5">
      <c r="A53" s="63"/>
      <c r="B53" s="63"/>
      <c r="C53" s="63"/>
      <c r="D53" s="63"/>
      <c r="E53" s="63"/>
      <c r="F53" s="63"/>
      <c r="G53" s="63"/>
      <c r="H53" s="63"/>
      <c r="I53" s="63"/>
      <c r="J53" s="63"/>
      <c r="K53" s="63"/>
      <c r="L53" s="63"/>
      <c r="M53" s="63"/>
      <c r="N53" s="63"/>
      <c r="O53" s="63"/>
      <c r="P53" s="63"/>
      <c r="Q53" s="63"/>
      <c r="R53" s="63"/>
      <c r="S53" s="63"/>
    </row>
    <row r="54" spans="1:22" ht="23.5">
      <c r="A54" s="63"/>
      <c r="B54" s="63"/>
      <c r="C54" s="63"/>
      <c r="D54" s="63"/>
      <c r="E54" s="63"/>
      <c r="F54" s="63"/>
      <c r="G54" s="63"/>
      <c r="H54" s="63"/>
      <c r="I54" s="63"/>
      <c r="J54" s="63"/>
      <c r="K54" s="63"/>
      <c r="L54" s="63"/>
      <c r="M54" s="63"/>
      <c r="N54" s="63"/>
      <c r="O54" s="63"/>
      <c r="P54" s="63"/>
      <c r="Q54" s="63"/>
      <c r="R54" s="63"/>
      <c r="S54" s="63"/>
    </row>
    <row r="55" spans="1:22" ht="23.5">
      <c r="A55" s="63"/>
      <c r="B55" s="63"/>
      <c r="C55" s="63"/>
      <c r="D55" s="63"/>
      <c r="E55" s="63"/>
      <c r="F55" s="63"/>
      <c r="G55" s="63"/>
      <c r="H55" s="63"/>
      <c r="I55" s="63"/>
      <c r="J55" s="63"/>
      <c r="K55" s="63"/>
      <c r="L55" s="63"/>
      <c r="M55" s="63"/>
      <c r="N55" s="63"/>
      <c r="O55" s="63"/>
      <c r="P55" s="63"/>
      <c r="Q55" s="63"/>
      <c r="R55" s="63"/>
      <c r="S55" s="63"/>
    </row>
    <row r="56" spans="1:22" ht="23.5">
      <c r="A56" s="63"/>
      <c r="B56" s="63"/>
      <c r="C56" s="63"/>
      <c r="D56" s="63"/>
      <c r="E56" s="63"/>
      <c r="F56" s="63"/>
      <c r="G56" s="63"/>
      <c r="H56" s="63"/>
      <c r="I56" s="63"/>
      <c r="J56" s="63"/>
      <c r="K56" s="63"/>
      <c r="L56" s="63"/>
      <c r="M56" s="63"/>
      <c r="O56" s="63"/>
      <c r="P56" s="63"/>
      <c r="Q56" s="63"/>
      <c r="R56" s="63"/>
      <c r="S56" s="63"/>
    </row>
    <row r="57" spans="1:22" ht="23.5">
      <c r="A57" s="63"/>
      <c r="B57" s="63"/>
      <c r="C57" s="63"/>
      <c r="D57" s="63"/>
      <c r="E57" s="63"/>
      <c r="F57" s="63"/>
      <c r="G57" s="63"/>
      <c r="H57" s="63"/>
      <c r="I57" s="63"/>
      <c r="J57" s="63"/>
      <c r="K57" s="63"/>
      <c r="L57" s="63"/>
      <c r="M57" s="274" t="s">
        <v>663</v>
      </c>
      <c r="N57" s="271" t="s">
        <v>774</v>
      </c>
      <c r="O57" s="274" t="s">
        <v>524</v>
      </c>
      <c r="P57" s="271" t="s">
        <v>775</v>
      </c>
      <c r="Q57" s="271" t="s">
        <v>776</v>
      </c>
      <c r="R57" s="63"/>
      <c r="S57" s="63"/>
    </row>
    <row r="58" spans="1:22" ht="23.5">
      <c r="A58" s="63"/>
      <c r="B58" s="63"/>
      <c r="C58" s="63"/>
      <c r="D58" s="63"/>
      <c r="E58" s="63"/>
      <c r="F58" s="63"/>
      <c r="G58" s="63"/>
      <c r="H58" s="63"/>
      <c r="I58" s="63"/>
      <c r="J58" s="63"/>
      <c r="K58" s="63"/>
      <c r="L58" s="63"/>
      <c r="M58" s="275">
        <v>1336</v>
      </c>
      <c r="N58" s="272">
        <f>AVERAGE(M58:M62,M64:M66)</f>
        <v>1302.5</v>
      </c>
      <c r="O58" s="276" t="s">
        <v>674</v>
      </c>
      <c r="P58" s="275">
        <f>M58*(O58/100)</f>
        <v>67.735200000000006</v>
      </c>
      <c r="Q58" s="272">
        <f>AVERAGE(P58:P62,P64:P66)</f>
        <v>56.922024999999991</v>
      </c>
      <c r="R58" s="63"/>
      <c r="S58" s="63"/>
    </row>
    <row r="59" spans="1:22" ht="23.5">
      <c r="A59" s="63"/>
      <c r="B59" s="63"/>
      <c r="C59" s="63"/>
      <c r="D59" s="63"/>
      <c r="E59" s="63"/>
      <c r="F59" s="63"/>
      <c r="G59" s="63"/>
      <c r="H59" s="63"/>
      <c r="I59" s="63"/>
      <c r="J59" s="63"/>
      <c r="K59" s="63"/>
      <c r="L59" s="63"/>
      <c r="M59" s="275">
        <v>1309</v>
      </c>
      <c r="N59" s="272">
        <f>STDEV(M58:M62,M64:M66)</f>
        <v>91.337678033610132</v>
      </c>
      <c r="O59" s="276" t="s">
        <v>681</v>
      </c>
      <c r="P59" s="275">
        <f>M59*(O59/100)</f>
        <v>60.083099999999995</v>
      </c>
      <c r="Q59" s="272">
        <f>STDEV(P58:P62,P64:P66)</f>
        <v>6.7740977391300765</v>
      </c>
      <c r="R59" s="63"/>
      <c r="S59" s="63"/>
    </row>
    <row r="60" spans="1:22" ht="23.5">
      <c r="A60" s="63"/>
      <c r="B60" s="63"/>
      <c r="C60" s="63"/>
      <c r="D60" s="63"/>
      <c r="E60" s="63"/>
      <c r="F60" s="63"/>
      <c r="G60" s="63"/>
      <c r="H60" s="63"/>
      <c r="I60" s="63"/>
      <c r="J60" s="63"/>
      <c r="K60" s="63"/>
      <c r="L60" s="63"/>
      <c r="M60" s="275">
        <v>1310</v>
      </c>
      <c r="N60" s="272"/>
      <c r="O60" s="276" t="s">
        <v>687</v>
      </c>
      <c r="P60" s="275">
        <f>M60*(O60/100)</f>
        <v>56.592000000000006</v>
      </c>
      <c r="Q60" s="272"/>
      <c r="R60" s="63"/>
      <c r="S60" s="63"/>
    </row>
    <row r="61" spans="1:22" ht="23.5">
      <c r="A61" s="63"/>
      <c r="B61" s="63"/>
      <c r="C61" s="63"/>
      <c r="D61" s="63"/>
      <c r="E61" s="63"/>
      <c r="F61" s="63"/>
      <c r="G61" s="63"/>
      <c r="H61" s="63"/>
      <c r="I61" s="63"/>
      <c r="J61" s="63"/>
      <c r="K61" s="63"/>
      <c r="L61" s="63"/>
      <c r="M61" s="275">
        <v>1295.9999999999998</v>
      </c>
      <c r="N61" s="272"/>
      <c r="O61" s="276" t="s">
        <v>689</v>
      </c>
      <c r="P61" s="275">
        <f>M61*(O61/100)</f>
        <v>59.227199999999996</v>
      </c>
      <c r="Q61" s="272"/>
      <c r="R61" s="63"/>
      <c r="S61" s="63"/>
    </row>
    <row r="62" spans="1:22" ht="23.5">
      <c r="A62" s="63"/>
      <c r="B62" s="63"/>
      <c r="C62" s="63"/>
      <c r="D62" s="63"/>
      <c r="E62" s="63"/>
      <c r="F62" s="63"/>
      <c r="G62" s="63"/>
      <c r="H62" s="63"/>
      <c r="I62" s="63"/>
      <c r="J62" s="63"/>
      <c r="K62" s="63"/>
      <c r="L62" s="63"/>
      <c r="M62" s="275">
        <v>1184</v>
      </c>
      <c r="N62" s="272"/>
      <c r="O62" s="276" t="s">
        <v>692</v>
      </c>
      <c r="P62" s="275">
        <f>M62*(O62/100)</f>
        <v>49.491199999999999</v>
      </c>
      <c r="Q62" s="272"/>
      <c r="R62" s="63"/>
      <c r="S62" s="63"/>
    </row>
    <row r="63" spans="1:22" ht="23.5">
      <c r="A63" s="63"/>
      <c r="B63" s="63"/>
      <c r="C63" s="63"/>
      <c r="D63" s="63"/>
      <c r="E63" s="63"/>
      <c r="F63" s="63"/>
      <c r="G63" s="63"/>
      <c r="H63" s="63"/>
      <c r="I63" s="63"/>
      <c r="J63" s="63"/>
      <c r="K63" s="63"/>
      <c r="L63" s="63"/>
      <c r="M63" s="277" t="s">
        <v>693</v>
      </c>
      <c r="N63" s="272"/>
      <c r="O63" s="277" t="s">
        <v>694</v>
      </c>
      <c r="P63" s="277" t="s">
        <v>694</v>
      </c>
      <c r="Q63" s="272"/>
      <c r="R63" s="63"/>
      <c r="S63" s="63"/>
    </row>
    <row r="64" spans="1:22" ht="23.5">
      <c r="A64" s="63"/>
      <c r="B64" s="63"/>
      <c r="C64" s="63"/>
      <c r="D64" s="63"/>
      <c r="E64" s="63"/>
      <c r="F64" s="63"/>
      <c r="G64" s="63"/>
      <c r="H64" s="63"/>
      <c r="I64" s="63"/>
      <c r="J64" s="63"/>
      <c r="K64" s="63"/>
      <c r="L64" s="63"/>
      <c r="M64" s="275">
        <v>1477</v>
      </c>
      <c r="N64" s="272"/>
      <c r="O64" s="276" t="s">
        <v>697</v>
      </c>
      <c r="P64" s="275">
        <f t="shared" ref="P64:P70" si="0">M64*(O64/100)</f>
        <v>62.034000000000006</v>
      </c>
      <c r="Q64" s="272"/>
      <c r="R64" s="63"/>
      <c r="S64" s="63"/>
    </row>
    <row r="65" spans="1:19" ht="23.5">
      <c r="A65" s="63"/>
      <c r="B65" s="63"/>
      <c r="C65" s="63"/>
      <c r="D65" s="63"/>
      <c r="E65" s="63"/>
      <c r="F65" s="63"/>
      <c r="G65" s="63"/>
      <c r="H65" s="63"/>
      <c r="I65" s="63"/>
      <c r="J65" s="63"/>
      <c r="K65" s="63"/>
      <c r="L65" s="63"/>
      <c r="M65" s="275">
        <v>1316.9999999999998</v>
      </c>
      <c r="N65" s="272"/>
      <c r="O65" s="276" t="s">
        <v>699</v>
      </c>
      <c r="P65" s="275">
        <f t="shared" si="0"/>
        <v>52.811699999999988</v>
      </c>
      <c r="Q65" s="272"/>
      <c r="R65" s="63"/>
      <c r="S65" s="63"/>
    </row>
    <row r="66" spans="1:19" ht="23.5">
      <c r="A66" s="63"/>
      <c r="B66" s="63"/>
      <c r="C66" s="63"/>
      <c r="D66" s="63"/>
      <c r="E66" s="63"/>
      <c r="F66" s="63"/>
      <c r="G66" s="63"/>
      <c r="H66" s="63"/>
      <c r="I66" s="63"/>
      <c r="J66" s="63"/>
      <c r="K66" s="63"/>
      <c r="L66" s="63"/>
      <c r="M66" s="275">
        <v>1191</v>
      </c>
      <c r="N66" s="272"/>
      <c r="O66" s="276" t="s">
        <v>702</v>
      </c>
      <c r="P66" s="275">
        <f t="shared" si="0"/>
        <v>47.401800000000001</v>
      </c>
      <c r="Q66" s="272"/>
      <c r="R66" s="63"/>
      <c r="S66" s="63"/>
    </row>
    <row r="67" spans="1:19" ht="23.5">
      <c r="A67" s="63"/>
      <c r="B67" s="63"/>
      <c r="C67" s="63"/>
      <c r="D67" s="63"/>
      <c r="E67" s="63"/>
      <c r="F67" s="63"/>
      <c r="G67" s="63"/>
      <c r="H67" s="63"/>
      <c r="I67" s="63"/>
      <c r="J67" s="63"/>
      <c r="K67" s="63"/>
      <c r="L67" s="63"/>
      <c r="M67" s="278">
        <v>962.99999999999989</v>
      </c>
      <c r="N67" s="273">
        <f>AVERAGE(M67:M68)</f>
        <v>952.99999999999989</v>
      </c>
      <c r="O67" s="279" t="s">
        <v>706</v>
      </c>
      <c r="P67" s="278">
        <f t="shared" si="0"/>
        <v>37.942199999999993</v>
      </c>
      <c r="Q67" s="273">
        <f>AVERAGE(P67:P68)</f>
        <v>40.471499999999992</v>
      </c>
      <c r="R67" s="63"/>
      <c r="S67" s="63"/>
    </row>
    <row r="68" spans="1:19" ht="23.5">
      <c r="A68" s="63"/>
      <c r="B68" s="63"/>
      <c r="C68" s="63"/>
      <c r="D68" s="63"/>
      <c r="E68" s="63"/>
      <c r="F68" s="63"/>
      <c r="G68" s="63"/>
      <c r="H68" s="63"/>
      <c r="I68" s="63"/>
      <c r="J68" s="63"/>
      <c r="K68" s="63"/>
      <c r="L68" s="63"/>
      <c r="M68" s="278">
        <v>942.99999999999989</v>
      </c>
      <c r="N68" s="273">
        <f>STDEV(M67:M68)</f>
        <v>14.142135623730951</v>
      </c>
      <c r="O68" s="279" t="s">
        <v>708</v>
      </c>
      <c r="P68" s="278">
        <f t="shared" si="0"/>
        <v>43.000799999999991</v>
      </c>
      <c r="Q68" s="273">
        <f>STDEV(P67:P68)</f>
        <v>3.5769703633102683</v>
      </c>
      <c r="R68" s="63"/>
      <c r="S68" s="63"/>
    </row>
    <row r="69" spans="1:19" ht="23.5">
      <c r="A69" s="63"/>
      <c r="B69" s="63"/>
      <c r="C69" s="63"/>
      <c r="D69" s="63"/>
      <c r="E69" s="63"/>
      <c r="F69" s="63"/>
      <c r="G69" s="63"/>
      <c r="H69" s="63"/>
      <c r="I69" s="63"/>
      <c r="J69" s="63"/>
      <c r="K69" s="63"/>
      <c r="L69" s="63"/>
      <c r="M69" s="280">
        <v>904</v>
      </c>
      <c r="N69" s="273"/>
      <c r="O69" s="281" t="s">
        <v>711</v>
      </c>
      <c r="P69" s="280">
        <f t="shared" si="0"/>
        <v>34.7136</v>
      </c>
      <c r="Q69" s="273"/>
      <c r="R69" s="63"/>
      <c r="S69" s="63"/>
    </row>
    <row r="70" spans="1:19" ht="23.5">
      <c r="A70" s="63"/>
      <c r="B70" s="63"/>
      <c r="C70" s="63"/>
      <c r="D70" s="63"/>
      <c r="E70" s="63"/>
      <c r="F70" s="63"/>
      <c r="G70" s="63"/>
      <c r="H70" s="63"/>
      <c r="I70" s="63"/>
      <c r="J70" s="63"/>
      <c r="K70" s="63"/>
      <c r="L70" s="63"/>
      <c r="M70" s="282">
        <v>1234</v>
      </c>
      <c r="N70" s="272">
        <f>AVERAGE(M70,M72:M74,M76:M78)</f>
        <v>1258.8571428571429</v>
      </c>
      <c r="O70" s="282" t="s">
        <v>713</v>
      </c>
      <c r="P70" s="275">
        <f t="shared" si="0"/>
        <v>52.691799999999994</v>
      </c>
      <c r="Q70" s="272">
        <f>AVERAGE(P70,P72:P74,P76:P78)</f>
        <v>54.878700000000002</v>
      </c>
      <c r="R70" s="63"/>
      <c r="S70" s="63"/>
    </row>
    <row r="71" spans="1:19" ht="23.5">
      <c r="A71" s="63"/>
      <c r="B71" s="63"/>
      <c r="C71" s="63"/>
      <c r="D71" s="63"/>
      <c r="E71" s="63"/>
      <c r="F71" s="63"/>
      <c r="G71" s="63"/>
      <c r="H71" s="63"/>
      <c r="I71" s="63"/>
      <c r="J71" s="63"/>
      <c r="K71" s="63"/>
      <c r="L71" s="63"/>
      <c r="M71" s="277" t="s">
        <v>693</v>
      </c>
      <c r="N71" s="272">
        <f>STDEV(M70,M72:M74,M76:M78)</f>
        <v>189.44869892350644</v>
      </c>
      <c r="O71" s="277" t="s">
        <v>694</v>
      </c>
      <c r="P71" s="277" t="s">
        <v>694</v>
      </c>
      <c r="Q71" s="272">
        <f>STDEV(P70,P72:P74,P76:P78)</f>
        <v>7.0485258063890441</v>
      </c>
      <c r="R71" s="63"/>
      <c r="S71" s="63"/>
    </row>
    <row r="72" spans="1:19" ht="23.5">
      <c r="A72" s="63"/>
      <c r="B72" s="63"/>
      <c r="C72" s="63"/>
      <c r="D72" s="63"/>
      <c r="E72" s="63"/>
      <c r="F72" s="63"/>
      <c r="G72" s="63"/>
      <c r="H72" s="63"/>
      <c r="I72" s="63"/>
      <c r="J72" s="63"/>
      <c r="K72" s="63"/>
      <c r="L72" s="63"/>
      <c r="M72" s="282">
        <v>914.99999999999989</v>
      </c>
      <c r="N72" s="272"/>
      <c r="O72" s="282" t="s">
        <v>715</v>
      </c>
      <c r="P72" s="275">
        <f>M72*(O72/100)</f>
        <v>43.462499999999999</v>
      </c>
      <c r="Q72" s="272"/>
      <c r="R72" s="63"/>
      <c r="S72" s="63"/>
    </row>
    <row r="73" spans="1:19" ht="23.5">
      <c r="A73" s="63"/>
      <c r="B73" s="63"/>
      <c r="C73" s="63"/>
      <c r="D73" s="63"/>
      <c r="E73" s="63"/>
      <c r="F73" s="63"/>
      <c r="G73" s="63"/>
      <c r="H73" s="63"/>
      <c r="I73" s="63"/>
      <c r="J73" s="63"/>
      <c r="K73" s="63"/>
      <c r="L73" s="63"/>
      <c r="M73" s="275">
        <v>1365</v>
      </c>
      <c r="N73" s="272"/>
      <c r="O73" s="276" t="s">
        <v>717</v>
      </c>
      <c r="P73" s="275">
        <f>M73*(O73/100)</f>
        <v>51.323999999999991</v>
      </c>
      <c r="Q73" s="272"/>
      <c r="R73" s="63"/>
      <c r="S73" s="63"/>
    </row>
    <row r="74" spans="1:19" ht="23.5">
      <c r="A74" s="63"/>
      <c r="B74" s="63"/>
      <c r="C74" s="63"/>
      <c r="D74" s="63"/>
      <c r="E74" s="63"/>
      <c r="F74" s="63"/>
      <c r="G74" s="63"/>
      <c r="H74" s="63"/>
      <c r="I74" s="63"/>
      <c r="J74" s="63"/>
      <c r="K74" s="63"/>
      <c r="L74" s="63"/>
      <c r="M74" s="282">
        <v>1480.9999999999998</v>
      </c>
      <c r="N74" s="272"/>
      <c r="O74" s="282" t="s">
        <v>719</v>
      </c>
      <c r="P74" s="275">
        <f>M74*(O74/100)</f>
        <v>62.053899999999999</v>
      </c>
      <c r="Q74" s="272"/>
      <c r="R74" s="63"/>
      <c r="S74" s="63"/>
    </row>
    <row r="75" spans="1:19" ht="23.5">
      <c r="A75" s="63"/>
      <c r="B75" s="63"/>
      <c r="C75" s="63"/>
      <c r="D75" s="63"/>
      <c r="E75" s="63"/>
      <c r="F75" s="63"/>
      <c r="G75" s="63"/>
      <c r="H75" s="63"/>
      <c r="I75" s="63"/>
      <c r="J75" s="63"/>
      <c r="K75" s="63"/>
      <c r="L75" s="63"/>
      <c r="M75" s="277" t="s">
        <v>693</v>
      </c>
      <c r="N75" s="272"/>
      <c r="O75" s="277" t="s">
        <v>694</v>
      </c>
      <c r="P75" s="277" t="s">
        <v>694</v>
      </c>
      <c r="Q75" s="272"/>
      <c r="R75" s="63"/>
      <c r="S75" s="63"/>
    </row>
    <row r="76" spans="1:19" ht="23.5">
      <c r="A76" s="63"/>
      <c r="B76" s="63"/>
      <c r="C76" s="63"/>
      <c r="D76" s="63"/>
      <c r="E76" s="63"/>
      <c r="F76" s="63"/>
      <c r="G76" s="63"/>
      <c r="H76" s="63"/>
      <c r="I76" s="63"/>
      <c r="J76" s="63"/>
      <c r="K76" s="63"/>
      <c r="L76" s="63"/>
      <c r="M76" s="282">
        <v>1421</v>
      </c>
      <c r="N76" s="272"/>
      <c r="O76" s="282" t="s">
        <v>721</v>
      </c>
      <c r="P76" s="275">
        <f t="shared" ref="P76:P105" si="1">M76*(O76/100)</f>
        <v>64.655500000000004</v>
      </c>
      <c r="Q76" s="272"/>
      <c r="R76" s="63"/>
      <c r="S76" s="63"/>
    </row>
    <row r="77" spans="1:19" ht="23.5">
      <c r="A77" s="63"/>
      <c r="B77" s="63"/>
      <c r="C77" s="63"/>
      <c r="D77" s="63"/>
      <c r="E77" s="63"/>
      <c r="F77" s="63"/>
      <c r="G77" s="63"/>
      <c r="H77" s="63"/>
      <c r="I77" s="63"/>
      <c r="J77" s="63"/>
      <c r="K77" s="63"/>
      <c r="L77" s="63"/>
      <c r="M77" s="275">
        <v>1231</v>
      </c>
      <c r="N77" s="272"/>
      <c r="O77" s="276" t="s">
        <v>689</v>
      </c>
      <c r="P77" s="275">
        <f t="shared" si="1"/>
        <v>56.256700000000002</v>
      </c>
      <c r="Q77" s="272"/>
      <c r="R77" s="63"/>
      <c r="S77" s="63"/>
    </row>
    <row r="78" spans="1:19" ht="23.5">
      <c r="A78" s="63"/>
      <c r="B78" s="63"/>
      <c r="C78" s="63"/>
      <c r="D78" s="63"/>
      <c r="E78" s="63"/>
      <c r="F78" s="63"/>
      <c r="G78" s="63"/>
      <c r="H78" s="63"/>
      <c r="I78" s="63"/>
      <c r="J78" s="63"/>
      <c r="K78" s="63"/>
      <c r="L78" s="63"/>
      <c r="M78" s="282">
        <v>1165</v>
      </c>
      <c r="N78" s="272"/>
      <c r="O78" s="282" t="s">
        <v>724</v>
      </c>
      <c r="P78" s="275">
        <f t="shared" si="1"/>
        <v>53.706500000000005</v>
      </c>
      <c r="Q78" s="272"/>
      <c r="R78" s="63"/>
      <c r="S78" s="63"/>
    </row>
    <row r="79" spans="1:19" ht="23.5">
      <c r="A79" s="63"/>
      <c r="B79" s="63"/>
      <c r="C79" s="63"/>
      <c r="D79" s="63"/>
      <c r="E79" s="63"/>
      <c r="F79" s="63"/>
      <c r="G79" s="63"/>
      <c r="H79" s="63"/>
      <c r="I79" s="63"/>
      <c r="J79" s="63"/>
      <c r="K79" s="63"/>
      <c r="L79" s="63"/>
      <c r="M79" s="278">
        <v>935</v>
      </c>
      <c r="N79" s="273">
        <f>AVERAGE(M79:M81)</f>
        <v>1000.6666666666666</v>
      </c>
      <c r="O79" s="279" t="s">
        <v>725</v>
      </c>
      <c r="P79" s="278">
        <f t="shared" si="1"/>
        <v>42.355499999999999</v>
      </c>
      <c r="Q79" s="273">
        <f>AVERAGE(P79:P81)</f>
        <v>42.799200000000006</v>
      </c>
      <c r="R79" s="63"/>
      <c r="S79" s="63"/>
    </row>
    <row r="80" spans="1:19" ht="23.5">
      <c r="A80" s="63"/>
      <c r="B80" s="63"/>
      <c r="C80" s="63"/>
      <c r="D80" s="63"/>
      <c r="E80" s="63"/>
      <c r="F80" s="63"/>
      <c r="G80" s="63"/>
      <c r="H80" s="63"/>
      <c r="I80" s="63"/>
      <c r="J80" s="63"/>
      <c r="K80" s="63"/>
      <c r="L80" s="63"/>
      <c r="M80" s="278">
        <v>1003</v>
      </c>
      <c r="N80" s="273">
        <f>STDEV(M79:M81)</f>
        <v>64.531645983450119</v>
      </c>
      <c r="O80" s="279" t="s">
        <v>728</v>
      </c>
      <c r="P80" s="278">
        <f t="shared" si="1"/>
        <v>40.822099999999999</v>
      </c>
      <c r="Q80" s="273">
        <f>STDEV(P79:P81)</f>
        <v>2.2322708997789711</v>
      </c>
      <c r="R80" s="63"/>
      <c r="S80" s="63"/>
    </row>
    <row r="81" spans="1:19" ht="23.5">
      <c r="A81" s="63"/>
      <c r="B81" s="63"/>
      <c r="C81" s="63"/>
      <c r="D81" s="63"/>
      <c r="E81" s="63"/>
      <c r="F81" s="63"/>
      <c r="G81" s="63"/>
      <c r="H81" s="63"/>
      <c r="I81" s="63"/>
      <c r="J81" s="63"/>
      <c r="K81" s="63"/>
      <c r="L81" s="63"/>
      <c r="M81" s="278">
        <v>1064</v>
      </c>
      <c r="N81" s="273"/>
      <c r="O81" s="279" t="s">
        <v>730</v>
      </c>
      <c r="P81" s="278">
        <f t="shared" si="1"/>
        <v>45.220000000000006</v>
      </c>
      <c r="Q81" s="273"/>
      <c r="R81" s="63"/>
      <c r="S81" s="63"/>
    </row>
    <row r="82" spans="1:19" ht="23.5">
      <c r="A82" s="63"/>
      <c r="B82" s="63"/>
      <c r="C82" s="63"/>
      <c r="D82" s="63"/>
      <c r="E82" s="63"/>
      <c r="F82" s="63"/>
      <c r="G82" s="63"/>
      <c r="H82" s="63"/>
      <c r="I82" s="63"/>
      <c r="J82" s="63"/>
      <c r="K82" s="63"/>
      <c r="L82" s="63"/>
      <c r="M82" s="282">
        <v>1380</v>
      </c>
      <c r="N82" s="272">
        <f>AVERAGE(M82:M90)</f>
        <v>1168.5555555555557</v>
      </c>
      <c r="O82" s="282" t="s">
        <v>732</v>
      </c>
      <c r="P82" s="275">
        <f t="shared" si="1"/>
        <v>55.475999999999992</v>
      </c>
      <c r="Q82" s="272">
        <f>AVERAGE(P82:P90)</f>
        <v>48.472033333333329</v>
      </c>
      <c r="R82" s="63"/>
      <c r="S82" s="63"/>
    </row>
    <row r="83" spans="1:19" ht="23.5">
      <c r="A83" s="63"/>
      <c r="B83" s="63"/>
      <c r="C83" s="63"/>
      <c r="D83" s="63"/>
      <c r="E83" s="63"/>
      <c r="F83" s="63"/>
      <c r="G83" s="63"/>
      <c r="H83" s="63"/>
      <c r="I83" s="63"/>
      <c r="J83" s="63"/>
      <c r="K83" s="63"/>
      <c r="L83" s="63"/>
      <c r="M83" s="275">
        <v>1325</v>
      </c>
      <c r="N83" s="272">
        <f>STDEV(M82:M90)</f>
        <v>135.12319481783189</v>
      </c>
      <c r="O83" s="276" t="s">
        <v>734</v>
      </c>
      <c r="P83" s="275">
        <f t="shared" si="1"/>
        <v>46.2425</v>
      </c>
      <c r="Q83" s="272">
        <f>STDEV(P82:P90)</f>
        <v>4.9879266719750373</v>
      </c>
      <c r="R83" s="63"/>
      <c r="S83" s="63"/>
    </row>
    <row r="84" spans="1:19" ht="23.5">
      <c r="A84" s="63"/>
      <c r="B84" s="63"/>
      <c r="C84" s="63"/>
      <c r="D84" s="63"/>
      <c r="E84" s="63"/>
      <c r="F84" s="63"/>
      <c r="G84" s="63"/>
      <c r="H84" s="63"/>
      <c r="I84" s="63"/>
      <c r="J84" s="63"/>
      <c r="K84" s="63"/>
      <c r="L84" s="63"/>
      <c r="M84" s="275">
        <v>1072.9999999999998</v>
      </c>
      <c r="N84" s="272"/>
      <c r="O84" s="276" t="s">
        <v>708</v>
      </c>
      <c r="P84" s="275">
        <f t="shared" si="1"/>
        <v>48.928799999999981</v>
      </c>
      <c r="Q84" s="272"/>
      <c r="R84" s="63"/>
      <c r="S84" s="63"/>
    </row>
    <row r="85" spans="1:19" ht="23.5">
      <c r="A85" s="63"/>
      <c r="B85" s="63"/>
      <c r="C85" s="63"/>
      <c r="D85" s="63"/>
      <c r="E85" s="63"/>
      <c r="F85" s="63"/>
      <c r="G85" s="63"/>
      <c r="H85" s="63"/>
      <c r="I85" s="63"/>
      <c r="J85" s="63"/>
      <c r="K85" s="63"/>
      <c r="L85" s="63"/>
      <c r="M85" s="275">
        <v>991.99999999999989</v>
      </c>
      <c r="N85" s="272"/>
      <c r="O85" s="276" t="s">
        <v>737</v>
      </c>
      <c r="P85" s="275">
        <f t="shared" si="1"/>
        <v>41.961599999999997</v>
      </c>
      <c r="Q85" s="272"/>
      <c r="R85" s="63"/>
      <c r="S85" s="63"/>
    </row>
    <row r="86" spans="1:19" ht="23.5">
      <c r="A86" s="63"/>
      <c r="B86" s="63"/>
      <c r="C86" s="63"/>
      <c r="D86" s="63"/>
      <c r="E86" s="63"/>
      <c r="F86" s="63"/>
      <c r="G86" s="63"/>
      <c r="H86" s="63"/>
      <c r="I86" s="63"/>
      <c r="J86" s="63"/>
      <c r="K86" s="63"/>
      <c r="L86" s="63"/>
      <c r="M86" s="275">
        <v>1155</v>
      </c>
      <c r="N86" s="272"/>
      <c r="O86" s="276" t="s">
        <v>706</v>
      </c>
      <c r="P86" s="275">
        <f t="shared" si="1"/>
        <v>45.506999999999998</v>
      </c>
      <c r="Q86" s="272"/>
      <c r="R86" s="63"/>
      <c r="S86" s="63"/>
    </row>
    <row r="87" spans="1:19" ht="23.5">
      <c r="A87" s="63"/>
      <c r="B87" s="63"/>
      <c r="C87" s="63"/>
      <c r="D87" s="63"/>
      <c r="E87" s="63"/>
      <c r="F87" s="63"/>
      <c r="G87" s="63"/>
      <c r="H87" s="63"/>
      <c r="I87" s="63"/>
      <c r="J87" s="63"/>
      <c r="K87" s="63"/>
      <c r="L87" s="63"/>
      <c r="M87" s="275">
        <v>1291.9999999999998</v>
      </c>
      <c r="N87" s="272"/>
      <c r="O87" s="276" t="s">
        <v>740</v>
      </c>
      <c r="P87" s="275">
        <f t="shared" si="1"/>
        <v>54.393199999999986</v>
      </c>
      <c r="Q87" s="272"/>
      <c r="R87" s="63"/>
      <c r="S87" s="63"/>
    </row>
    <row r="88" spans="1:19" ht="23.5">
      <c r="A88" s="63"/>
      <c r="B88" s="63"/>
      <c r="C88" s="63"/>
      <c r="D88" s="63"/>
      <c r="E88" s="63"/>
      <c r="F88" s="63"/>
      <c r="G88" s="63"/>
      <c r="H88" s="63"/>
      <c r="I88" s="63"/>
      <c r="J88" s="63"/>
      <c r="K88" s="63"/>
      <c r="L88" s="63"/>
      <c r="M88" s="275">
        <v>1155</v>
      </c>
      <c r="N88" s="272"/>
      <c r="O88" s="276" t="s">
        <v>742</v>
      </c>
      <c r="P88" s="275">
        <f t="shared" si="1"/>
        <v>52.205999999999996</v>
      </c>
      <c r="Q88" s="272"/>
      <c r="R88" s="63"/>
      <c r="S88" s="63"/>
    </row>
    <row r="89" spans="1:19" ht="23.5">
      <c r="A89" s="63"/>
      <c r="B89" s="63"/>
      <c r="C89" s="63"/>
      <c r="D89" s="63"/>
      <c r="E89" s="63"/>
      <c r="F89" s="63"/>
      <c r="G89" s="63"/>
      <c r="H89" s="63"/>
      <c r="I89" s="63"/>
      <c r="J89" s="63"/>
      <c r="K89" s="63"/>
      <c r="L89" s="63"/>
      <c r="M89" s="275">
        <v>1037</v>
      </c>
      <c r="N89" s="272"/>
      <c r="O89" s="276" t="s">
        <v>744</v>
      </c>
      <c r="P89" s="275">
        <f t="shared" si="1"/>
        <v>41.894799999999996</v>
      </c>
      <c r="Q89" s="272"/>
      <c r="R89" s="63"/>
      <c r="S89" s="63"/>
    </row>
    <row r="90" spans="1:19" ht="23.5">
      <c r="A90" s="63"/>
      <c r="B90" s="63"/>
      <c r="C90" s="63"/>
      <c r="D90" s="63"/>
      <c r="E90" s="63"/>
      <c r="F90" s="63"/>
      <c r="G90" s="63"/>
      <c r="H90" s="63"/>
      <c r="I90" s="63"/>
      <c r="J90" s="63"/>
      <c r="K90" s="63"/>
      <c r="L90" s="63"/>
      <c r="M90" s="282">
        <v>1108</v>
      </c>
      <c r="N90" s="272"/>
      <c r="O90" s="282" t="s">
        <v>747</v>
      </c>
      <c r="P90" s="275">
        <f t="shared" si="1"/>
        <v>49.638400000000004</v>
      </c>
      <c r="Q90" s="272"/>
      <c r="R90" s="63"/>
      <c r="S90" s="63"/>
    </row>
    <row r="91" spans="1:19" ht="23.5">
      <c r="A91" s="63"/>
      <c r="B91" s="63"/>
      <c r="C91" s="63"/>
      <c r="D91" s="63"/>
      <c r="E91" s="63"/>
      <c r="F91" s="63"/>
      <c r="G91" s="63"/>
      <c r="H91" s="63"/>
      <c r="I91" s="63"/>
      <c r="J91" s="63"/>
      <c r="K91" s="63"/>
      <c r="L91" s="63"/>
      <c r="M91" s="278">
        <v>897.99999999999989</v>
      </c>
      <c r="N91" s="273">
        <f>AVERAGE(M91:M93)</f>
        <v>857.66666666666663</v>
      </c>
      <c r="O91" s="279" t="s">
        <v>749</v>
      </c>
      <c r="P91" s="278">
        <f t="shared" si="1"/>
        <v>28.735999999999997</v>
      </c>
      <c r="Q91" s="273">
        <f>AVERAGE(P91:P93)</f>
        <v>28.813833333333331</v>
      </c>
      <c r="R91" s="63"/>
      <c r="S91" s="63"/>
    </row>
    <row r="92" spans="1:19" ht="23.5">
      <c r="A92" s="63"/>
      <c r="B92" s="63"/>
      <c r="C92" s="63"/>
      <c r="D92" s="63"/>
      <c r="E92" s="63"/>
      <c r="F92" s="63"/>
      <c r="G92" s="63"/>
      <c r="H92" s="63"/>
      <c r="I92" s="63"/>
      <c r="J92" s="63"/>
      <c r="K92" s="63"/>
      <c r="L92" s="63"/>
      <c r="M92" s="278">
        <v>894.99999999999989</v>
      </c>
      <c r="N92" s="273">
        <f>STDEV(M91:M93)</f>
        <v>67.278030094030882</v>
      </c>
      <c r="O92" s="279" t="s">
        <v>751</v>
      </c>
      <c r="P92" s="278">
        <f t="shared" si="1"/>
        <v>32.667499999999997</v>
      </c>
      <c r="Q92" s="273">
        <f>STDEV(P91:P93)</f>
        <v>3.8153454736542032</v>
      </c>
      <c r="R92" s="63"/>
      <c r="S92" s="63"/>
    </row>
    <row r="93" spans="1:19" ht="23.5">
      <c r="A93" s="63"/>
      <c r="B93" s="63"/>
      <c r="C93" s="63"/>
      <c r="D93" s="63"/>
      <c r="E93" s="63"/>
      <c r="F93" s="63"/>
      <c r="G93" s="63"/>
      <c r="H93" s="63"/>
      <c r="I93" s="63"/>
      <c r="J93" s="63"/>
      <c r="K93" s="63"/>
      <c r="L93" s="63"/>
      <c r="M93" s="278">
        <v>780</v>
      </c>
      <c r="N93" s="273"/>
      <c r="O93" s="279" t="s">
        <v>753</v>
      </c>
      <c r="P93" s="278">
        <f t="shared" si="1"/>
        <v>25.037999999999997</v>
      </c>
      <c r="Q93" s="273"/>
      <c r="R93" s="63"/>
      <c r="S93" s="63"/>
    </row>
    <row r="94" spans="1:19" ht="23.5">
      <c r="A94" s="63"/>
      <c r="B94" s="63"/>
      <c r="C94" s="63"/>
      <c r="D94" s="63"/>
      <c r="E94" s="63"/>
      <c r="F94" s="63"/>
      <c r="G94" s="63"/>
      <c r="H94" s="63"/>
      <c r="I94" s="63"/>
      <c r="J94" s="63"/>
      <c r="K94" s="63"/>
      <c r="L94" s="63"/>
      <c r="M94" s="282">
        <v>1449.9999999999998</v>
      </c>
      <c r="N94" s="272">
        <f>AVERAGE(M94:M102)</f>
        <v>1230.2222222222222</v>
      </c>
      <c r="O94" s="282" t="s">
        <v>755</v>
      </c>
      <c r="P94" s="275">
        <f t="shared" si="1"/>
        <v>53.65</v>
      </c>
      <c r="Q94" s="272">
        <f>AVERAGE(P94:P102)</f>
        <v>47.512266666666662</v>
      </c>
      <c r="R94" s="63"/>
      <c r="S94" s="63"/>
    </row>
    <row r="95" spans="1:19" ht="23.5">
      <c r="A95" s="63"/>
      <c r="B95" s="63"/>
      <c r="C95" s="63"/>
      <c r="D95" s="63"/>
      <c r="E95" s="63"/>
      <c r="F95" s="63"/>
      <c r="G95" s="63"/>
      <c r="H95" s="63"/>
      <c r="I95" s="63"/>
      <c r="J95" s="63"/>
      <c r="K95" s="63"/>
      <c r="L95" s="63"/>
      <c r="M95" s="275">
        <v>945</v>
      </c>
      <c r="N95" s="272">
        <f>STDEV(M94:M102)</f>
        <v>153.53808792753836</v>
      </c>
      <c r="O95" s="276" t="s">
        <v>757</v>
      </c>
      <c r="P95" s="275">
        <f t="shared" si="1"/>
        <v>34.587000000000003</v>
      </c>
      <c r="Q95" s="272">
        <f>STDEV(P94:P102)</f>
        <v>6.0240503550352669</v>
      </c>
      <c r="R95" s="63"/>
      <c r="S95" s="63"/>
    </row>
    <row r="96" spans="1:19" ht="23.5">
      <c r="A96" s="63"/>
      <c r="B96" s="63"/>
      <c r="C96" s="63"/>
      <c r="D96" s="63"/>
      <c r="E96" s="63"/>
      <c r="F96" s="63"/>
      <c r="G96" s="63"/>
      <c r="H96" s="63"/>
      <c r="I96" s="63"/>
      <c r="J96" s="63"/>
      <c r="K96" s="63"/>
      <c r="L96" s="63"/>
      <c r="M96" s="275">
        <v>1260.9999999999998</v>
      </c>
      <c r="N96" s="272"/>
      <c r="O96" s="276" t="s">
        <v>759</v>
      </c>
      <c r="P96" s="275">
        <f t="shared" si="1"/>
        <v>52.457599999999985</v>
      </c>
      <c r="Q96" s="272"/>
      <c r="R96" s="63"/>
      <c r="S96" s="63"/>
    </row>
    <row r="97" spans="1:19" ht="23.5">
      <c r="A97" s="63"/>
      <c r="B97" s="63"/>
      <c r="C97" s="63"/>
      <c r="D97" s="63"/>
      <c r="E97" s="63"/>
      <c r="F97" s="63"/>
      <c r="G97" s="63"/>
      <c r="H97" s="63"/>
      <c r="I97" s="63"/>
      <c r="J97" s="63"/>
      <c r="K97" s="63"/>
      <c r="L97" s="63"/>
      <c r="M97" s="275">
        <v>1195</v>
      </c>
      <c r="N97" s="272"/>
      <c r="O97" s="276" t="s">
        <v>706</v>
      </c>
      <c r="P97" s="275">
        <f t="shared" si="1"/>
        <v>47.082999999999998</v>
      </c>
      <c r="Q97" s="272"/>
      <c r="R97" s="63"/>
      <c r="S97" s="63"/>
    </row>
    <row r="98" spans="1:19" ht="23.5">
      <c r="A98" s="63"/>
      <c r="B98" s="63"/>
      <c r="C98" s="63"/>
      <c r="D98" s="63"/>
      <c r="E98" s="63"/>
      <c r="F98" s="63"/>
      <c r="G98" s="63"/>
      <c r="H98" s="63"/>
      <c r="I98" s="63"/>
      <c r="J98" s="63"/>
      <c r="K98" s="63"/>
      <c r="L98" s="63"/>
      <c r="M98" s="275">
        <v>1262</v>
      </c>
      <c r="N98" s="272"/>
      <c r="O98" s="276" t="s">
        <v>762</v>
      </c>
      <c r="P98" s="275">
        <f t="shared" si="1"/>
        <v>49.596600000000002</v>
      </c>
      <c r="Q98" s="272"/>
      <c r="R98" s="63"/>
      <c r="S98" s="63"/>
    </row>
    <row r="99" spans="1:19" ht="23.5">
      <c r="A99" s="63"/>
      <c r="B99" s="63"/>
      <c r="C99" s="63"/>
      <c r="D99" s="63"/>
      <c r="E99" s="63"/>
      <c r="F99" s="63"/>
      <c r="G99" s="63"/>
      <c r="H99" s="63"/>
      <c r="I99" s="63"/>
      <c r="J99" s="63"/>
      <c r="K99" s="63"/>
      <c r="L99" s="63"/>
      <c r="M99" s="275">
        <v>1059</v>
      </c>
      <c r="N99" s="272"/>
      <c r="O99" s="276" t="s">
        <v>764</v>
      </c>
      <c r="P99" s="275">
        <f t="shared" si="1"/>
        <v>41.936399999999999</v>
      </c>
      <c r="Q99" s="272"/>
      <c r="R99" s="63"/>
      <c r="S99" s="63"/>
    </row>
    <row r="100" spans="1:19" ht="23.5">
      <c r="A100" s="63"/>
      <c r="B100" s="63"/>
      <c r="C100" s="63"/>
      <c r="D100" s="63"/>
      <c r="E100" s="63"/>
      <c r="F100" s="63"/>
      <c r="G100" s="63"/>
      <c r="H100" s="63"/>
      <c r="I100" s="63"/>
      <c r="J100" s="63"/>
      <c r="K100" s="63"/>
      <c r="L100" s="63"/>
      <c r="M100" s="275">
        <v>1334.0000000000002</v>
      </c>
      <c r="N100" s="272"/>
      <c r="O100" s="276" t="s">
        <v>765</v>
      </c>
      <c r="P100" s="275">
        <f t="shared" si="1"/>
        <v>47.890600000000013</v>
      </c>
      <c r="Q100" s="272"/>
      <c r="R100" s="63"/>
      <c r="S100" s="63"/>
    </row>
    <row r="101" spans="1:19" ht="23.5">
      <c r="A101" s="63"/>
      <c r="B101" s="63"/>
      <c r="C101" s="63"/>
      <c r="D101" s="63"/>
      <c r="E101" s="63"/>
      <c r="F101" s="63"/>
      <c r="G101" s="63"/>
      <c r="H101" s="63"/>
      <c r="I101" s="63"/>
      <c r="J101" s="63"/>
      <c r="K101" s="63"/>
      <c r="L101" s="63"/>
      <c r="M101" s="275">
        <v>1353.9999999999998</v>
      </c>
      <c r="N101" s="272"/>
      <c r="O101" s="276" t="s">
        <v>767</v>
      </c>
      <c r="P101" s="275">
        <f t="shared" si="1"/>
        <v>52.535199999999996</v>
      </c>
      <c r="Q101" s="272"/>
      <c r="R101" s="63"/>
      <c r="S101" s="63"/>
    </row>
    <row r="102" spans="1:19" ht="23.5">
      <c r="A102" s="63"/>
      <c r="B102" s="63"/>
      <c r="C102" s="63"/>
      <c r="D102" s="63"/>
      <c r="E102" s="63"/>
      <c r="F102" s="63"/>
      <c r="G102" s="63"/>
      <c r="H102" s="63"/>
      <c r="I102" s="63"/>
      <c r="J102" s="63"/>
      <c r="K102" s="63"/>
      <c r="L102" s="63"/>
      <c r="M102" s="282">
        <v>1212</v>
      </c>
      <c r="N102" s="272"/>
      <c r="O102" s="282" t="s">
        <v>769</v>
      </c>
      <c r="P102" s="275">
        <f t="shared" si="1"/>
        <v>47.874000000000002</v>
      </c>
      <c r="Q102" s="272"/>
      <c r="R102" s="63"/>
      <c r="S102" s="63"/>
    </row>
    <row r="103" spans="1:19" ht="23.5">
      <c r="A103" s="63"/>
      <c r="B103" s="63"/>
      <c r="C103" s="63"/>
      <c r="D103" s="63"/>
      <c r="E103" s="63"/>
      <c r="F103" s="63"/>
      <c r="G103" s="63"/>
      <c r="H103" s="63"/>
      <c r="I103" s="63"/>
      <c r="J103" s="63"/>
      <c r="K103" s="63"/>
      <c r="L103" s="63"/>
      <c r="M103" s="280">
        <v>957</v>
      </c>
      <c r="N103" s="273">
        <f>AVERAGE(M104:M105)</f>
        <v>786</v>
      </c>
      <c r="O103" s="281" t="s">
        <v>771</v>
      </c>
      <c r="P103" s="280">
        <f t="shared" si="1"/>
        <v>37.227300000000007</v>
      </c>
      <c r="Q103" s="273">
        <f>AVERAGE(P104:P105)</f>
        <v>27.763299999999997</v>
      </c>
      <c r="R103" s="63"/>
      <c r="S103" s="63"/>
    </row>
    <row r="104" spans="1:19" ht="23.5">
      <c r="A104" s="63"/>
      <c r="B104" s="63"/>
      <c r="C104" s="63"/>
      <c r="D104" s="63"/>
      <c r="E104" s="63"/>
      <c r="F104" s="63"/>
      <c r="G104" s="63"/>
      <c r="H104" s="63"/>
      <c r="I104" s="63"/>
      <c r="J104" s="63"/>
      <c r="K104" s="63"/>
      <c r="L104" s="63"/>
      <c r="M104" s="278">
        <v>862</v>
      </c>
      <c r="N104" s="273">
        <f>STDEV(M104:M105)</f>
        <v>107.48023074035531</v>
      </c>
      <c r="O104" s="279" t="s">
        <v>767</v>
      </c>
      <c r="P104" s="278">
        <f t="shared" si="1"/>
        <v>33.445599999999999</v>
      </c>
      <c r="Q104" s="273">
        <f>STDEV(P104:P105)</f>
        <v>8.0359857254726421</v>
      </c>
      <c r="R104" s="63"/>
      <c r="S104" s="63"/>
    </row>
    <row r="105" spans="1:19" ht="23.5">
      <c r="A105" s="63"/>
      <c r="B105" s="63"/>
      <c r="C105" s="63"/>
      <c r="D105" s="63"/>
      <c r="E105" s="63"/>
      <c r="F105" s="63"/>
      <c r="G105" s="63"/>
      <c r="H105" s="63"/>
      <c r="I105" s="63"/>
      <c r="J105" s="63"/>
      <c r="K105" s="63"/>
      <c r="L105" s="63"/>
      <c r="M105" s="278">
        <v>709.99999999999989</v>
      </c>
      <c r="N105" s="273"/>
      <c r="O105" s="279" t="s">
        <v>773</v>
      </c>
      <c r="P105" s="278">
        <f t="shared" si="1"/>
        <v>22.080999999999996</v>
      </c>
      <c r="Q105" s="273"/>
      <c r="R105" s="63"/>
      <c r="S105" s="63"/>
    </row>
    <row r="106" spans="1:19" ht="23.5">
      <c r="A106" s="63"/>
      <c r="B106" s="63"/>
      <c r="C106" s="63"/>
      <c r="D106" s="63"/>
      <c r="E106" s="63"/>
      <c r="F106" s="63"/>
      <c r="G106" s="63"/>
      <c r="H106" s="63"/>
      <c r="I106" s="63"/>
      <c r="J106" s="63"/>
      <c r="K106" s="63"/>
      <c r="L106" s="63"/>
      <c r="M106" s="63"/>
      <c r="N106" s="63"/>
      <c r="O106" s="63"/>
      <c r="P106" s="63"/>
      <c r="Q106" s="63"/>
      <c r="R106" s="63"/>
      <c r="S106" s="63"/>
    </row>
    <row r="107" spans="1:19" ht="23.5">
      <c r="A107" s="63"/>
      <c r="B107" s="63"/>
      <c r="C107" s="63"/>
      <c r="D107" s="63"/>
      <c r="E107" s="63"/>
      <c r="F107" s="63"/>
      <c r="G107" s="63"/>
      <c r="H107" s="63"/>
      <c r="I107" s="63"/>
      <c r="J107" s="63"/>
      <c r="K107" s="63"/>
      <c r="L107" s="63"/>
      <c r="M107" s="63"/>
      <c r="N107" s="63"/>
      <c r="O107" s="63"/>
      <c r="P107" s="63"/>
      <c r="Q107" s="63"/>
      <c r="R107" s="63"/>
      <c r="S107" s="63"/>
    </row>
    <row r="108" spans="1:19" ht="23.5">
      <c r="A108" s="63"/>
      <c r="B108" s="63"/>
      <c r="C108" s="63"/>
      <c r="D108" s="63"/>
      <c r="E108" s="63"/>
      <c r="F108" s="63"/>
      <c r="G108" s="63"/>
      <c r="H108" s="63"/>
      <c r="I108" s="63"/>
      <c r="J108" s="63"/>
      <c r="K108" s="63"/>
      <c r="L108" s="63"/>
      <c r="M108" s="63"/>
      <c r="N108" s="63"/>
      <c r="O108" s="63"/>
      <c r="P108" s="63"/>
      <c r="Q108" s="63"/>
      <c r="R108" s="63"/>
      <c r="S108" s="63"/>
    </row>
    <row r="109" spans="1:19" ht="23.5">
      <c r="A109" s="63"/>
      <c r="B109" s="63"/>
      <c r="C109" s="63"/>
      <c r="D109" s="63"/>
      <c r="E109" s="63"/>
      <c r="F109" s="63"/>
      <c r="G109" s="63"/>
      <c r="H109" s="63"/>
      <c r="I109" s="63"/>
      <c r="J109" s="63"/>
      <c r="K109" s="63"/>
      <c r="L109" s="63"/>
      <c r="M109" s="63"/>
      <c r="N109" s="63"/>
      <c r="O109" s="63"/>
      <c r="P109" s="63"/>
      <c r="Q109" s="63"/>
      <c r="R109" s="63"/>
      <c r="S109" s="63"/>
    </row>
  </sheetData>
  <phoneticPr fontId="30" type="noConversion"/>
  <pageMargins left="0.7" right="0.7" top="0.75" bottom="0.75" header="0.3" footer="0.3"/>
  <ignoredErrors>
    <ignoredError sqref="L22:N22 L10:N10 L18:N18" calculatedColumn="1"/>
  </ignoredErrors>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87DD-E1A0-1042-8716-9407D06B8A2E}">
  <dimension ref="A1:AO89"/>
  <sheetViews>
    <sheetView topLeftCell="Z1" zoomScale="80" zoomScaleNormal="80" workbookViewId="0">
      <selection activeCell="AD6" sqref="AD6"/>
    </sheetView>
  </sheetViews>
  <sheetFormatPr defaultColWidth="11" defaultRowHeight="15.5"/>
  <cols>
    <col min="2" max="2" width="14" customWidth="1"/>
    <col min="3" max="3" width="14.58203125" customWidth="1"/>
    <col min="4" max="4" width="8.83203125" customWidth="1"/>
    <col min="5" max="5" width="8.5" customWidth="1"/>
    <col min="6" max="6" width="24" customWidth="1"/>
    <col min="7" max="7" width="30.08203125" customWidth="1"/>
    <col min="8" max="9" width="23" customWidth="1"/>
    <col min="10" max="10" width="24.33203125" customWidth="1"/>
    <col min="11" max="11" width="29.58203125" customWidth="1"/>
    <col min="12" max="12" width="31.83203125" customWidth="1"/>
    <col min="13" max="14" width="30.33203125" customWidth="1"/>
    <col min="15" max="15" width="23.33203125" customWidth="1"/>
    <col min="16" max="16" width="13" customWidth="1"/>
    <col min="17" max="17" width="15" customWidth="1"/>
    <col min="18" max="18" width="10.5" customWidth="1"/>
    <col min="19" max="19" width="32" customWidth="1"/>
    <col min="20" max="20" width="40.33203125" customWidth="1"/>
    <col min="21" max="21" width="17.58203125" customWidth="1"/>
    <col min="22" max="22" width="29.5" customWidth="1"/>
    <col min="23" max="24" width="25.5" customWidth="1"/>
    <col min="25" max="25" width="33.5" customWidth="1"/>
    <col min="26" max="26" width="29" customWidth="1"/>
    <col min="27" max="30" width="20.83203125" customWidth="1"/>
    <col min="31" max="31" width="23.5" customWidth="1"/>
    <col min="32" max="32" width="22.33203125" customWidth="1"/>
    <col min="33" max="33" width="24.08203125" customWidth="1"/>
    <col min="34" max="34" width="22" customWidth="1"/>
    <col min="35" max="35" width="22.33203125" customWidth="1"/>
    <col min="36" max="36" width="17.08203125" customWidth="1"/>
    <col min="37" max="37" width="17.5" customWidth="1"/>
    <col min="38" max="38" width="15.5" customWidth="1"/>
    <col min="39" max="39" width="19.33203125" customWidth="1"/>
    <col min="40" max="40" width="12.5" customWidth="1"/>
    <col min="41" max="41" width="14.83203125" customWidth="1"/>
  </cols>
  <sheetData>
    <row r="1" spans="1:41" ht="23.5">
      <c r="A1" t="s">
        <v>777</v>
      </c>
      <c r="T1" s="63" t="s">
        <v>607</v>
      </c>
      <c r="U1" s="63" t="s">
        <v>778</v>
      </c>
    </row>
    <row r="2" spans="1:41" ht="23.5">
      <c r="H2" t="s">
        <v>779</v>
      </c>
      <c r="J2">
        <v>55.8</v>
      </c>
      <c r="T2" s="63"/>
      <c r="U2" s="63" t="s">
        <v>610</v>
      </c>
    </row>
    <row r="3" spans="1:41">
      <c r="T3" s="14"/>
    </row>
    <row r="4" spans="1:41" ht="23.5">
      <c r="G4" s="15" t="s">
        <v>780</v>
      </c>
      <c r="H4" s="15" t="s">
        <v>780</v>
      </c>
      <c r="I4" s="15"/>
      <c r="M4" s="15" t="s">
        <v>781</v>
      </c>
      <c r="N4" s="15"/>
      <c r="T4" s="95" t="s">
        <v>782</v>
      </c>
      <c r="AG4" t="s">
        <v>783</v>
      </c>
    </row>
    <row r="5" spans="1:41">
      <c r="A5" s="76" t="s">
        <v>612</v>
      </c>
      <c r="B5" s="76" t="s">
        <v>613</v>
      </c>
      <c r="C5" s="76" t="s">
        <v>784</v>
      </c>
      <c r="D5" s="76" t="s">
        <v>785</v>
      </c>
      <c r="E5" s="76" t="s">
        <v>786</v>
      </c>
      <c r="F5" s="76" t="s">
        <v>787</v>
      </c>
      <c r="G5" s="76" t="s">
        <v>788</v>
      </c>
      <c r="H5" s="76" t="s">
        <v>658</v>
      </c>
      <c r="I5" s="76" t="s">
        <v>789</v>
      </c>
      <c r="J5" s="76" t="s">
        <v>790</v>
      </c>
      <c r="K5" s="76" t="s">
        <v>660</v>
      </c>
      <c r="L5" s="76" t="s">
        <v>791</v>
      </c>
      <c r="M5" s="76" t="s">
        <v>792</v>
      </c>
      <c r="N5" s="76" t="s">
        <v>793</v>
      </c>
      <c r="P5" s="91" t="s">
        <v>559</v>
      </c>
      <c r="Q5" s="76" t="s">
        <v>784</v>
      </c>
      <c r="R5" s="76" t="s">
        <v>785</v>
      </c>
      <c r="S5" s="76" t="s">
        <v>794</v>
      </c>
      <c r="T5" s="76" t="s">
        <v>795</v>
      </c>
      <c r="U5" s="76" t="s">
        <v>796</v>
      </c>
      <c r="V5" s="76" t="s">
        <v>797</v>
      </c>
      <c r="W5" s="76" t="s">
        <v>663</v>
      </c>
      <c r="X5" s="76" t="s">
        <v>798</v>
      </c>
      <c r="Y5" s="76" t="s">
        <v>799</v>
      </c>
      <c r="Z5" s="76" t="s">
        <v>800</v>
      </c>
      <c r="AA5" s="76" t="s">
        <v>578</v>
      </c>
      <c r="AB5" s="76" t="s">
        <v>801</v>
      </c>
      <c r="AC5" s="76" t="s">
        <v>524</v>
      </c>
      <c r="AD5" s="76" t="s">
        <v>802</v>
      </c>
      <c r="AE5" s="76" t="s">
        <v>803</v>
      </c>
      <c r="AG5" s="3" t="s">
        <v>672</v>
      </c>
      <c r="AH5" s="3" t="s">
        <v>670</v>
      </c>
      <c r="AI5" s="3" t="s">
        <v>671</v>
      </c>
      <c r="AK5" s="3" t="s">
        <v>52</v>
      </c>
      <c r="AL5" s="10" t="s">
        <v>675</v>
      </c>
      <c r="AM5" s="10" t="s">
        <v>676</v>
      </c>
      <c r="AN5" s="10" t="s">
        <v>677</v>
      </c>
      <c r="AO5" s="10" t="s">
        <v>678</v>
      </c>
    </row>
    <row r="6" spans="1:41">
      <c r="A6" s="10">
        <v>2021</v>
      </c>
      <c r="B6" s="10">
        <v>201</v>
      </c>
      <c r="C6" s="10">
        <v>1</v>
      </c>
      <c r="D6" s="10">
        <v>1</v>
      </c>
      <c r="E6" s="78" t="s">
        <v>804</v>
      </c>
      <c r="F6" s="10">
        <v>3620.5</v>
      </c>
      <c r="G6" s="10">
        <v>1655.9</v>
      </c>
      <c r="H6" s="10">
        <f>G6-55.8</f>
        <v>1600.1000000000001</v>
      </c>
      <c r="I6" s="10">
        <f>(H6/3)*6.857</f>
        <v>3657.2952333333333</v>
      </c>
      <c r="J6" s="10">
        <v>564.5</v>
      </c>
      <c r="K6" s="10">
        <f>J6-55.8</f>
        <v>508.7</v>
      </c>
      <c r="L6" s="10">
        <v>245.5</v>
      </c>
      <c r="M6" s="10">
        <f>L6-55.8</f>
        <v>189.7</v>
      </c>
      <c r="N6" s="10">
        <f>(M6/3)*6.857</f>
        <v>433.59096666666665</v>
      </c>
      <c r="P6" s="99" t="s">
        <v>337</v>
      </c>
      <c r="Q6" s="10">
        <v>1</v>
      </c>
      <c r="R6" s="10">
        <v>1</v>
      </c>
      <c r="S6" s="10">
        <f>(I6+I7)/2</f>
        <v>3613.6390000000001</v>
      </c>
      <c r="T6" s="10">
        <f>(N6+N7)/2</f>
        <v>427.30538333333334</v>
      </c>
      <c r="U6" s="10">
        <f>S6-T6</f>
        <v>3186.3336166666668</v>
      </c>
      <c r="V6" s="10">
        <f>(U6/S6)*100</f>
        <v>88.175205566097404</v>
      </c>
      <c r="W6" s="10">
        <f>(T6/1000)/0.0001</f>
        <v>4273.0538333333334</v>
      </c>
      <c r="X6" s="10">
        <f>W6*1.15</f>
        <v>4914.0119083333329</v>
      </c>
      <c r="Y6" s="10">
        <f>W6/1000</f>
        <v>4.273053833333333</v>
      </c>
      <c r="Z6" s="10">
        <f>Y6*1.15</f>
        <v>4.9140119083333325</v>
      </c>
      <c r="AA6" s="10" t="s">
        <v>805</v>
      </c>
      <c r="AB6" s="10">
        <f>(Y6)*(AA6/100)</f>
        <v>1.846386561383333</v>
      </c>
      <c r="AC6" s="10" t="s">
        <v>806</v>
      </c>
      <c r="AD6" s="10">
        <f>W6*(AC6/100)</f>
        <v>120.50011809999999</v>
      </c>
      <c r="AE6" s="10">
        <f>Y6*(AC6/100)</f>
        <v>0.12050011809999998</v>
      </c>
      <c r="AF6" s="15">
        <v>1</v>
      </c>
      <c r="AG6" s="10" t="s">
        <v>675</v>
      </c>
      <c r="AH6" s="10">
        <f>AVERAGE(Y6:Y14)</f>
        <v>4.5977454814814811</v>
      </c>
      <c r="AI6" s="10">
        <f>STDEV(Y6:Y14)</f>
        <v>0.36793041479308075</v>
      </c>
      <c r="AK6" t="s">
        <v>683</v>
      </c>
      <c r="AL6">
        <v>5.287407303703703</v>
      </c>
      <c r="AM6">
        <v>6.0843092592592587</v>
      </c>
      <c r="AN6">
        <v>4.5616089537037032</v>
      </c>
      <c r="AO6">
        <v>4.4753527777777773</v>
      </c>
    </row>
    <row r="7" spans="1:41">
      <c r="A7" s="10">
        <v>2021</v>
      </c>
      <c r="B7" s="10">
        <v>201</v>
      </c>
      <c r="C7" s="10">
        <v>1</v>
      </c>
      <c r="D7" s="10">
        <v>1</v>
      </c>
      <c r="E7" s="10" t="s">
        <v>807</v>
      </c>
      <c r="F7" s="10">
        <v>5074.1000000000004</v>
      </c>
      <c r="G7" s="10">
        <v>1617.7</v>
      </c>
      <c r="H7" s="10">
        <f t="shared" ref="H7:H70" si="0">G7-55.8</f>
        <v>1561.9</v>
      </c>
      <c r="I7" s="10">
        <f t="shared" ref="I7:I26" si="1">(H7/3)*6.857</f>
        <v>3569.9827666666665</v>
      </c>
      <c r="J7" s="10">
        <v>650.5</v>
      </c>
      <c r="K7" s="10">
        <f t="shared" ref="K7:K70" si="2">J7-55.8</f>
        <v>594.70000000000005</v>
      </c>
      <c r="L7" s="10">
        <v>240</v>
      </c>
      <c r="M7" s="10">
        <f t="shared" ref="M7:M70" si="3">L7-55.8</f>
        <v>184.2</v>
      </c>
      <c r="N7" s="10">
        <f t="shared" ref="N7:N26" si="4">(M7/3)*6.857</f>
        <v>421.01979999999998</v>
      </c>
      <c r="P7" s="99" t="s">
        <v>338</v>
      </c>
      <c r="Q7" s="10">
        <v>1</v>
      </c>
      <c r="R7" s="10">
        <v>2</v>
      </c>
      <c r="S7" s="10">
        <f>(I8+I9)/2</f>
        <v>3805.6350000000002</v>
      </c>
      <c r="T7" s="10">
        <f>(N8+N9)/2</f>
        <v>495.76109999999994</v>
      </c>
      <c r="U7" s="10">
        <f t="shared" ref="U7:U53" si="5">S7-T7</f>
        <v>3309.8739000000005</v>
      </c>
      <c r="V7" s="10">
        <f t="shared" ref="V7:V53" si="6">(U7/S7)*100</f>
        <v>86.972972972972983</v>
      </c>
      <c r="W7" s="10">
        <f t="shared" ref="W7:W53" si="7">(T7/1000)/0.0001</f>
        <v>4957.610999999999</v>
      </c>
      <c r="X7" s="10">
        <f t="shared" ref="X7:X50" si="8">W7*1.15</f>
        <v>5701.2526499999985</v>
      </c>
      <c r="Y7" s="10">
        <f t="shared" ref="Y7:Y53" si="9">W7/1000</f>
        <v>4.9576109999999991</v>
      </c>
      <c r="Z7" s="10">
        <f t="shared" ref="Z7:Z53" si="10">Y7*1.15</f>
        <v>5.7012526499999989</v>
      </c>
      <c r="AA7" s="10" t="s">
        <v>808</v>
      </c>
      <c r="AB7" s="10">
        <f t="shared" ref="AB7:AB53" si="11">(Y7)*(AA7/100)</f>
        <v>2.1139253303999994</v>
      </c>
      <c r="AC7" s="10" t="s">
        <v>809</v>
      </c>
      <c r="AD7" s="10">
        <f t="shared" ref="AD7:AD53" si="12">W7*(AC7/100)</f>
        <v>135.34278029999999</v>
      </c>
      <c r="AE7" s="10">
        <f t="shared" ref="AE7:AE53" si="13">Y7*(AC7/100)</f>
        <v>0.13534278029999999</v>
      </c>
      <c r="AF7" s="15" t="s">
        <v>810</v>
      </c>
      <c r="AG7" s="10" t="s">
        <v>682</v>
      </c>
      <c r="AH7" s="10">
        <f>AVERAGE(Y15:Y17)</f>
        <v>4.5454291111111109</v>
      </c>
      <c r="AI7" s="10">
        <f>STDEV(Y15:Y17)</f>
        <v>0.4519863693264709</v>
      </c>
      <c r="AK7" t="s">
        <v>688</v>
      </c>
      <c r="AL7">
        <v>5.227243477777777</v>
      </c>
      <c r="AM7">
        <v>5.1287444444444441</v>
      </c>
      <c r="AN7">
        <v>3.7006131111111107</v>
      </c>
      <c r="AO7">
        <v>4.2298277777777775</v>
      </c>
    </row>
    <row r="8" spans="1:41">
      <c r="A8" s="10">
        <v>2021</v>
      </c>
      <c r="B8" s="10">
        <v>201</v>
      </c>
      <c r="C8" s="10">
        <v>1</v>
      </c>
      <c r="D8" s="10">
        <v>2</v>
      </c>
      <c r="E8" s="10" t="s">
        <v>804</v>
      </c>
      <c r="F8" s="10">
        <v>4631.6000000000004</v>
      </c>
      <c r="G8" s="10">
        <v>1812.7</v>
      </c>
      <c r="H8" s="10">
        <f t="shared" si="0"/>
        <v>1756.9</v>
      </c>
      <c r="I8" s="10">
        <f t="shared" si="1"/>
        <v>4015.6877666666669</v>
      </c>
      <c r="J8" s="10">
        <v>555.4</v>
      </c>
      <c r="K8" s="10">
        <f t="shared" si="2"/>
        <v>499.59999999999997</v>
      </c>
      <c r="L8" s="10">
        <v>276.5</v>
      </c>
      <c r="M8" s="10">
        <f t="shared" si="3"/>
        <v>220.7</v>
      </c>
      <c r="N8" s="10">
        <f t="shared" si="4"/>
        <v>504.4466333333333</v>
      </c>
      <c r="P8" s="99" t="s">
        <v>339</v>
      </c>
      <c r="Q8" s="10">
        <v>1</v>
      </c>
      <c r="R8" s="10">
        <v>3</v>
      </c>
      <c r="S8" s="10">
        <f>(I10+I11)/2</f>
        <v>3822.4346500000001</v>
      </c>
      <c r="T8" s="10">
        <f>(N10+N11)/2</f>
        <v>454.39053333333334</v>
      </c>
      <c r="U8" s="10">
        <f t="shared" si="5"/>
        <v>3368.0441166666669</v>
      </c>
      <c r="V8" s="10">
        <f t="shared" si="6"/>
        <v>88.112536251382792</v>
      </c>
      <c r="W8" s="10">
        <f t="shared" si="7"/>
        <v>4543.9053333333331</v>
      </c>
      <c r="X8" s="10">
        <f t="shared" si="8"/>
        <v>5225.491133333333</v>
      </c>
      <c r="Y8" s="10">
        <f t="shared" si="9"/>
        <v>4.543905333333333</v>
      </c>
      <c r="Z8" s="10">
        <f t="shared" si="10"/>
        <v>5.2254911333333327</v>
      </c>
      <c r="AA8" s="10" t="s">
        <v>811</v>
      </c>
      <c r="AB8" s="10">
        <f t="shared" si="11"/>
        <v>2.0061342046666666</v>
      </c>
      <c r="AC8" s="10" t="s">
        <v>812</v>
      </c>
      <c r="AD8" s="10">
        <f t="shared" si="12"/>
        <v>114.96080493333332</v>
      </c>
      <c r="AE8" s="10">
        <f t="shared" si="13"/>
        <v>0.11496080493333333</v>
      </c>
      <c r="AF8" s="15">
        <v>2</v>
      </c>
      <c r="AG8" s="10" t="s">
        <v>676</v>
      </c>
      <c r="AH8" s="10">
        <f>AVERAGE(Y18:Y26)</f>
        <v>5.290703703703703</v>
      </c>
      <c r="AI8" s="10">
        <f>STDEV(Y18:Y26)</f>
        <v>0.38382821115573595</v>
      </c>
    </row>
    <row r="9" spans="1:41">
      <c r="A9" s="10">
        <v>2021</v>
      </c>
      <c r="B9" s="10">
        <v>201</v>
      </c>
      <c r="C9" s="10">
        <v>1</v>
      </c>
      <c r="D9" s="10">
        <v>2</v>
      </c>
      <c r="E9" s="10" t="s">
        <v>807</v>
      </c>
      <c r="F9" s="10">
        <v>4816.3999999999996</v>
      </c>
      <c r="G9" s="10">
        <v>1628.9</v>
      </c>
      <c r="H9" s="10">
        <f t="shared" si="0"/>
        <v>1573.1000000000001</v>
      </c>
      <c r="I9" s="10">
        <f t="shared" si="1"/>
        <v>3595.5822333333335</v>
      </c>
      <c r="J9" s="10">
        <v>477.4</v>
      </c>
      <c r="K9" s="10">
        <f t="shared" si="2"/>
        <v>421.59999999999997</v>
      </c>
      <c r="L9" s="10">
        <v>268.89999999999998</v>
      </c>
      <c r="M9" s="10">
        <f t="shared" si="3"/>
        <v>213.09999999999997</v>
      </c>
      <c r="N9" s="10">
        <f t="shared" si="4"/>
        <v>487.07556666666659</v>
      </c>
      <c r="P9" s="99" t="s">
        <v>340</v>
      </c>
      <c r="Q9" s="10">
        <v>1</v>
      </c>
      <c r="R9" s="10">
        <v>4</v>
      </c>
      <c r="S9" s="10">
        <f>(I12+I13)/2</f>
        <v>3922.7754166666673</v>
      </c>
      <c r="T9" s="10">
        <f>(N12+N13)/2</f>
        <v>470.27591666666672</v>
      </c>
      <c r="U9" s="10">
        <f t="shared" si="5"/>
        <v>3452.4995000000008</v>
      </c>
      <c r="V9" s="10">
        <f t="shared" si="6"/>
        <v>88.011653313911154</v>
      </c>
      <c r="W9" s="10">
        <f t="shared" si="7"/>
        <v>4702.7591666666667</v>
      </c>
      <c r="X9" s="10">
        <f t="shared" si="8"/>
        <v>5408.173041666666</v>
      </c>
      <c r="Y9" s="10">
        <f t="shared" si="9"/>
        <v>4.7027591666666666</v>
      </c>
      <c r="Z9" s="10">
        <f t="shared" si="10"/>
        <v>5.4081730416666662</v>
      </c>
      <c r="AA9" s="10" t="s">
        <v>813</v>
      </c>
      <c r="AB9" s="10">
        <f t="shared" si="11"/>
        <v>2.0005537494999999</v>
      </c>
      <c r="AC9" s="10" t="s">
        <v>814</v>
      </c>
      <c r="AD9" s="10">
        <f t="shared" si="12"/>
        <v>126.03394566666667</v>
      </c>
      <c r="AE9" s="10">
        <f t="shared" si="13"/>
        <v>0.12603394566666667</v>
      </c>
      <c r="AF9" s="15" t="s">
        <v>815</v>
      </c>
      <c r="AG9" s="10" t="s">
        <v>690</v>
      </c>
      <c r="AH9" s="10">
        <f>AVERAGE(Y27:Y29)</f>
        <v>4.4597777777777772</v>
      </c>
      <c r="AI9" s="10">
        <f>STDEV(Y27:Y29)</f>
        <v>0.49563610456477863</v>
      </c>
    </row>
    <row r="10" spans="1:41">
      <c r="A10" s="10">
        <v>2021</v>
      </c>
      <c r="B10" s="10">
        <v>201</v>
      </c>
      <c r="C10" s="10">
        <v>1</v>
      </c>
      <c r="D10" s="10">
        <v>3</v>
      </c>
      <c r="E10" s="78" t="s">
        <v>804</v>
      </c>
      <c r="F10" s="10">
        <v>4289.7</v>
      </c>
      <c r="G10" s="10">
        <v>1714.4</v>
      </c>
      <c r="H10" s="10">
        <f t="shared" si="0"/>
        <v>1658.6000000000001</v>
      </c>
      <c r="I10" s="10">
        <f t="shared" si="1"/>
        <v>3791.0067333333336</v>
      </c>
      <c r="J10" s="10">
        <v>703</v>
      </c>
      <c r="K10" s="10">
        <f t="shared" si="2"/>
        <v>647.20000000000005</v>
      </c>
      <c r="L10" s="10">
        <v>259.3</v>
      </c>
      <c r="M10" s="10">
        <f t="shared" si="3"/>
        <v>203.5</v>
      </c>
      <c r="N10" s="10">
        <f t="shared" si="4"/>
        <v>465.13316666666663</v>
      </c>
      <c r="P10" s="99" t="s">
        <v>341</v>
      </c>
      <c r="Q10" s="10">
        <v>1</v>
      </c>
      <c r="R10" s="10">
        <v>5</v>
      </c>
      <c r="S10" s="10">
        <f>(I14+I15)/2</f>
        <v>4386.5371833333338</v>
      </c>
      <c r="T10" s="10">
        <f>(N14+N15)/2</f>
        <v>503.87521666666663</v>
      </c>
      <c r="U10" s="10">
        <f t="shared" si="5"/>
        <v>3882.661966666667</v>
      </c>
      <c r="V10" s="10">
        <f t="shared" si="6"/>
        <v>88.513143839720712</v>
      </c>
      <c r="W10" s="10">
        <f t="shared" si="7"/>
        <v>5038.7521666666662</v>
      </c>
      <c r="X10" s="10">
        <f t="shared" si="8"/>
        <v>5794.5649916666653</v>
      </c>
      <c r="Y10" s="10">
        <f t="shared" si="9"/>
        <v>5.0387521666666659</v>
      </c>
      <c r="Z10" s="10">
        <f t="shared" si="10"/>
        <v>5.7945649916666655</v>
      </c>
      <c r="AA10" s="10" t="s">
        <v>816</v>
      </c>
      <c r="AB10" s="10">
        <f t="shared" si="11"/>
        <v>2.1580975529833326</v>
      </c>
      <c r="AC10" s="10" t="s">
        <v>817</v>
      </c>
      <c r="AD10" s="10">
        <f t="shared" si="12"/>
        <v>143.10056153333332</v>
      </c>
      <c r="AE10" s="10">
        <f t="shared" si="13"/>
        <v>0.14310056153333331</v>
      </c>
      <c r="AF10" s="15">
        <v>3</v>
      </c>
      <c r="AG10" s="10" t="s">
        <v>677</v>
      </c>
      <c r="AH10" s="10">
        <f>AVERAGE(Y30:Y38)</f>
        <v>3.9666164814814824</v>
      </c>
      <c r="AI10" s="10">
        <f>STDEV(Y30:Y38)</f>
        <v>0.42669730811151207</v>
      </c>
    </row>
    <row r="11" spans="1:41">
      <c r="A11" s="10">
        <v>2021</v>
      </c>
      <c r="B11" s="10">
        <v>201</v>
      </c>
      <c r="C11" s="10">
        <v>1</v>
      </c>
      <c r="D11" s="10">
        <v>3</v>
      </c>
      <c r="E11" s="10" t="s">
        <v>807</v>
      </c>
      <c r="F11" s="10">
        <v>4278.7</v>
      </c>
      <c r="G11" s="10">
        <v>1741.9</v>
      </c>
      <c r="H11" s="10">
        <f t="shared" si="0"/>
        <v>1686.1000000000001</v>
      </c>
      <c r="I11" s="10">
        <f t="shared" si="1"/>
        <v>3853.8625666666671</v>
      </c>
      <c r="J11" s="10">
        <v>601.20000000000005</v>
      </c>
      <c r="K11" s="10">
        <f t="shared" si="2"/>
        <v>545.40000000000009</v>
      </c>
      <c r="L11" s="10">
        <v>249.9</v>
      </c>
      <c r="M11" s="10">
        <f t="shared" si="3"/>
        <v>194.10000000000002</v>
      </c>
      <c r="N11" s="10">
        <f t="shared" si="4"/>
        <v>443.64790000000005</v>
      </c>
      <c r="P11" s="99" t="s">
        <v>342</v>
      </c>
      <c r="Q11" s="10">
        <v>1</v>
      </c>
      <c r="R11" s="10">
        <v>6</v>
      </c>
      <c r="S11" s="10">
        <f>(I16+I17)/2</f>
        <v>3463.9278333333332</v>
      </c>
      <c r="T11" s="10">
        <f>(N16+N17)/2</f>
        <v>384.33485000000002</v>
      </c>
      <c r="U11" s="10">
        <f t="shared" si="5"/>
        <v>3079.592983333333</v>
      </c>
      <c r="V11" s="10">
        <f t="shared" si="6"/>
        <v>88.904651930056076</v>
      </c>
      <c r="W11" s="10">
        <f t="shared" si="7"/>
        <v>3843.3485000000001</v>
      </c>
      <c r="X11" s="10">
        <f t="shared" si="8"/>
        <v>4419.8507749999999</v>
      </c>
      <c r="Y11" s="10">
        <f t="shared" si="9"/>
        <v>3.8433485000000003</v>
      </c>
      <c r="Z11" s="10">
        <f t="shared" si="10"/>
        <v>4.4198507749999996</v>
      </c>
      <c r="AA11" s="10" t="s">
        <v>818</v>
      </c>
      <c r="AB11" s="10">
        <f t="shared" si="11"/>
        <v>1.6441844883000001</v>
      </c>
      <c r="AC11" s="10" t="s">
        <v>817</v>
      </c>
      <c r="AD11" s="10">
        <f t="shared" si="12"/>
        <v>109.1510974</v>
      </c>
      <c r="AE11" s="10">
        <f t="shared" si="13"/>
        <v>0.10915109739999999</v>
      </c>
      <c r="AF11" s="15" t="s">
        <v>819</v>
      </c>
      <c r="AG11" s="10" t="s">
        <v>695</v>
      </c>
      <c r="AH11" s="10">
        <f>AVERAGE(Y39:Y41)</f>
        <v>3.2179244444444444</v>
      </c>
      <c r="AI11" s="10">
        <f>STDEV(Y39:Y41)</f>
        <v>0.34000865032024158</v>
      </c>
    </row>
    <row r="12" spans="1:41">
      <c r="A12" s="10">
        <v>2021</v>
      </c>
      <c r="B12" s="10">
        <v>201</v>
      </c>
      <c r="C12" s="10">
        <v>1</v>
      </c>
      <c r="D12" s="10">
        <v>4</v>
      </c>
      <c r="E12" s="10" t="s">
        <v>804</v>
      </c>
      <c r="F12" s="10">
        <v>4331</v>
      </c>
      <c r="G12" s="10">
        <v>1659.9</v>
      </c>
      <c r="H12" s="10">
        <f t="shared" si="0"/>
        <v>1604.1000000000001</v>
      </c>
      <c r="I12" s="10">
        <f t="shared" si="1"/>
        <v>3666.4379000000004</v>
      </c>
      <c r="J12" s="10">
        <v>441.2</v>
      </c>
      <c r="K12" s="10">
        <f t="shared" si="2"/>
        <v>385.4</v>
      </c>
      <c r="L12" s="10">
        <v>254.1</v>
      </c>
      <c r="M12" s="10">
        <f t="shared" si="3"/>
        <v>198.3</v>
      </c>
      <c r="N12" s="10">
        <f t="shared" si="4"/>
        <v>453.24770000000007</v>
      </c>
      <c r="P12" s="99" t="s">
        <v>343</v>
      </c>
      <c r="Q12" s="10">
        <v>1</v>
      </c>
      <c r="R12" s="10">
        <v>7</v>
      </c>
      <c r="S12" s="10">
        <f>(I18+I19)/2</f>
        <v>4105.9715999999999</v>
      </c>
      <c r="T12" s="10">
        <f>(N18+N19)/2</f>
        <v>455.3048</v>
      </c>
      <c r="U12" s="10">
        <f t="shared" si="5"/>
        <v>3650.6668</v>
      </c>
      <c r="V12" s="10">
        <f t="shared" si="6"/>
        <v>88.911155644622582</v>
      </c>
      <c r="W12" s="10">
        <f t="shared" si="7"/>
        <v>4553.0479999999998</v>
      </c>
      <c r="X12" s="10">
        <f t="shared" si="8"/>
        <v>5236.0051999999996</v>
      </c>
      <c r="Y12" s="10">
        <f t="shared" si="9"/>
        <v>4.5530479999999995</v>
      </c>
      <c r="Z12" s="10">
        <f t="shared" si="10"/>
        <v>5.2360051999999992</v>
      </c>
      <c r="AA12" s="10" t="s">
        <v>820</v>
      </c>
      <c r="AB12" s="10">
        <f t="shared" si="11"/>
        <v>1.9682826503999997</v>
      </c>
      <c r="AC12" s="10" t="s">
        <v>821</v>
      </c>
      <c r="AD12" s="10">
        <f t="shared" si="12"/>
        <v>132.9490016</v>
      </c>
      <c r="AE12" s="10">
        <f t="shared" si="13"/>
        <v>0.13294900159999998</v>
      </c>
      <c r="AF12" s="15">
        <v>4</v>
      </c>
      <c r="AG12" s="10" t="s">
        <v>678</v>
      </c>
      <c r="AH12" s="10">
        <f>AVERAGE(Y42:Y50)</f>
        <v>3.8916111111111116</v>
      </c>
      <c r="AI12" s="10">
        <f>STDEV(Y42:Y50)</f>
        <v>0.41414941278614809</v>
      </c>
    </row>
    <row r="13" spans="1:41">
      <c r="A13" s="10">
        <v>2021</v>
      </c>
      <c r="B13" s="10">
        <v>201</v>
      </c>
      <c r="C13" s="10">
        <v>1</v>
      </c>
      <c r="D13" s="10">
        <v>4</v>
      </c>
      <c r="E13" s="10" t="s">
        <v>807</v>
      </c>
      <c r="F13" s="10">
        <v>4454.2</v>
      </c>
      <c r="G13" s="10">
        <v>1884.2</v>
      </c>
      <c r="H13" s="10">
        <f t="shared" si="0"/>
        <v>1828.4</v>
      </c>
      <c r="I13" s="10">
        <f t="shared" si="1"/>
        <v>4179.1129333333338</v>
      </c>
      <c r="J13" s="10">
        <v>815.3</v>
      </c>
      <c r="K13" s="10">
        <f t="shared" si="2"/>
        <v>759.5</v>
      </c>
      <c r="L13" s="10">
        <v>269</v>
      </c>
      <c r="M13" s="10">
        <f t="shared" si="3"/>
        <v>213.2</v>
      </c>
      <c r="N13" s="10">
        <f t="shared" si="4"/>
        <v>487.30413333333331</v>
      </c>
      <c r="P13" s="99" t="s">
        <v>344</v>
      </c>
      <c r="Q13" s="10">
        <v>1</v>
      </c>
      <c r="R13" s="10">
        <v>8</v>
      </c>
      <c r="S13" s="10">
        <f>(I20+I21)/2</f>
        <v>4131.4567833333331</v>
      </c>
      <c r="T13" s="10">
        <f>(N20+N21)/2</f>
        <v>460.79039999999998</v>
      </c>
      <c r="U13" s="10">
        <f t="shared" si="5"/>
        <v>3670.6663833333332</v>
      </c>
      <c r="V13" s="10">
        <f t="shared" si="6"/>
        <v>88.846781555143707</v>
      </c>
      <c r="W13" s="10">
        <f t="shared" si="7"/>
        <v>4607.9039999999995</v>
      </c>
      <c r="X13" s="10">
        <f t="shared" si="8"/>
        <v>5299.0895999999993</v>
      </c>
      <c r="Y13" s="10">
        <f t="shared" si="9"/>
        <v>4.6079039999999996</v>
      </c>
      <c r="Z13" s="10">
        <f t="shared" si="10"/>
        <v>5.2990895999999994</v>
      </c>
      <c r="AA13" s="10" t="s">
        <v>820</v>
      </c>
      <c r="AB13" s="10">
        <f t="shared" si="11"/>
        <v>1.9919968991999997</v>
      </c>
      <c r="AC13" s="10" t="s">
        <v>822</v>
      </c>
      <c r="AD13" s="10">
        <f t="shared" si="12"/>
        <v>150.21767039999997</v>
      </c>
      <c r="AE13" s="10">
        <f t="shared" si="13"/>
        <v>0.15021767039999998</v>
      </c>
      <c r="AF13" s="15" t="s">
        <v>823</v>
      </c>
      <c r="AG13" s="10" t="s">
        <v>700</v>
      </c>
      <c r="AH13" s="10">
        <f>AVERAGE(Y51:Y53)</f>
        <v>3.6781111111111109</v>
      </c>
      <c r="AI13" s="10">
        <f>STDEV(Y51:Y53)</f>
        <v>1.1614876157245415</v>
      </c>
    </row>
    <row r="14" spans="1:41">
      <c r="A14" s="10">
        <v>2021</v>
      </c>
      <c r="B14" s="10">
        <v>201</v>
      </c>
      <c r="C14" s="10">
        <v>1</v>
      </c>
      <c r="D14" s="10">
        <v>5</v>
      </c>
      <c r="E14" s="78" t="s">
        <v>804</v>
      </c>
      <c r="F14" s="10">
        <v>4154.3999999999996</v>
      </c>
      <c r="G14" s="10">
        <v>1762.5</v>
      </c>
      <c r="H14" s="10">
        <f t="shared" si="0"/>
        <v>1706.7</v>
      </c>
      <c r="I14" s="10">
        <f t="shared" si="1"/>
        <v>3900.9472999999998</v>
      </c>
      <c r="J14" s="10">
        <v>783.6</v>
      </c>
      <c r="K14" s="10">
        <f t="shared" si="2"/>
        <v>727.80000000000007</v>
      </c>
      <c r="L14" s="10">
        <v>261.10000000000002</v>
      </c>
      <c r="M14" s="10">
        <f t="shared" si="3"/>
        <v>205.3</v>
      </c>
      <c r="N14" s="10">
        <f t="shared" si="4"/>
        <v>469.24736666666672</v>
      </c>
      <c r="P14" s="99" t="s">
        <v>345</v>
      </c>
      <c r="Q14" s="10">
        <v>1</v>
      </c>
      <c r="R14" s="10">
        <v>9</v>
      </c>
      <c r="S14" s="10">
        <f>(I22+I23)/2</f>
        <v>4196.8268499999995</v>
      </c>
      <c r="T14" s="10">
        <f>(N22+N23)/2</f>
        <v>485.93273333333332</v>
      </c>
      <c r="U14" s="10">
        <f t="shared" si="5"/>
        <v>3710.8941166666664</v>
      </c>
      <c r="V14" s="10">
        <f t="shared" si="6"/>
        <v>88.421425264820414</v>
      </c>
      <c r="W14" s="10">
        <f t="shared" si="7"/>
        <v>4859.3273333333327</v>
      </c>
      <c r="X14" s="10">
        <f t="shared" si="8"/>
        <v>5588.2264333333324</v>
      </c>
      <c r="Y14" s="10">
        <f t="shared" si="9"/>
        <v>4.8593273333333329</v>
      </c>
      <c r="Z14" s="10">
        <f t="shared" si="10"/>
        <v>5.5882264333333325</v>
      </c>
      <c r="AA14" s="10" t="s">
        <v>824</v>
      </c>
      <c r="AB14" s="10">
        <f t="shared" si="11"/>
        <v>2.086595156933333</v>
      </c>
      <c r="AC14" s="10" t="s">
        <v>825</v>
      </c>
      <c r="AD14" s="10">
        <f t="shared" si="12"/>
        <v>134.11743439999998</v>
      </c>
      <c r="AE14" s="10">
        <f t="shared" si="13"/>
        <v>0.13411743439999999</v>
      </c>
    </row>
    <row r="15" spans="1:41">
      <c r="A15" s="10">
        <v>2021</v>
      </c>
      <c r="B15" s="10">
        <v>201</v>
      </c>
      <c r="C15" s="10">
        <v>1</v>
      </c>
      <c r="D15" s="10">
        <v>5</v>
      </c>
      <c r="E15" s="10" t="s">
        <v>807</v>
      </c>
      <c r="F15" s="10">
        <v>4200.8</v>
      </c>
      <c r="G15" s="10">
        <v>2187.4</v>
      </c>
      <c r="H15" s="10">
        <f t="shared" si="0"/>
        <v>2131.6</v>
      </c>
      <c r="I15" s="10">
        <f t="shared" si="1"/>
        <v>4872.1270666666669</v>
      </c>
      <c r="J15" s="10">
        <v>740</v>
      </c>
      <c r="K15" s="10">
        <f t="shared" si="2"/>
        <v>684.2</v>
      </c>
      <c r="L15" s="10">
        <v>291.39999999999998</v>
      </c>
      <c r="M15" s="10">
        <f t="shared" si="3"/>
        <v>235.59999999999997</v>
      </c>
      <c r="N15" s="10">
        <f t="shared" si="4"/>
        <v>538.50306666666654</v>
      </c>
      <c r="P15" s="151" t="s">
        <v>346</v>
      </c>
      <c r="Q15" s="148">
        <v>1</v>
      </c>
      <c r="R15" s="148">
        <v>11</v>
      </c>
      <c r="S15" s="148">
        <v>3667.5807333333337</v>
      </c>
      <c r="T15" s="148">
        <v>506.73229999999995</v>
      </c>
      <c r="U15" s="148">
        <f t="shared" si="5"/>
        <v>3160.8484333333336</v>
      </c>
      <c r="V15" s="148">
        <f t="shared" si="6"/>
        <v>86.18347251651501</v>
      </c>
      <c r="W15" s="148">
        <f t="shared" si="7"/>
        <v>5067.3229999999985</v>
      </c>
      <c r="X15" s="148">
        <f t="shared" si="8"/>
        <v>5827.421449999998</v>
      </c>
      <c r="Y15" s="148">
        <f t="shared" si="9"/>
        <v>5.0673229999999982</v>
      </c>
      <c r="Z15" s="148">
        <f t="shared" si="10"/>
        <v>5.8274214499999974</v>
      </c>
      <c r="AA15" s="148" t="s">
        <v>826</v>
      </c>
      <c r="AB15" s="148">
        <f t="shared" si="11"/>
        <v>2.1748950315999993</v>
      </c>
      <c r="AC15" s="148" t="s">
        <v>827</v>
      </c>
      <c r="AD15" s="148">
        <f t="shared" si="12"/>
        <v>110.97437369999996</v>
      </c>
      <c r="AE15" s="148">
        <f t="shared" si="13"/>
        <v>0.11097437369999996</v>
      </c>
    </row>
    <row r="16" spans="1:41">
      <c r="A16" s="10">
        <v>2021</v>
      </c>
      <c r="B16" s="10">
        <v>201</v>
      </c>
      <c r="C16" s="10">
        <v>1</v>
      </c>
      <c r="D16" s="10">
        <v>6</v>
      </c>
      <c r="E16" s="10" t="s">
        <v>804</v>
      </c>
      <c r="F16" s="10">
        <v>3856.2</v>
      </c>
      <c r="G16" s="10">
        <v>1552.3</v>
      </c>
      <c r="H16" s="10">
        <f t="shared" si="0"/>
        <v>1496.5</v>
      </c>
      <c r="I16" s="10">
        <f t="shared" si="1"/>
        <v>3420.5001666666667</v>
      </c>
      <c r="J16" s="10">
        <v>628.6</v>
      </c>
      <c r="K16" s="10">
        <f t="shared" si="2"/>
        <v>572.80000000000007</v>
      </c>
      <c r="L16" s="10">
        <v>219.3</v>
      </c>
      <c r="M16" s="10">
        <f t="shared" si="3"/>
        <v>163.5</v>
      </c>
      <c r="N16" s="10">
        <f t="shared" si="4"/>
        <v>373.70650000000001</v>
      </c>
      <c r="P16" s="151" t="s">
        <v>347</v>
      </c>
      <c r="Q16" s="148">
        <v>1</v>
      </c>
      <c r="R16" s="148">
        <v>12</v>
      </c>
      <c r="S16" s="148">
        <v>3877.6334999999999</v>
      </c>
      <c r="T16" s="148">
        <v>428.79106666666672</v>
      </c>
      <c r="U16" s="148">
        <f t="shared" si="5"/>
        <v>3448.8424333333332</v>
      </c>
      <c r="V16" s="148">
        <f t="shared" si="6"/>
        <v>88.941939286766868</v>
      </c>
      <c r="W16" s="148">
        <f t="shared" si="7"/>
        <v>4287.9106666666667</v>
      </c>
      <c r="X16" s="148">
        <f t="shared" si="8"/>
        <v>4931.0972666666667</v>
      </c>
      <c r="Y16" s="148">
        <f t="shared" si="9"/>
        <v>4.2879106666666669</v>
      </c>
      <c r="Z16" s="148">
        <f t="shared" si="10"/>
        <v>4.9310972666666668</v>
      </c>
      <c r="AA16" s="148" t="s">
        <v>828</v>
      </c>
      <c r="AB16" s="148">
        <f t="shared" si="11"/>
        <v>1.8133574209333334</v>
      </c>
      <c r="AC16" s="148" t="s">
        <v>829</v>
      </c>
      <c r="AD16" s="148">
        <f t="shared" si="12"/>
        <v>86.615795466666668</v>
      </c>
      <c r="AE16" s="148">
        <f t="shared" si="13"/>
        <v>8.6615795466666673E-2</v>
      </c>
      <c r="AF16" s="76" t="s">
        <v>679</v>
      </c>
      <c r="AG16" s="76"/>
      <c r="AH16" s="76"/>
      <c r="AI16" s="76"/>
      <c r="AJ16" s="76"/>
    </row>
    <row r="17" spans="1:36">
      <c r="A17" s="10">
        <v>2021</v>
      </c>
      <c r="B17" s="10">
        <v>201</v>
      </c>
      <c r="C17" s="10">
        <v>1</v>
      </c>
      <c r="D17" s="10">
        <v>6</v>
      </c>
      <c r="E17" s="10" t="s">
        <v>807</v>
      </c>
      <c r="F17" s="10">
        <v>4592.8</v>
      </c>
      <c r="G17" s="10">
        <v>1590.3</v>
      </c>
      <c r="H17" s="10">
        <f t="shared" si="0"/>
        <v>1534.5</v>
      </c>
      <c r="I17" s="10">
        <f t="shared" si="1"/>
        <v>3507.3555000000001</v>
      </c>
      <c r="J17" s="10">
        <v>765.1</v>
      </c>
      <c r="K17" s="10">
        <f t="shared" si="2"/>
        <v>709.30000000000007</v>
      </c>
      <c r="L17" s="10">
        <v>228.6</v>
      </c>
      <c r="M17" s="10">
        <f t="shared" si="3"/>
        <v>172.8</v>
      </c>
      <c r="N17" s="10">
        <f t="shared" si="4"/>
        <v>394.96320000000003</v>
      </c>
      <c r="P17" s="260" t="s">
        <v>348</v>
      </c>
      <c r="Q17" s="256">
        <v>1</v>
      </c>
      <c r="R17" s="256">
        <v>13</v>
      </c>
      <c r="S17" s="256">
        <v>3572.7255666666674</v>
      </c>
      <c r="T17" s="256">
        <v>428.10536666666673</v>
      </c>
      <c r="U17" s="256">
        <f t="shared" si="5"/>
        <v>3144.6202000000008</v>
      </c>
      <c r="V17" s="256">
        <f t="shared" si="6"/>
        <v>88.017401317893928</v>
      </c>
      <c r="W17" s="256">
        <f t="shared" si="7"/>
        <v>4281.0536666666667</v>
      </c>
      <c r="X17" s="256">
        <f t="shared" si="8"/>
        <v>4923.2117166666667</v>
      </c>
      <c r="Y17" s="256">
        <f t="shared" si="9"/>
        <v>4.2810536666666668</v>
      </c>
      <c r="Z17" s="256">
        <f t="shared" si="10"/>
        <v>4.9232117166666667</v>
      </c>
      <c r="AA17" s="256" t="s">
        <v>770</v>
      </c>
      <c r="AB17" s="256">
        <f t="shared" si="11"/>
        <v>1.7847712736333334</v>
      </c>
      <c r="AC17" s="256" t="s">
        <v>830</v>
      </c>
      <c r="AD17" s="256">
        <f t="shared" si="12"/>
        <v>63.787699633333332</v>
      </c>
      <c r="AE17" s="256">
        <f t="shared" si="13"/>
        <v>6.3787699633333333E-2</v>
      </c>
      <c r="AF17" s="76" t="s">
        <v>672</v>
      </c>
      <c r="AG17" s="76" t="s">
        <v>684</v>
      </c>
      <c r="AH17" s="76" t="s">
        <v>586</v>
      </c>
      <c r="AI17" s="76" t="s">
        <v>685</v>
      </c>
      <c r="AJ17" s="76" t="s">
        <v>586</v>
      </c>
    </row>
    <row r="18" spans="1:36">
      <c r="A18" s="10">
        <v>2021</v>
      </c>
      <c r="B18" s="10">
        <v>201</v>
      </c>
      <c r="C18" s="10">
        <v>1</v>
      </c>
      <c r="D18" s="10">
        <v>7</v>
      </c>
      <c r="E18" s="78" t="s">
        <v>804</v>
      </c>
      <c r="F18" s="10">
        <v>4460.1000000000004</v>
      </c>
      <c r="G18" s="10">
        <v>1783.6</v>
      </c>
      <c r="H18" s="10">
        <f t="shared" si="0"/>
        <v>1727.8</v>
      </c>
      <c r="I18" s="10">
        <f t="shared" si="1"/>
        <v>3949.1748666666663</v>
      </c>
      <c r="J18" s="10">
        <v>533.79999999999995</v>
      </c>
      <c r="K18" s="10">
        <f t="shared" si="2"/>
        <v>477.99999999999994</v>
      </c>
      <c r="L18" s="10">
        <v>252.7</v>
      </c>
      <c r="M18" s="10">
        <f t="shared" si="3"/>
        <v>196.89999999999998</v>
      </c>
      <c r="N18" s="10">
        <f t="shared" si="4"/>
        <v>450.04776666666663</v>
      </c>
      <c r="P18" s="99" t="s">
        <v>349</v>
      </c>
      <c r="Q18" s="10">
        <v>2</v>
      </c>
      <c r="R18" s="10">
        <v>1</v>
      </c>
      <c r="S18" s="10">
        <f>(I27+I28)/2</f>
        <v>3196.9000000000005</v>
      </c>
      <c r="T18" s="10">
        <f>(N27+N28)/2</f>
        <v>464.56666666666666</v>
      </c>
      <c r="U18" s="10">
        <f t="shared" si="5"/>
        <v>2732.3333333333339</v>
      </c>
      <c r="V18" s="10">
        <f t="shared" si="6"/>
        <v>85.468213998978186</v>
      </c>
      <c r="W18" s="10">
        <f t="shared" si="7"/>
        <v>4645.666666666667</v>
      </c>
      <c r="X18" s="10">
        <f t="shared" si="8"/>
        <v>5342.5166666666664</v>
      </c>
      <c r="Y18" s="10">
        <f t="shared" si="9"/>
        <v>4.6456666666666671</v>
      </c>
      <c r="Z18" s="10">
        <f t="shared" si="10"/>
        <v>5.3425166666666666</v>
      </c>
      <c r="AA18" s="10" t="s">
        <v>831</v>
      </c>
      <c r="AB18" s="10">
        <f t="shared" si="11"/>
        <v>2.0176130333333337</v>
      </c>
      <c r="AC18" s="10" t="s">
        <v>832</v>
      </c>
      <c r="AD18" s="10">
        <f t="shared" si="12"/>
        <v>121.71646666666668</v>
      </c>
      <c r="AE18" s="10">
        <f t="shared" si="13"/>
        <v>0.12171646666666668</v>
      </c>
      <c r="AF18" s="10" t="s">
        <v>675</v>
      </c>
      <c r="AG18" s="10">
        <f>AVERAGE(AB6:AB14)</f>
        <v>1.9795729548629626</v>
      </c>
      <c r="AH18" s="10">
        <f>STDEV(AB6:AB14)</f>
        <v>0.15533307064841925</v>
      </c>
      <c r="AI18" s="10">
        <f>AVERAGE(AB15:AB17)</f>
        <v>1.9243412420555555</v>
      </c>
      <c r="AJ18" s="10">
        <f>STDEV(AB15:AB17)</f>
        <v>0.21745618649667212</v>
      </c>
    </row>
    <row r="19" spans="1:36">
      <c r="A19" s="10">
        <v>2021</v>
      </c>
      <c r="B19" s="10">
        <v>201</v>
      </c>
      <c r="C19" s="10">
        <v>1</v>
      </c>
      <c r="D19" s="10">
        <v>7</v>
      </c>
      <c r="E19" s="10" t="s">
        <v>807</v>
      </c>
      <c r="F19" s="10">
        <v>4509.8</v>
      </c>
      <c r="G19" s="10">
        <v>1920.8</v>
      </c>
      <c r="H19" s="10">
        <f t="shared" si="0"/>
        <v>1865</v>
      </c>
      <c r="I19" s="10">
        <f t="shared" si="1"/>
        <v>4262.7683333333334</v>
      </c>
      <c r="J19" s="10">
        <v>782.7</v>
      </c>
      <c r="K19" s="10">
        <f t="shared" si="2"/>
        <v>726.90000000000009</v>
      </c>
      <c r="L19" s="10">
        <v>257.3</v>
      </c>
      <c r="M19" s="10">
        <f t="shared" si="3"/>
        <v>201.5</v>
      </c>
      <c r="N19" s="10">
        <f t="shared" si="4"/>
        <v>460.56183333333337</v>
      </c>
      <c r="P19" s="99" t="s">
        <v>350</v>
      </c>
      <c r="Q19" s="10">
        <v>2</v>
      </c>
      <c r="R19" s="10">
        <v>2</v>
      </c>
      <c r="S19" s="10">
        <f>(I29+I30)/2</f>
        <v>3950.8</v>
      </c>
      <c r="T19" s="10">
        <f>(N29+N30)/2</f>
        <v>497</v>
      </c>
      <c r="U19" s="10">
        <f t="shared" si="5"/>
        <v>3453.8</v>
      </c>
      <c r="V19" s="10">
        <f t="shared" si="6"/>
        <v>87.420269312544292</v>
      </c>
      <c r="W19" s="10">
        <f t="shared" si="7"/>
        <v>4970</v>
      </c>
      <c r="X19" s="10">
        <f t="shared" si="8"/>
        <v>5715.5</v>
      </c>
      <c r="Y19" s="10">
        <f t="shared" si="9"/>
        <v>4.97</v>
      </c>
      <c r="Z19" s="10">
        <f t="shared" si="10"/>
        <v>5.7154999999999996</v>
      </c>
      <c r="AA19" s="10" t="s">
        <v>833</v>
      </c>
      <c r="AB19" s="10">
        <f t="shared" si="11"/>
        <v>2.1579739999999998</v>
      </c>
      <c r="AC19" s="10" t="s">
        <v>832</v>
      </c>
      <c r="AD19" s="10">
        <f t="shared" si="12"/>
        <v>130.214</v>
      </c>
      <c r="AE19" s="10">
        <f t="shared" si="13"/>
        <v>0.130214</v>
      </c>
      <c r="AF19" s="10" t="s">
        <v>676</v>
      </c>
      <c r="AG19" s="10">
        <f>AVERAGE(AB18:AB26)</f>
        <v>2.297536759259259</v>
      </c>
      <c r="AH19" s="10">
        <f>STDEV(AB18:AB26)</f>
        <v>0.16441671191932342</v>
      </c>
      <c r="AI19" s="10">
        <f>AVERAGE(AB27:AB29)</f>
        <v>1.8872145444444444</v>
      </c>
      <c r="AJ19" s="10">
        <f>STDEV(AB27:AB29)</f>
        <v>0.23933586681305516</v>
      </c>
    </row>
    <row r="20" spans="1:36">
      <c r="A20" s="10">
        <v>2021</v>
      </c>
      <c r="B20" s="10">
        <v>201</v>
      </c>
      <c r="C20" s="10">
        <v>1</v>
      </c>
      <c r="D20" s="10">
        <v>8</v>
      </c>
      <c r="E20" s="10" t="s">
        <v>804</v>
      </c>
      <c r="F20" s="10">
        <v>4255.6000000000004</v>
      </c>
      <c r="G20" s="10">
        <v>1715.8</v>
      </c>
      <c r="H20" s="10">
        <f t="shared" si="0"/>
        <v>1660</v>
      </c>
      <c r="I20" s="10">
        <f t="shared" si="1"/>
        <v>3794.2066666666669</v>
      </c>
      <c r="J20" s="10">
        <v>552.20000000000005</v>
      </c>
      <c r="K20" s="10">
        <f t="shared" si="2"/>
        <v>496.40000000000003</v>
      </c>
      <c r="L20" s="10">
        <v>236.4</v>
      </c>
      <c r="M20" s="10">
        <f t="shared" si="3"/>
        <v>180.60000000000002</v>
      </c>
      <c r="N20" s="10">
        <f t="shared" si="4"/>
        <v>412.79140000000007</v>
      </c>
      <c r="P20" s="99" t="s">
        <v>351</v>
      </c>
      <c r="Q20" s="10">
        <v>2</v>
      </c>
      <c r="R20" s="10">
        <v>3</v>
      </c>
      <c r="S20" s="10">
        <f>(I31+I32)/2</f>
        <v>4329.3833333333332</v>
      </c>
      <c r="T20" s="10">
        <f>(N31+N32)/2</f>
        <v>570.85</v>
      </c>
      <c r="U20" s="10">
        <f t="shared" si="5"/>
        <v>3758.5333333333333</v>
      </c>
      <c r="V20" s="10">
        <f t="shared" si="6"/>
        <v>86.814519388827506</v>
      </c>
      <c r="W20" s="10">
        <f t="shared" si="7"/>
        <v>5708.4999999999991</v>
      </c>
      <c r="X20" s="10">
        <f t="shared" si="8"/>
        <v>6564.7749999999987</v>
      </c>
      <c r="Y20" s="10">
        <f t="shared" si="9"/>
        <v>5.708499999999999</v>
      </c>
      <c r="Z20" s="10">
        <f t="shared" si="10"/>
        <v>6.5647749999999983</v>
      </c>
      <c r="AA20" s="10" t="s">
        <v>834</v>
      </c>
      <c r="AB20" s="10">
        <f t="shared" si="11"/>
        <v>2.4929019499999998</v>
      </c>
      <c r="AC20" s="10" t="s">
        <v>835</v>
      </c>
      <c r="AD20" s="10">
        <f t="shared" si="12"/>
        <v>190.09304999999998</v>
      </c>
      <c r="AE20" s="10">
        <f t="shared" si="13"/>
        <v>0.19009304999999999</v>
      </c>
      <c r="AF20" s="10" t="s">
        <v>677</v>
      </c>
      <c r="AG20" s="10">
        <f>AVERAGE(AB30:AB38)</f>
        <v>1.711335692425926</v>
      </c>
      <c r="AH20" s="10">
        <f>STDEV(AB30:AB38)</f>
        <v>0.17703780611888911</v>
      </c>
      <c r="AI20" s="10">
        <f>AVERAGE(AB39:AB41)</f>
        <v>1.3609343844444446</v>
      </c>
      <c r="AJ20" s="10">
        <f>STDEV(AB39:AB41)</f>
        <v>0.15324776518037891</v>
      </c>
    </row>
    <row r="21" spans="1:36">
      <c r="A21" s="10">
        <v>2021</v>
      </c>
      <c r="B21" s="10">
        <v>201</v>
      </c>
      <c r="C21" s="10">
        <v>1</v>
      </c>
      <c r="D21" s="10">
        <v>8</v>
      </c>
      <c r="E21" s="10" t="s">
        <v>807</v>
      </c>
      <c r="F21" s="10">
        <v>3726.4</v>
      </c>
      <c r="G21" s="10">
        <v>2010.9</v>
      </c>
      <c r="H21" s="10">
        <f t="shared" si="0"/>
        <v>1955.1000000000001</v>
      </c>
      <c r="I21" s="10">
        <f t="shared" si="1"/>
        <v>4468.7069000000001</v>
      </c>
      <c r="J21" s="10">
        <v>919.8</v>
      </c>
      <c r="K21" s="10">
        <f t="shared" si="2"/>
        <v>864</v>
      </c>
      <c r="L21" s="10">
        <v>278.39999999999998</v>
      </c>
      <c r="M21" s="10">
        <f t="shared" si="3"/>
        <v>222.59999999999997</v>
      </c>
      <c r="N21" s="10">
        <f t="shared" si="4"/>
        <v>508.78939999999994</v>
      </c>
      <c r="P21" s="99" t="s">
        <v>352</v>
      </c>
      <c r="Q21" s="10">
        <v>2</v>
      </c>
      <c r="R21" s="10">
        <v>4</v>
      </c>
      <c r="S21" s="10">
        <f>(I33+I34)/2</f>
        <v>4022.2000000000003</v>
      </c>
      <c r="T21" s="10">
        <f>(N33+N34)/2</f>
        <v>528.84999999999991</v>
      </c>
      <c r="U21" s="10">
        <f t="shared" si="5"/>
        <v>3493.3500000000004</v>
      </c>
      <c r="V21" s="10">
        <f t="shared" si="6"/>
        <v>86.851722937695797</v>
      </c>
      <c r="W21" s="10">
        <f t="shared" si="7"/>
        <v>5288.4999999999991</v>
      </c>
      <c r="X21" s="10">
        <f t="shared" si="8"/>
        <v>6081.7749999999987</v>
      </c>
      <c r="Y21" s="10">
        <f t="shared" si="9"/>
        <v>5.2884999999999991</v>
      </c>
      <c r="Z21" s="10">
        <f t="shared" si="10"/>
        <v>6.0817749999999986</v>
      </c>
      <c r="AA21" s="10" t="s">
        <v>836</v>
      </c>
      <c r="AB21" s="10">
        <f t="shared" si="11"/>
        <v>2.2772280999999999</v>
      </c>
      <c r="AC21" s="10" t="s">
        <v>837</v>
      </c>
      <c r="AD21" s="10">
        <f t="shared" si="12"/>
        <v>151.77994999999999</v>
      </c>
      <c r="AE21" s="10">
        <f t="shared" si="13"/>
        <v>0.15177994999999997</v>
      </c>
      <c r="AF21" s="10" t="s">
        <v>678</v>
      </c>
      <c r="AG21" s="10">
        <f>AVERAGE(AB42:AB50)</f>
        <v>1.6652511814814812</v>
      </c>
      <c r="AH21" s="10">
        <f>STDEV(AB42:AB50)</f>
        <v>0.18169968624481583</v>
      </c>
      <c r="AI21" s="10">
        <f>AVERAGE(AB51:AB53)</f>
        <v>1.5337516444444443</v>
      </c>
      <c r="AJ21" s="10">
        <f>STDEV(AB51:AB53)</f>
        <v>0.49282014125485096</v>
      </c>
    </row>
    <row r="22" spans="1:36">
      <c r="A22" s="10">
        <v>2021</v>
      </c>
      <c r="B22" s="10">
        <v>201</v>
      </c>
      <c r="C22" s="10">
        <v>1</v>
      </c>
      <c r="D22" s="10">
        <v>9</v>
      </c>
      <c r="E22" s="78" t="s">
        <v>804</v>
      </c>
      <c r="F22" s="10">
        <v>4433.3999999999996</v>
      </c>
      <c r="G22" s="10">
        <v>1967.6</v>
      </c>
      <c r="H22" s="10">
        <f t="shared" si="0"/>
        <v>1911.8</v>
      </c>
      <c r="I22" s="10">
        <f t="shared" si="1"/>
        <v>4369.737533333333</v>
      </c>
      <c r="J22" s="10">
        <v>752.7</v>
      </c>
      <c r="K22" s="10">
        <f t="shared" si="2"/>
        <v>696.90000000000009</v>
      </c>
      <c r="L22" s="10">
        <v>280.10000000000002</v>
      </c>
      <c r="M22" s="10">
        <f t="shared" si="3"/>
        <v>224.3</v>
      </c>
      <c r="N22" s="10">
        <f t="shared" si="4"/>
        <v>512.67503333333332</v>
      </c>
      <c r="P22" s="99" t="s">
        <v>353</v>
      </c>
      <c r="Q22" s="10">
        <v>2</v>
      </c>
      <c r="R22" s="10">
        <v>5</v>
      </c>
      <c r="S22" s="10">
        <f>(I35+I36)/2</f>
        <v>4087.6499999999996</v>
      </c>
      <c r="T22" s="10">
        <f>(N35+N36)/2</f>
        <v>564.9</v>
      </c>
      <c r="U22" s="10">
        <f t="shared" si="5"/>
        <v>3522.7499999999995</v>
      </c>
      <c r="V22" s="10">
        <f t="shared" si="6"/>
        <v>86.18032365784741</v>
      </c>
      <c r="W22" s="10">
        <f t="shared" si="7"/>
        <v>5648.9999999999991</v>
      </c>
      <c r="X22" s="10">
        <f t="shared" si="8"/>
        <v>6496.3499999999985</v>
      </c>
      <c r="Y22" s="10">
        <f t="shared" si="9"/>
        <v>5.6489999999999991</v>
      </c>
      <c r="Z22" s="10">
        <f t="shared" si="10"/>
        <v>6.4963499999999987</v>
      </c>
      <c r="AA22" s="10" t="s">
        <v>838</v>
      </c>
      <c r="AB22" s="10">
        <f t="shared" si="11"/>
        <v>2.4945983999999997</v>
      </c>
      <c r="AC22" s="10" t="s">
        <v>839</v>
      </c>
      <c r="AD22" s="10">
        <f t="shared" si="12"/>
        <v>180.20309999999995</v>
      </c>
      <c r="AE22" s="10">
        <f t="shared" si="13"/>
        <v>0.18020309999999995</v>
      </c>
      <c r="AF22" s="182"/>
      <c r="AG22" s="182"/>
      <c r="AH22" s="182"/>
      <c r="AI22" s="182"/>
      <c r="AJ22" s="182"/>
    </row>
    <row r="23" spans="1:36">
      <c r="A23" s="10">
        <v>2021</v>
      </c>
      <c r="B23" s="10">
        <v>201</v>
      </c>
      <c r="C23" s="10">
        <v>1</v>
      </c>
      <c r="D23" s="10">
        <v>9</v>
      </c>
      <c r="E23" s="10" t="s">
        <v>807</v>
      </c>
      <c r="F23" s="10">
        <v>3561.5</v>
      </c>
      <c r="G23" s="10">
        <v>1816.3</v>
      </c>
      <c r="H23" s="10">
        <f t="shared" si="0"/>
        <v>1760.5</v>
      </c>
      <c r="I23" s="10">
        <f t="shared" si="1"/>
        <v>4023.9161666666669</v>
      </c>
      <c r="J23" s="10">
        <v>626.1</v>
      </c>
      <c r="K23" s="10">
        <f t="shared" si="2"/>
        <v>570.30000000000007</v>
      </c>
      <c r="L23" s="10">
        <v>256.7</v>
      </c>
      <c r="M23" s="10">
        <f t="shared" si="3"/>
        <v>200.89999999999998</v>
      </c>
      <c r="N23" s="10">
        <f t="shared" si="4"/>
        <v>459.19043333333326</v>
      </c>
      <c r="P23" s="99" t="s">
        <v>354</v>
      </c>
      <c r="Q23" s="10">
        <v>2</v>
      </c>
      <c r="R23" s="10">
        <v>6</v>
      </c>
      <c r="S23" s="10">
        <f>(I37+I38)/2</f>
        <v>4264.3999999999996</v>
      </c>
      <c r="T23" s="10">
        <f>(N37+N38)/2</f>
        <v>547.40000000000009</v>
      </c>
      <c r="U23" s="10">
        <f t="shared" si="5"/>
        <v>3716.9999999999995</v>
      </c>
      <c r="V23" s="10">
        <f t="shared" si="6"/>
        <v>87.163493105712405</v>
      </c>
      <c r="W23" s="10">
        <f t="shared" si="7"/>
        <v>5474.0000000000009</v>
      </c>
      <c r="X23" s="10">
        <f t="shared" si="8"/>
        <v>6295.1</v>
      </c>
      <c r="Y23" s="10">
        <f t="shared" si="9"/>
        <v>5.4740000000000011</v>
      </c>
      <c r="Z23" s="10">
        <f t="shared" si="10"/>
        <v>6.2951000000000006</v>
      </c>
      <c r="AA23" s="10" t="s">
        <v>840</v>
      </c>
      <c r="AB23" s="10">
        <f t="shared" si="11"/>
        <v>2.3811900000000006</v>
      </c>
      <c r="AC23" s="10" t="s">
        <v>841</v>
      </c>
      <c r="AD23" s="10">
        <f t="shared" si="12"/>
        <v>117.14360000000003</v>
      </c>
      <c r="AE23" s="10">
        <f t="shared" si="13"/>
        <v>0.11714360000000004</v>
      </c>
      <c r="AF23" s="76" t="s">
        <v>701</v>
      </c>
      <c r="AG23" s="76"/>
      <c r="AH23" s="76"/>
      <c r="AI23" s="76"/>
      <c r="AJ23" s="76"/>
    </row>
    <row r="24" spans="1:36">
      <c r="A24" s="6">
        <v>2021</v>
      </c>
      <c r="B24" s="6">
        <v>201</v>
      </c>
      <c r="C24" s="6">
        <v>1</v>
      </c>
      <c r="D24" s="6">
        <v>11</v>
      </c>
      <c r="E24" s="6" t="s">
        <v>804</v>
      </c>
      <c r="F24" s="6">
        <v>3953.1</v>
      </c>
      <c r="G24" s="6">
        <v>1660.4</v>
      </c>
      <c r="H24" s="6">
        <f t="shared" si="0"/>
        <v>1604.6000000000001</v>
      </c>
      <c r="I24" s="6">
        <f>(H24/3)*6.857</f>
        <v>3667.5807333333337</v>
      </c>
      <c r="J24" s="6">
        <v>575.9</v>
      </c>
      <c r="K24" s="6">
        <f t="shared" si="2"/>
        <v>520.1</v>
      </c>
      <c r="L24" s="6">
        <v>277.5</v>
      </c>
      <c r="M24" s="6">
        <f t="shared" si="3"/>
        <v>221.7</v>
      </c>
      <c r="N24" s="6">
        <f t="shared" si="4"/>
        <v>506.73229999999995</v>
      </c>
      <c r="P24" s="99" t="s">
        <v>355</v>
      </c>
      <c r="Q24" s="10">
        <v>2</v>
      </c>
      <c r="R24" s="10">
        <v>7</v>
      </c>
      <c r="S24" s="10">
        <f>(I39+I40)/2</f>
        <v>3920.2333333333336</v>
      </c>
      <c r="T24" s="10">
        <f>(N39+N40)/2</f>
        <v>505.04999999999995</v>
      </c>
      <c r="U24" s="10">
        <f t="shared" si="5"/>
        <v>3415.1833333333334</v>
      </c>
      <c r="V24" s="10">
        <f t="shared" si="6"/>
        <v>87.116838283435499</v>
      </c>
      <c r="W24" s="10">
        <f t="shared" si="7"/>
        <v>5050.5</v>
      </c>
      <c r="X24" s="10">
        <f t="shared" si="8"/>
        <v>5808.0749999999998</v>
      </c>
      <c r="Y24" s="10">
        <f t="shared" si="9"/>
        <v>5.0505000000000004</v>
      </c>
      <c r="Z24" s="10">
        <f t="shared" si="10"/>
        <v>5.8080749999999997</v>
      </c>
      <c r="AA24" s="10" t="s">
        <v>842</v>
      </c>
      <c r="AB24" s="10">
        <f t="shared" si="11"/>
        <v>2.2606038000000002</v>
      </c>
      <c r="AC24" s="10" t="s">
        <v>753</v>
      </c>
      <c r="AD24" s="10">
        <f t="shared" si="12"/>
        <v>162.12105</v>
      </c>
      <c r="AE24" s="10">
        <f t="shared" si="13"/>
        <v>0.16212104999999999</v>
      </c>
      <c r="AF24" s="76" t="s">
        <v>672</v>
      </c>
      <c r="AG24" s="76" t="s">
        <v>703</v>
      </c>
      <c r="AH24" s="76" t="s">
        <v>586</v>
      </c>
      <c r="AI24" s="76" t="s">
        <v>704</v>
      </c>
      <c r="AJ24" s="76" t="s">
        <v>586</v>
      </c>
    </row>
    <row r="25" spans="1:36">
      <c r="A25" s="6">
        <v>2021</v>
      </c>
      <c r="B25" s="6">
        <v>201</v>
      </c>
      <c r="C25" s="6">
        <v>1</v>
      </c>
      <c r="D25" s="6">
        <v>12</v>
      </c>
      <c r="E25" s="6" t="s">
        <v>804</v>
      </c>
      <c r="F25" s="6">
        <v>3775.8</v>
      </c>
      <c r="G25" s="6">
        <v>1752.3</v>
      </c>
      <c r="H25" s="6">
        <f t="shared" si="0"/>
        <v>1696.5</v>
      </c>
      <c r="I25" s="6">
        <f t="shared" si="1"/>
        <v>3877.6334999999999</v>
      </c>
      <c r="J25" s="6">
        <v>767.5</v>
      </c>
      <c r="K25" s="6">
        <f t="shared" si="2"/>
        <v>711.7</v>
      </c>
      <c r="L25" s="6">
        <v>243.4</v>
      </c>
      <c r="M25" s="6">
        <f t="shared" si="3"/>
        <v>187.60000000000002</v>
      </c>
      <c r="N25" s="6">
        <f t="shared" si="4"/>
        <v>428.79106666666672</v>
      </c>
      <c r="P25" s="99" t="s">
        <v>356</v>
      </c>
      <c r="Q25" s="10">
        <v>2</v>
      </c>
      <c r="R25" s="10">
        <v>8</v>
      </c>
      <c r="S25" s="10">
        <f>(I41+I42)/2</f>
        <v>3921.75</v>
      </c>
      <c r="T25" s="10">
        <f>(N41+N42)/2</f>
        <v>507.26666666666665</v>
      </c>
      <c r="U25" s="10">
        <f t="shared" si="5"/>
        <v>3414.4833333333336</v>
      </c>
      <c r="V25" s="10">
        <f t="shared" si="6"/>
        <v>87.065298229956866</v>
      </c>
      <c r="W25" s="10">
        <f t="shared" si="7"/>
        <v>5072.6666666666661</v>
      </c>
      <c r="X25" s="10">
        <f t="shared" si="8"/>
        <v>5833.5666666666657</v>
      </c>
      <c r="Y25" s="10">
        <f t="shared" si="9"/>
        <v>5.0726666666666658</v>
      </c>
      <c r="Z25" s="10">
        <f t="shared" si="10"/>
        <v>5.8335666666666652</v>
      </c>
      <c r="AA25" s="10" t="s">
        <v>818</v>
      </c>
      <c r="AB25" s="10">
        <f t="shared" si="11"/>
        <v>2.1700867999999995</v>
      </c>
      <c r="AC25" s="10" t="s">
        <v>843</v>
      </c>
      <c r="AD25" s="10">
        <f t="shared" si="12"/>
        <v>148.62913333333333</v>
      </c>
      <c r="AE25" s="10">
        <f t="shared" si="13"/>
        <v>0.14862913333333333</v>
      </c>
      <c r="AF25" s="10" t="s">
        <v>675</v>
      </c>
      <c r="AG25" s="10">
        <f>AVERAGE(AE6:AE14)</f>
        <v>0.12959704603703701</v>
      </c>
      <c r="AH25" s="10">
        <f>STDEV(AE6:AE14)</f>
        <v>1.3228492972561592E-2</v>
      </c>
      <c r="AI25" s="10">
        <f>AVERAGE(AE15:AE17)</f>
        <v>8.7125956266666651E-2</v>
      </c>
      <c r="AJ25" s="10">
        <f>STDEV(AE15:AE17)</f>
        <v>2.3597473390171479E-2</v>
      </c>
    </row>
    <row r="26" spans="1:36">
      <c r="A26" s="6">
        <v>2021</v>
      </c>
      <c r="B26" s="6">
        <v>201</v>
      </c>
      <c r="C26" s="6">
        <v>1</v>
      </c>
      <c r="D26" s="6">
        <v>13</v>
      </c>
      <c r="E26" s="102" t="s">
        <v>804</v>
      </c>
      <c r="F26" s="6">
        <v>3550.3</v>
      </c>
      <c r="G26" s="6">
        <v>1618.9</v>
      </c>
      <c r="H26" s="6">
        <f t="shared" si="0"/>
        <v>1563.1000000000001</v>
      </c>
      <c r="I26" s="6">
        <f t="shared" si="1"/>
        <v>3572.7255666666674</v>
      </c>
      <c r="J26" s="6">
        <v>635.1</v>
      </c>
      <c r="K26" s="6">
        <f t="shared" si="2"/>
        <v>579.30000000000007</v>
      </c>
      <c r="L26" s="6">
        <v>243.1</v>
      </c>
      <c r="M26" s="6">
        <f t="shared" si="3"/>
        <v>187.3</v>
      </c>
      <c r="N26" s="6">
        <f t="shared" si="4"/>
        <v>428.10536666666673</v>
      </c>
      <c r="P26" s="99" t="s">
        <v>357</v>
      </c>
      <c r="Q26" s="10">
        <v>2</v>
      </c>
      <c r="R26" s="10">
        <v>9</v>
      </c>
      <c r="S26" s="10">
        <f>(I43+I44)/2</f>
        <v>4540.3166666666666</v>
      </c>
      <c r="T26" s="10">
        <f>(N43+N44)/2</f>
        <v>575.75</v>
      </c>
      <c r="U26" s="10">
        <f t="shared" si="5"/>
        <v>3964.5666666666666</v>
      </c>
      <c r="V26" s="10">
        <f t="shared" si="6"/>
        <v>87.319166431122639</v>
      </c>
      <c r="W26" s="10">
        <f t="shared" si="7"/>
        <v>5757.5</v>
      </c>
      <c r="X26" s="10">
        <f t="shared" si="8"/>
        <v>6621.1249999999991</v>
      </c>
      <c r="Y26" s="10">
        <f t="shared" si="9"/>
        <v>5.7575000000000003</v>
      </c>
      <c r="Z26" s="10">
        <f t="shared" si="10"/>
        <v>6.6211250000000001</v>
      </c>
      <c r="AA26" s="10" t="s">
        <v>844</v>
      </c>
      <c r="AB26" s="10">
        <f t="shared" si="11"/>
        <v>2.42563475</v>
      </c>
      <c r="AC26" s="10" t="s">
        <v>845</v>
      </c>
      <c r="AD26" s="10">
        <f t="shared" si="12"/>
        <v>134.14975000000001</v>
      </c>
      <c r="AE26" s="10">
        <f t="shared" si="13"/>
        <v>0.13414975000000001</v>
      </c>
      <c r="AF26" s="10" t="s">
        <v>676</v>
      </c>
      <c r="AG26" s="10">
        <f>AVERAGE(AE18:AE26)</f>
        <v>0.14845001111111109</v>
      </c>
      <c r="AH26" s="10">
        <f>STDEV(AE18:AE26)</f>
        <v>2.5426960515057755E-2</v>
      </c>
      <c r="AI26" s="10">
        <f>AVERAGE(AE27:AE29)</f>
        <v>0.10507871111111111</v>
      </c>
      <c r="AJ26" s="10">
        <f>STDEV(AE27:AE29)</f>
        <v>1.8935651721035909E-2</v>
      </c>
    </row>
    <row r="27" spans="1:36">
      <c r="A27" s="10">
        <v>2021</v>
      </c>
      <c r="B27" s="10">
        <v>201</v>
      </c>
      <c r="C27" s="10">
        <v>2</v>
      </c>
      <c r="D27" s="10">
        <v>1</v>
      </c>
      <c r="E27" s="78" t="s">
        <v>804</v>
      </c>
      <c r="F27" s="10">
        <v>3123</v>
      </c>
      <c r="G27" s="10">
        <v>1457.4</v>
      </c>
      <c r="H27" s="10">
        <f t="shared" si="0"/>
        <v>1401.6000000000001</v>
      </c>
      <c r="I27" s="10">
        <f>(H27/3)*7</f>
        <v>3270.4000000000005</v>
      </c>
      <c r="J27" s="10">
        <v>454</v>
      </c>
      <c r="K27" s="10">
        <f t="shared" si="2"/>
        <v>398.2</v>
      </c>
      <c r="L27" s="10">
        <v>264</v>
      </c>
      <c r="M27" s="10">
        <f t="shared" si="3"/>
        <v>208.2</v>
      </c>
      <c r="N27" s="10">
        <f>(M27/3)*7</f>
        <v>485.79999999999995</v>
      </c>
      <c r="P27" s="151" t="s">
        <v>358</v>
      </c>
      <c r="Q27" s="148">
        <v>2</v>
      </c>
      <c r="R27" s="148">
        <v>11</v>
      </c>
      <c r="S27" s="148">
        <v>3696.7000000000003</v>
      </c>
      <c r="T27" s="148">
        <v>501.43333333333328</v>
      </c>
      <c r="U27" s="148">
        <f t="shared" si="5"/>
        <v>3195.2666666666669</v>
      </c>
      <c r="V27" s="148">
        <f t="shared" si="6"/>
        <v>86.435649813797895</v>
      </c>
      <c r="W27" s="148">
        <f t="shared" si="7"/>
        <v>5014.333333333333</v>
      </c>
      <c r="X27" s="148">
        <f t="shared" si="8"/>
        <v>5766.4833333333327</v>
      </c>
      <c r="Y27" s="148">
        <f t="shared" si="9"/>
        <v>5.0143333333333331</v>
      </c>
      <c r="Z27" s="148">
        <f t="shared" si="10"/>
        <v>5.7664833333333325</v>
      </c>
      <c r="AA27" s="148" t="s">
        <v>846</v>
      </c>
      <c r="AB27" s="148">
        <f t="shared" si="11"/>
        <v>2.1576676333333333</v>
      </c>
      <c r="AC27" s="148" t="s">
        <v>812</v>
      </c>
      <c r="AD27" s="148">
        <f t="shared" si="12"/>
        <v>126.86263333333332</v>
      </c>
      <c r="AE27" s="148">
        <f t="shared" si="13"/>
        <v>0.12686263333333334</v>
      </c>
      <c r="AF27" s="10" t="s">
        <v>677</v>
      </c>
      <c r="AG27" s="10">
        <f>AVERAGE(AE30:AE38)</f>
        <v>0.11671357901851853</v>
      </c>
      <c r="AH27" s="10">
        <f>STDEV(AE30:AE38)</f>
        <v>2.7974006587028626E-2</v>
      </c>
      <c r="AI27" s="10">
        <f>AVERAGE(AE39:AE41)</f>
        <v>6.050952211111111E-2</v>
      </c>
      <c r="AJ27" s="10">
        <f>STDEV(AE39:AE41)</f>
        <v>8.0119771609359607E-3</v>
      </c>
    </row>
    <row r="28" spans="1:36">
      <c r="A28" s="10">
        <v>2021</v>
      </c>
      <c r="B28" s="10">
        <v>201</v>
      </c>
      <c r="C28" s="10">
        <v>2</v>
      </c>
      <c r="D28" s="10">
        <v>1</v>
      </c>
      <c r="E28" s="10" t="s">
        <v>807</v>
      </c>
      <c r="F28" s="10">
        <v>3169.8</v>
      </c>
      <c r="G28" s="10">
        <v>1394.4</v>
      </c>
      <c r="H28" s="10">
        <f t="shared" si="0"/>
        <v>1338.6000000000001</v>
      </c>
      <c r="I28" s="10">
        <f t="shared" ref="I28:I47" si="14">(H28/3)*7</f>
        <v>3123.4000000000005</v>
      </c>
      <c r="J28" s="10">
        <v>361.9</v>
      </c>
      <c r="K28" s="10">
        <f t="shared" si="2"/>
        <v>306.09999999999997</v>
      </c>
      <c r="L28" s="10">
        <v>245.8</v>
      </c>
      <c r="M28" s="10">
        <f t="shared" si="3"/>
        <v>190</v>
      </c>
      <c r="N28" s="10">
        <f t="shared" ref="N28:N47" si="15">(M28/3)*7</f>
        <v>443.33333333333337</v>
      </c>
      <c r="P28" s="151" t="s">
        <v>359</v>
      </c>
      <c r="Q28" s="148">
        <v>2</v>
      </c>
      <c r="R28" s="148">
        <v>12</v>
      </c>
      <c r="S28" s="148">
        <v>3263.166666666667</v>
      </c>
      <c r="T28" s="148">
        <v>430.5</v>
      </c>
      <c r="U28" s="148">
        <f t="shared" si="5"/>
        <v>2832.666666666667</v>
      </c>
      <c r="V28" s="148">
        <f t="shared" si="6"/>
        <v>86.807293528780832</v>
      </c>
      <c r="W28" s="148">
        <f t="shared" si="7"/>
        <v>4305</v>
      </c>
      <c r="X28" s="148">
        <f t="shared" si="8"/>
        <v>4950.75</v>
      </c>
      <c r="Y28" s="148">
        <f t="shared" si="9"/>
        <v>4.3049999999999997</v>
      </c>
      <c r="Z28" s="148">
        <f t="shared" si="10"/>
        <v>4.9507499999999993</v>
      </c>
      <c r="AA28" s="148" t="s">
        <v>847</v>
      </c>
      <c r="AB28" s="148">
        <f t="shared" si="11"/>
        <v>1.801212</v>
      </c>
      <c r="AC28" s="148" t="s">
        <v>637</v>
      </c>
      <c r="AD28" s="148">
        <f t="shared" si="12"/>
        <v>92.55749999999999</v>
      </c>
      <c r="AE28" s="148">
        <f t="shared" si="13"/>
        <v>9.2557499999999987E-2</v>
      </c>
      <c r="AF28" s="10" t="s">
        <v>678</v>
      </c>
      <c r="AG28" s="10">
        <f>AVERAGE(AE42:AE50)</f>
        <v>0.11556428333333334</v>
      </c>
      <c r="AH28" s="10">
        <f>STDEV(AE42:AE50)</f>
        <v>1.5716806256177974E-2</v>
      </c>
      <c r="AI28" s="10">
        <f>AVERAGE(AE51:AE53)</f>
        <v>6.3495911111111109E-2</v>
      </c>
      <c r="AJ28" s="10">
        <f>STDEV(AE51:AE53)</f>
        <v>2.4631863625130708E-2</v>
      </c>
    </row>
    <row r="29" spans="1:36">
      <c r="A29" s="10">
        <v>2021</v>
      </c>
      <c r="B29" s="10">
        <v>201</v>
      </c>
      <c r="C29" s="10">
        <v>2</v>
      </c>
      <c r="D29" s="10">
        <v>2</v>
      </c>
      <c r="E29" s="10" t="s">
        <v>804</v>
      </c>
      <c r="F29" s="10">
        <v>4277.5</v>
      </c>
      <c r="G29" s="10">
        <v>1584.5</v>
      </c>
      <c r="H29" s="10">
        <f t="shared" si="0"/>
        <v>1528.7</v>
      </c>
      <c r="I29" s="10">
        <f t="shared" si="14"/>
        <v>3566.9666666666667</v>
      </c>
      <c r="J29" s="10">
        <v>591.5</v>
      </c>
      <c r="K29" s="10">
        <f t="shared" si="2"/>
        <v>535.70000000000005</v>
      </c>
      <c r="L29" s="10">
        <v>244.1</v>
      </c>
      <c r="M29" s="10">
        <f t="shared" si="3"/>
        <v>188.3</v>
      </c>
      <c r="N29" s="10">
        <f t="shared" si="15"/>
        <v>439.36666666666673</v>
      </c>
      <c r="P29" s="151" t="s">
        <v>360</v>
      </c>
      <c r="Q29" s="148">
        <v>2</v>
      </c>
      <c r="R29" s="148">
        <v>13</v>
      </c>
      <c r="S29" s="148">
        <v>3048.9666666666667</v>
      </c>
      <c r="T29" s="148">
        <v>406</v>
      </c>
      <c r="U29" s="148">
        <f t="shared" si="5"/>
        <v>2642.9666666666667</v>
      </c>
      <c r="V29" s="148">
        <f t="shared" si="6"/>
        <v>86.684013162929517</v>
      </c>
      <c r="W29" s="148">
        <f t="shared" si="7"/>
        <v>4060</v>
      </c>
      <c r="X29" s="148">
        <f t="shared" si="8"/>
        <v>4669</v>
      </c>
      <c r="Y29" s="148">
        <f t="shared" si="9"/>
        <v>4.0599999999999996</v>
      </c>
      <c r="Z29" s="148">
        <f t="shared" si="10"/>
        <v>4.6689999999999996</v>
      </c>
      <c r="AA29" s="148" t="s">
        <v>848</v>
      </c>
      <c r="AB29" s="148">
        <f t="shared" si="11"/>
        <v>1.7027639999999997</v>
      </c>
      <c r="AC29" s="148" t="s">
        <v>849</v>
      </c>
      <c r="AD29" s="148">
        <f t="shared" si="12"/>
        <v>95.816000000000003</v>
      </c>
      <c r="AE29" s="148">
        <f t="shared" si="13"/>
        <v>9.5815999999999985E-2</v>
      </c>
      <c r="AF29" s="14"/>
      <c r="AG29" s="14"/>
      <c r="AH29" s="14"/>
      <c r="AI29" s="14"/>
      <c r="AJ29" s="14"/>
    </row>
    <row r="30" spans="1:36">
      <c r="A30" s="10">
        <v>2021</v>
      </c>
      <c r="B30" s="10">
        <v>201</v>
      </c>
      <c r="C30" s="10">
        <v>2</v>
      </c>
      <c r="D30" s="10">
        <v>2</v>
      </c>
      <c r="E30" s="10" t="s">
        <v>807</v>
      </c>
      <c r="F30" s="10">
        <v>4638.3999999999996</v>
      </c>
      <c r="G30" s="10">
        <v>1913.5</v>
      </c>
      <c r="H30" s="10">
        <f t="shared" si="0"/>
        <v>1857.7</v>
      </c>
      <c r="I30" s="10">
        <f t="shared" si="14"/>
        <v>4334.6333333333332</v>
      </c>
      <c r="J30" s="10">
        <v>591</v>
      </c>
      <c r="K30" s="10">
        <f t="shared" si="2"/>
        <v>535.20000000000005</v>
      </c>
      <c r="L30" s="10">
        <v>293.5</v>
      </c>
      <c r="M30" s="10">
        <f t="shared" si="3"/>
        <v>237.7</v>
      </c>
      <c r="N30" s="10">
        <f t="shared" si="15"/>
        <v>554.63333333333333</v>
      </c>
      <c r="P30" s="99" t="s">
        <v>361</v>
      </c>
      <c r="Q30" s="10">
        <v>3</v>
      </c>
      <c r="R30" s="10">
        <v>1</v>
      </c>
      <c r="S30" s="10">
        <f>(I48+I49)/2</f>
        <v>3937.0043333333342</v>
      </c>
      <c r="T30" s="10">
        <f>(N48+N49)/2</f>
        <v>451.89150000000006</v>
      </c>
      <c r="U30" s="10">
        <f t="shared" si="5"/>
        <v>3485.112833333334</v>
      </c>
      <c r="V30" s="10">
        <f t="shared" si="6"/>
        <v>88.521945577403045</v>
      </c>
      <c r="W30" s="10">
        <f t="shared" si="7"/>
        <v>4518.915</v>
      </c>
      <c r="X30" s="10">
        <f t="shared" si="8"/>
        <v>5196.7522499999995</v>
      </c>
      <c r="Y30" s="10">
        <f t="shared" si="9"/>
        <v>4.5189149999999998</v>
      </c>
      <c r="Z30" s="10">
        <f t="shared" si="10"/>
        <v>5.1967522499999994</v>
      </c>
      <c r="AA30" s="10" t="s">
        <v>850</v>
      </c>
      <c r="AB30" s="10">
        <f t="shared" si="11"/>
        <v>1.9697950485</v>
      </c>
      <c r="AC30" s="10" t="s">
        <v>851</v>
      </c>
      <c r="AD30" s="10">
        <f t="shared" si="12"/>
        <v>164.488506</v>
      </c>
      <c r="AE30" s="10">
        <f t="shared" si="13"/>
        <v>0.16448850600000001</v>
      </c>
      <c r="AG30" s="3" t="s">
        <v>672</v>
      </c>
      <c r="AH30" s="3" t="s">
        <v>670</v>
      </c>
      <c r="AI30" s="3" t="s">
        <v>671</v>
      </c>
    </row>
    <row r="31" spans="1:36">
      <c r="A31" s="10">
        <v>2021</v>
      </c>
      <c r="B31" s="10">
        <v>201</v>
      </c>
      <c r="C31" s="10">
        <v>2</v>
      </c>
      <c r="D31" s="10">
        <v>3</v>
      </c>
      <c r="E31" s="78" t="s">
        <v>804</v>
      </c>
      <c r="F31" s="10">
        <v>4384.1000000000004</v>
      </c>
      <c r="G31" s="10">
        <v>1786.9</v>
      </c>
      <c r="H31" s="10">
        <f t="shared" si="0"/>
        <v>1731.1000000000001</v>
      </c>
      <c r="I31" s="10">
        <f t="shared" si="14"/>
        <v>4039.233333333334</v>
      </c>
      <c r="J31" s="10">
        <v>589.6</v>
      </c>
      <c r="K31" s="10">
        <f t="shared" si="2"/>
        <v>533.80000000000007</v>
      </c>
      <c r="L31" s="10">
        <v>278.10000000000002</v>
      </c>
      <c r="M31" s="10">
        <f t="shared" si="3"/>
        <v>222.3</v>
      </c>
      <c r="N31" s="10">
        <f t="shared" si="15"/>
        <v>518.70000000000005</v>
      </c>
      <c r="P31" s="99" t="s">
        <v>362</v>
      </c>
      <c r="Q31" s="10">
        <v>3</v>
      </c>
      <c r="R31" s="10">
        <v>2</v>
      </c>
      <c r="S31" s="10">
        <f>(I50+I51)/2</f>
        <v>3559.4095000000007</v>
      </c>
      <c r="T31" s="10">
        <f>(N50+N51)/2</f>
        <v>466.63099999999997</v>
      </c>
      <c r="U31" s="10">
        <f t="shared" si="5"/>
        <v>3092.7785000000008</v>
      </c>
      <c r="V31" s="10">
        <f t="shared" si="6"/>
        <v>86.890213109786899</v>
      </c>
      <c r="W31" s="10">
        <f t="shared" si="7"/>
        <v>4666.3099999999995</v>
      </c>
      <c r="X31" s="10">
        <f t="shared" si="8"/>
        <v>5366.2564999999986</v>
      </c>
      <c r="Y31" s="10">
        <f t="shared" si="9"/>
        <v>4.6663099999999993</v>
      </c>
      <c r="Z31" s="10">
        <f t="shared" si="10"/>
        <v>5.3662564999999987</v>
      </c>
      <c r="AA31" s="10" t="s">
        <v>852</v>
      </c>
      <c r="AB31" s="10">
        <f t="shared" si="11"/>
        <v>1.9920477389999998</v>
      </c>
      <c r="AC31" s="10" t="s">
        <v>853</v>
      </c>
      <c r="AD31" s="10">
        <f t="shared" si="12"/>
        <v>135.32298999999998</v>
      </c>
      <c r="AE31" s="10">
        <f t="shared" si="13"/>
        <v>0.13532298999999998</v>
      </c>
      <c r="AG31" s="10" t="s">
        <v>675</v>
      </c>
      <c r="AH31" s="10">
        <f>AVERAGE(Z6:Z14)</f>
        <v>5.287407303703703</v>
      </c>
      <c r="AI31" s="7">
        <f>STDEV(Z6:Z14)</f>
        <v>0.42311997701204301</v>
      </c>
    </row>
    <row r="32" spans="1:36">
      <c r="A32" s="10">
        <v>2021</v>
      </c>
      <c r="B32" s="10">
        <v>201</v>
      </c>
      <c r="C32" s="10">
        <v>2</v>
      </c>
      <c r="D32" s="10">
        <v>3</v>
      </c>
      <c r="E32" s="10" t="s">
        <v>807</v>
      </c>
      <c r="F32" s="10">
        <v>4854.2</v>
      </c>
      <c r="G32" s="10">
        <v>2035.6</v>
      </c>
      <c r="H32" s="10">
        <f t="shared" si="0"/>
        <v>1979.8</v>
      </c>
      <c r="I32" s="10">
        <f t="shared" si="14"/>
        <v>4619.5333333333328</v>
      </c>
      <c r="J32" s="10">
        <v>566.5</v>
      </c>
      <c r="K32" s="10">
        <f t="shared" si="2"/>
        <v>510.7</v>
      </c>
      <c r="L32" s="10">
        <v>322.8</v>
      </c>
      <c r="M32" s="10">
        <f t="shared" si="3"/>
        <v>267</v>
      </c>
      <c r="N32" s="10">
        <f t="shared" si="15"/>
        <v>623</v>
      </c>
      <c r="P32" s="99" t="s">
        <v>363</v>
      </c>
      <c r="Q32" s="10">
        <v>3</v>
      </c>
      <c r="R32" s="10">
        <v>3</v>
      </c>
      <c r="S32" s="10">
        <f>(I52+I53)/2</f>
        <v>3582.7770000000005</v>
      </c>
      <c r="T32" s="10">
        <f>(N52+N53)/2</f>
        <v>349.43400000000008</v>
      </c>
      <c r="U32" s="10">
        <f t="shared" si="5"/>
        <v>3233.3430000000003</v>
      </c>
      <c r="V32" s="10">
        <f t="shared" si="6"/>
        <v>90.246839253461758</v>
      </c>
      <c r="W32" s="10">
        <f t="shared" si="7"/>
        <v>3494.3400000000006</v>
      </c>
      <c r="X32" s="10">
        <f t="shared" si="8"/>
        <v>4018.4910000000004</v>
      </c>
      <c r="Y32" s="10">
        <f t="shared" si="9"/>
        <v>3.4943400000000007</v>
      </c>
      <c r="Z32" s="10">
        <f t="shared" si="10"/>
        <v>4.018491</v>
      </c>
      <c r="AA32" s="10" t="s">
        <v>828</v>
      </c>
      <c r="AB32" s="10">
        <f t="shared" si="11"/>
        <v>1.4777563860000003</v>
      </c>
      <c r="AC32" s="10" t="s">
        <v>854</v>
      </c>
      <c r="AD32" s="10">
        <f t="shared" si="12"/>
        <v>77.574348000000015</v>
      </c>
      <c r="AE32" s="10">
        <f t="shared" si="13"/>
        <v>7.7574348000000015E-2</v>
      </c>
      <c r="AG32" s="10" t="s">
        <v>682</v>
      </c>
      <c r="AH32" s="10">
        <f>AVERAGE(Z15:Z17)</f>
        <v>5.227243477777777</v>
      </c>
      <c r="AI32" s="7">
        <f>STDEV(Z15:Z17)</f>
        <v>0.51978432472544123</v>
      </c>
    </row>
    <row r="33" spans="1:36">
      <c r="A33" s="10">
        <v>2021</v>
      </c>
      <c r="B33" s="10">
        <v>201</v>
      </c>
      <c r="C33" s="10">
        <v>2</v>
      </c>
      <c r="D33" s="10">
        <v>4</v>
      </c>
      <c r="E33" s="10" t="s">
        <v>804</v>
      </c>
      <c r="F33" s="10">
        <v>3930</v>
      </c>
      <c r="G33" s="10">
        <v>1712.9</v>
      </c>
      <c r="H33" s="10">
        <f t="shared" si="0"/>
        <v>1657.1000000000001</v>
      </c>
      <c r="I33" s="10">
        <f t="shared" si="14"/>
        <v>3866.5666666666666</v>
      </c>
      <c r="J33" s="10">
        <v>731.1</v>
      </c>
      <c r="K33" s="10">
        <f t="shared" si="2"/>
        <v>675.30000000000007</v>
      </c>
      <c r="L33" s="10">
        <v>260.39999999999998</v>
      </c>
      <c r="M33" s="10">
        <f t="shared" si="3"/>
        <v>204.59999999999997</v>
      </c>
      <c r="N33" s="10">
        <f t="shared" si="15"/>
        <v>477.39999999999992</v>
      </c>
      <c r="P33" s="99" t="s">
        <v>364</v>
      </c>
      <c r="Q33" s="10">
        <v>3</v>
      </c>
      <c r="R33" s="10">
        <v>4</v>
      </c>
      <c r="S33" s="10">
        <f>(I54+I55)/2</f>
        <v>3116.0261666666665</v>
      </c>
      <c r="T33" s="10">
        <f>(N54+N55)/2</f>
        <v>390.41700000000003</v>
      </c>
      <c r="U33" s="10">
        <f t="shared" si="5"/>
        <v>2725.6091666666666</v>
      </c>
      <c r="V33" s="10">
        <f t="shared" si="6"/>
        <v>87.470676460408413</v>
      </c>
      <c r="W33" s="10">
        <f t="shared" si="7"/>
        <v>3904.17</v>
      </c>
      <c r="X33" s="10">
        <f t="shared" si="8"/>
        <v>4489.7955000000002</v>
      </c>
      <c r="Y33" s="10">
        <f t="shared" si="9"/>
        <v>3.9041700000000001</v>
      </c>
      <c r="Z33" s="10">
        <f t="shared" si="10"/>
        <v>4.4897954999999996</v>
      </c>
      <c r="AA33" s="10" t="s">
        <v>855</v>
      </c>
      <c r="AB33" s="10">
        <f t="shared" si="11"/>
        <v>1.7033893710000001</v>
      </c>
      <c r="AC33" s="10" t="s">
        <v>734</v>
      </c>
      <c r="AD33" s="10">
        <f t="shared" si="12"/>
        <v>136.25553300000001</v>
      </c>
      <c r="AE33" s="10">
        <f t="shared" si="13"/>
        <v>0.13625553300000001</v>
      </c>
      <c r="AG33" s="10" t="s">
        <v>676</v>
      </c>
      <c r="AH33" s="10">
        <f>AVERAGE(Z18:Z26)</f>
        <v>6.0843092592592587</v>
      </c>
      <c r="AI33" s="7">
        <f>STDEV(Z18:Z26)</f>
        <v>0.44140244282909641</v>
      </c>
    </row>
    <row r="34" spans="1:36">
      <c r="A34" s="10">
        <v>2021</v>
      </c>
      <c r="B34" s="10">
        <v>201</v>
      </c>
      <c r="C34" s="10">
        <v>2</v>
      </c>
      <c r="D34" s="10">
        <v>4</v>
      </c>
      <c r="E34" s="10" t="s">
        <v>807</v>
      </c>
      <c r="F34" s="10">
        <v>4091.7</v>
      </c>
      <c r="G34" s="10">
        <v>1846.3</v>
      </c>
      <c r="H34" s="10">
        <f t="shared" si="0"/>
        <v>1790.5</v>
      </c>
      <c r="I34" s="10">
        <f t="shared" si="14"/>
        <v>4177.8333333333339</v>
      </c>
      <c r="J34" s="10">
        <v>522.1</v>
      </c>
      <c r="K34" s="10">
        <f t="shared" si="2"/>
        <v>466.3</v>
      </c>
      <c r="L34" s="10">
        <v>304.5</v>
      </c>
      <c r="M34" s="10">
        <f t="shared" si="3"/>
        <v>248.7</v>
      </c>
      <c r="N34" s="10">
        <f t="shared" si="15"/>
        <v>580.29999999999995</v>
      </c>
      <c r="P34" s="99" t="s">
        <v>365</v>
      </c>
      <c r="Q34" s="10">
        <v>3</v>
      </c>
      <c r="R34" s="10">
        <v>5</v>
      </c>
      <c r="S34" s="10">
        <f>(I56+I57)/2</f>
        <v>3250.3593333333338</v>
      </c>
      <c r="T34" s="10">
        <f>(N56+N57)/2</f>
        <v>388.26</v>
      </c>
      <c r="U34" s="10">
        <f t="shared" si="5"/>
        <v>2862.0993333333336</v>
      </c>
      <c r="V34" s="10">
        <f t="shared" si="6"/>
        <v>88.054859165314852</v>
      </c>
      <c r="W34" s="10">
        <f t="shared" si="7"/>
        <v>3882.6</v>
      </c>
      <c r="X34" s="10">
        <f t="shared" si="8"/>
        <v>4464.99</v>
      </c>
      <c r="Y34" s="10">
        <f t="shared" si="9"/>
        <v>3.8826000000000001</v>
      </c>
      <c r="Z34" s="10">
        <f t="shared" si="10"/>
        <v>4.4649899999999993</v>
      </c>
      <c r="AA34" s="10" t="s">
        <v>856</v>
      </c>
      <c r="AB34" s="10">
        <f t="shared" si="11"/>
        <v>1.6998022800000001</v>
      </c>
      <c r="AC34" s="10" t="s">
        <v>857</v>
      </c>
      <c r="AD34" s="10">
        <f t="shared" si="12"/>
        <v>138.60881999999998</v>
      </c>
      <c r="AE34" s="10">
        <f t="shared" si="13"/>
        <v>0.13860881999999999</v>
      </c>
      <c r="AG34" s="10" t="s">
        <v>690</v>
      </c>
      <c r="AH34" s="10">
        <f>AVERAGE(Z27:Z29)</f>
        <v>5.1287444444444441</v>
      </c>
      <c r="AI34" s="7">
        <f>STDEV(Z27:Z29)</f>
        <v>0.56998152024949522</v>
      </c>
    </row>
    <row r="35" spans="1:36">
      <c r="A35" s="10">
        <v>2021</v>
      </c>
      <c r="B35" s="10">
        <v>201</v>
      </c>
      <c r="C35" s="10">
        <v>2</v>
      </c>
      <c r="D35" s="10">
        <v>5</v>
      </c>
      <c r="E35" s="78" t="s">
        <v>804</v>
      </c>
      <c r="F35" s="10">
        <v>3777.2</v>
      </c>
      <c r="G35" s="10">
        <v>1869.8</v>
      </c>
      <c r="H35" s="10">
        <f t="shared" si="0"/>
        <v>1814</v>
      </c>
      <c r="I35" s="10">
        <f t="shared" si="14"/>
        <v>4232.6666666666661</v>
      </c>
      <c r="J35" s="10">
        <v>517.6</v>
      </c>
      <c r="K35" s="10">
        <f t="shared" si="2"/>
        <v>461.8</v>
      </c>
      <c r="L35" s="10">
        <v>323</v>
      </c>
      <c r="M35" s="10">
        <f t="shared" si="3"/>
        <v>267.2</v>
      </c>
      <c r="N35" s="10">
        <f t="shared" si="15"/>
        <v>623.4666666666667</v>
      </c>
      <c r="P35" s="99" t="s">
        <v>366</v>
      </c>
      <c r="Q35" s="10">
        <v>3</v>
      </c>
      <c r="R35" s="10">
        <v>6</v>
      </c>
      <c r="S35" s="10">
        <f>(I58+I59)/2</f>
        <v>3517.7075000000004</v>
      </c>
      <c r="T35" s="10">
        <f>(N58+N59)/2</f>
        <v>370.88416666666672</v>
      </c>
      <c r="U35" s="10">
        <f t="shared" si="5"/>
        <v>3146.8233333333337</v>
      </c>
      <c r="V35" s="10">
        <f t="shared" si="6"/>
        <v>89.456651337080558</v>
      </c>
      <c r="W35" s="10">
        <f t="shared" si="7"/>
        <v>3708.8416666666672</v>
      </c>
      <c r="X35" s="10">
        <f t="shared" si="8"/>
        <v>4265.1679166666672</v>
      </c>
      <c r="Y35" s="10">
        <f t="shared" si="9"/>
        <v>3.7088416666666673</v>
      </c>
      <c r="Z35" s="10">
        <f t="shared" si="10"/>
        <v>4.2651679166666669</v>
      </c>
      <c r="AA35" s="10" t="s">
        <v>858</v>
      </c>
      <c r="AB35" s="10">
        <f t="shared" si="11"/>
        <v>1.5948019166666669</v>
      </c>
      <c r="AC35" s="10" t="s">
        <v>825</v>
      </c>
      <c r="AD35" s="10">
        <f t="shared" si="12"/>
        <v>102.36403000000001</v>
      </c>
      <c r="AE35" s="10">
        <f t="shared" si="13"/>
        <v>0.10236403000000001</v>
      </c>
      <c r="AG35" s="10" t="s">
        <v>677</v>
      </c>
      <c r="AH35" s="10">
        <f>AVERAGE(Z30:Z38)</f>
        <v>4.5616089537037032</v>
      </c>
      <c r="AI35" s="7">
        <f>STDEV(Z30:Z38)</f>
        <v>0.49070190432824917</v>
      </c>
    </row>
    <row r="36" spans="1:36">
      <c r="A36" s="10">
        <v>2021</v>
      </c>
      <c r="B36" s="10">
        <v>201</v>
      </c>
      <c r="C36" s="10">
        <v>2</v>
      </c>
      <c r="D36" s="10">
        <v>5</v>
      </c>
      <c r="E36" s="10" t="s">
        <v>807</v>
      </c>
      <c r="F36" s="10">
        <v>3951.8</v>
      </c>
      <c r="G36" s="10">
        <v>1745.5</v>
      </c>
      <c r="H36" s="10">
        <f t="shared" si="0"/>
        <v>1689.7</v>
      </c>
      <c r="I36" s="10">
        <f t="shared" si="14"/>
        <v>3942.6333333333332</v>
      </c>
      <c r="J36" s="10">
        <v>832.8</v>
      </c>
      <c r="K36" s="10">
        <f t="shared" si="2"/>
        <v>777</v>
      </c>
      <c r="L36" s="10">
        <v>272.8</v>
      </c>
      <c r="M36" s="10">
        <f t="shared" si="3"/>
        <v>217</v>
      </c>
      <c r="N36" s="10">
        <f t="shared" si="15"/>
        <v>506.33333333333331</v>
      </c>
      <c r="P36" s="99" t="s">
        <v>367</v>
      </c>
      <c r="Q36" s="10">
        <v>3</v>
      </c>
      <c r="R36" s="10">
        <v>7</v>
      </c>
      <c r="S36" s="10">
        <f>(I60+I61)/2</f>
        <v>3306.8008333333337</v>
      </c>
      <c r="T36" s="10">
        <f>(N60+N61)/2</f>
        <v>373.88</v>
      </c>
      <c r="U36" s="10">
        <f t="shared" si="5"/>
        <v>2932.9208333333336</v>
      </c>
      <c r="V36" s="10">
        <f t="shared" si="6"/>
        <v>88.693603913752497</v>
      </c>
      <c r="W36" s="10">
        <f t="shared" si="7"/>
        <v>3738.7999999999997</v>
      </c>
      <c r="X36" s="10">
        <f t="shared" si="8"/>
        <v>4299.619999999999</v>
      </c>
      <c r="Y36" s="10">
        <f t="shared" si="9"/>
        <v>3.7387999999999999</v>
      </c>
      <c r="Z36" s="10">
        <f t="shared" si="10"/>
        <v>4.29962</v>
      </c>
      <c r="AA36" s="10" t="s">
        <v>859</v>
      </c>
      <c r="AB36" s="10">
        <f t="shared" si="11"/>
        <v>1.6473152800000002</v>
      </c>
      <c r="AC36" s="10" t="s">
        <v>860</v>
      </c>
      <c r="AD36" s="10">
        <f t="shared" si="12"/>
        <v>103.56475999999999</v>
      </c>
      <c r="AE36" s="10">
        <f t="shared" si="13"/>
        <v>0.10356475999999999</v>
      </c>
      <c r="AG36" s="10" t="s">
        <v>695</v>
      </c>
      <c r="AH36" s="10">
        <f>AVERAGE(Z39:Z41)</f>
        <v>3.7006131111111107</v>
      </c>
      <c r="AI36" s="7">
        <f>STDEV(Z39:Z41)</f>
        <v>0.39100994786827775</v>
      </c>
    </row>
    <row r="37" spans="1:36">
      <c r="A37" s="10">
        <v>2021</v>
      </c>
      <c r="B37" s="10">
        <v>201</v>
      </c>
      <c r="C37" s="10">
        <v>2</v>
      </c>
      <c r="D37" s="10">
        <v>6</v>
      </c>
      <c r="E37" s="10" t="s">
        <v>804</v>
      </c>
      <c r="F37" s="10">
        <v>4144.3</v>
      </c>
      <c r="G37" s="10">
        <v>1817.7</v>
      </c>
      <c r="H37" s="10">
        <f t="shared" si="0"/>
        <v>1761.9</v>
      </c>
      <c r="I37" s="10">
        <f t="shared" si="14"/>
        <v>4111.1000000000004</v>
      </c>
      <c r="J37" s="10">
        <v>710.5</v>
      </c>
      <c r="K37" s="10">
        <f t="shared" si="2"/>
        <v>654.70000000000005</v>
      </c>
      <c r="L37" s="10">
        <v>291.60000000000002</v>
      </c>
      <c r="M37" s="10">
        <f t="shared" si="3"/>
        <v>235.8</v>
      </c>
      <c r="N37" s="10">
        <f t="shared" si="15"/>
        <v>550.20000000000005</v>
      </c>
      <c r="P37" s="99" t="s">
        <v>368</v>
      </c>
      <c r="Q37" s="10">
        <v>3</v>
      </c>
      <c r="R37" s="10">
        <v>8</v>
      </c>
      <c r="S37" s="10">
        <f>(I62+I63)/2</f>
        <v>3463.9023333333334</v>
      </c>
      <c r="T37" s="10">
        <f>(N62+N63)/2</f>
        <v>427.92483333333337</v>
      </c>
      <c r="U37" s="10">
        <f t="shared" si="5"/>
        <v>3035.9775</v>
      </c>
      <c r="V37" s="10">
        <f t="shared" si="6"/>
        <v>87.646163426278278</v>
      </c>
      <c r="W37" s="10">
        <f t="shared" si="7"/>
        <v>4279.2483333333339</v>
      </c>
      <c r="X37" s="10">
        <f t="shared" si="8"/>
        <v>4921.1355833333337</v>
      </c>
      <c r="Y37" s="10">
        <f t="shared" si="9"/>
        <v>4.2792483333333342</v>
      </c>
      <c r="Z37" s="10">
        <f t="shared" si="10"/>
        <v>4.9211355833333341</v>
      </c>
      <c r="AA37" s="10" t="s">
        <v>861</v>
      </c>
      <c r="AB37" s="10">
        <f t="shared" si="11"/>
        <v>1.7750322086666668</v>
      </c>
      <c r="AC37" s="10" t="s">
        <v>827</v>
      </c>
      <c r="AD37" s="10">
        <f t="shared" si="12"/>
        <v>93.715538500000008</v>
      </c>
      <c r="AE37" s="10">
        <f t="shared" si="13"/>
        <v>9.3715538500000015E-2</v>
      </c>
      <c r="AG37" s="10" t="s">
        <v>678</v>
      </c>
      <c r="AH37" s="10">
        <f>AVERAGE(Z42:Z50)</f>
        <v>4.4753527777777773</v>
      </c>
      <c r="AI37" s="7">
        <f>STDEV(Z42:Z50)</f>
        <v>0.47627182470407031</v>
      </c>
    </row>
    <row r="38" spans="1:36">
      <c r="A38" s="10">
        <v>2021</v>
      </c>
      <c r="B38" s="10">
        <v>201</v>
      </c>
      <c r="C38" s="10">
        <v>2</v>
      </c>
      <c r="D38" s="10">
        <v>6</v>
      </c>
      <c r="E38" s="10" t="s">
        <v>807</v>
      </c>
      <c r="F38" s="10">
        <v>4173.3</v>
      </c>
      <c r="G38" s="10">
        <v>1949.1</v>
      </c>
      <c r="H38" s="10">
        <f t="shared" si="0"/>
        <v>1893.3</v>
      </c>
      <c r="I38" s="10">
        <f t="shared" si="14"/>
        <v>4417.7</v>
      </c>
      <c r="J38" s="10">
        <v>824.3</v>
      </c>
      <c r="K38" s="10">
        <f t="shared" si="2"/>
        <v>768.5</v>
      </c>
      <c r="L38" s="10">
        <v>289.2</v>
      </c>
      <c r="M38" s="10">
        <f t="shared" si="3"/>
        <v>233.39999999999998</v>
      </c>
      <c r="N38" s="10">
        <f t="shared" si="15"/>
        <v>544.6</v>
      </c>
      <c r="P38" s="99" t="s">
        <v>369</v>
      </c>
      <c r="Q38" s="10">
        <v>3</v>
      </c>
      <c r="R38" s="10">
        <v>9</v>
      </c>
      <c r="S38" s="10">
        <f>(I64+I65)/2</f>
        <v>3354.6143333333339</v>
      </c>
      <c r="T38" s="10">
        <f>(N64+N65)/2</f>
        <v>350.63233333333335</v>
      </c>
      <c r="U38" s="10">
        <f t="shared" si="5"/>
        <v>3003.9820000000004</v>
      </c>
      <c r="V38" s="10">
        <f t="shared" si="6"/>
        <v>89.547760234335925</v>
      </c>
      <c r="W38" s="10">
        <f t="shared" si="7"/>
        <v>3506.3233333333333</v>
      </c>
      <c r="X38" s="10">
        <f t="shared" si="8"/>
        <v>4032.2718333333328</v>
      </c>
      <c r="Y38" s="10">
        <f t="shared" si="9"/>
        <v>3.5063233333333335</v>
      </c>
      <c r="Z38" s="10">
        <f t="shared" si="10"/>
        <v>4.0322718333333327</v>
      </c>
      <c r="AA38" s="10" t="s">
        <v>862</v>
      </c>
      <c r="AB38" s="10">
        <f t="shared" si="11"/>
        <v>1.542081002</v>
      </c>
      <c r="AC38" s="10" t="s">
        <v>863</v>
      </c>
      <c r="AD38" s="10">
        <f t="shared" si="12"/>
        <v>98.52768566666667</v>
      </c>
      <c r="AE38" s="10">
        <f t="shared" si="13"/>
        <v>9.852768566666667E-2</v>
      </c>
      <c r="AG38" s="10" t="s">
        <v>700</v>
      </c>
      <c r="AH38" s="10">
        <f>AVERAGE(Z51:Z53)</f>
        <v>4.2298277777777775</v>
      </c>
      <c r="AI38" s="7">
        <f>STDEV(Z51:Z53)</f>
        <v>1.3357107580832228</v>
      </c>
    </row>
    <row r="39" spans="1:36">
      <c r="A39" s="10">
        <v>2021</v>
      </c>
      <c r="B39" s="10">
        <v>201</v>
      </c>
      <c r="C39" s="10">
        <v>2</v>
      </c>
      <c r="D39" s="10">
        <v>7</v>
      </c>
      <c r="E39" s="78" t="s">
        <v>804</v>
      </c>
      <c r="F39" s="10">
        <v>3907.3</v>
      </c>
      <c r="G39" s="10">
        <v>1596.6</v>
      </c>
      <c r="H39" s="10">
        <f t="shared" si="0"/>
        <v>1540.8</v>
      </c>
      <c r="I39" s="10">
        <f t="shared" si="14"/>
        <v>3595.2000000000003</v>
      </c>
      <c r="J39" s="10">
        <v>673.2</v>
      </c>
      <c r="K39" s="10">
        <f t="shared" si="2"/>
        <v>617.40000000000009</v>
      </c>
      <c r="L39" s="10">
        <v>257.10000000000002</v>
      </c>
      <c r="M39" s="10">
        <f t="shared" si="3"/>
        <v>201.3</v>
      </c>
      <c r="N39" s="10">
        <f t="shared" si="15"/>
        <v>469.70000000000005</v>
      </c>
      <c r="P39" s="151" t="s">
        <v>370</v>
      </c>
      <c r="Q39" s="148">
        <v>3</v>
      </c>
      <c r="R39" s="148">
        <v>11</v>
      </c>
      <c r="S39" s="148">
        <v>2261.9740000000002</v>
      </c>
      <c r="T39" s="148">
        <v>284.00500000000005</v>
      </c>
      <c r="U39" s="148">
        <f t="shared" si="5"/>
        <v>1977.9690000000001</v>
      </c>
      <c r="V39" s="148">
        <f t="shared" si="6"/>
        <v>87.44437380801017</v>
      </c>
      <c r="W39" s="148">
        <f t="shared" si="7"/>
        <v>2840.0500000000006</v>
      </c>
      <c r="X39" s="148">
        <f t="shared" si="8"/>
        <v>3266.0575000000003</v>
      </c>
      <c r="Y39" s="148">
        <f t="shared" si="9"/>
        <v>2.8400500000000006</v>
      </c>
      <c r="Z39" s="148">
        <f t="shared" si="10"/>
        <v>3.2660575000000005</v>
      </c>
      <c r="AA39" s="148" t="s">
        <v>864</v>
      </c>
      <c r="AB39" s="148">
        <f t="shared" si="11"/>
        <v>1.1956610500000004</v>
      </c>
      <c r="AC39" s="148" t="s">
        <v>865</v>
      </c>
      <c r="AD39" s="148">
        <f t="shared" si="12"/>
        <v>51.404905000000014</v>
      </c>
      <c r="AE39" s="148">
        <f t="shared" si="13"/>
        <v>5.1404905000000015E-2</v>
      </c>
    </row>
    <row r="40" spans="1:36">
      <c r="A40" s="10">
        <v>2021</v>
      </c>
      <c r="B40" s="10">
        <v>201</v>
      </c>
      <c r="C40" s="10">
        <v>2</v>
      </c>
      <c r="D40" s="10">
        <v>7</v>
      </c>
      <c r="E40" s="10" t="s">
        <v>807</v>
      </c>
      <c r="F40" s="10">
        <v>4210.3999999999996</v>
      </c>
      <c r="G40" s="10">
        <v>1875.2</v>
      </c>
      <c r="H40" s="10">
        <f t="shared" si="0"/>
        <v>1819.4</v>
      </c>
      <c r="I40" s="10">
        <f t="shared" si="14"/>
        <v>4245.2666666666664</v>
      </c>
      <c r="J40" s="10">
        <v>702.3</v>
      </c>
      <c r="K40" s="10">
        <f t="shared" si="2"/>
        <v>646.5</v>
      </c>
      <c r="L40" s="10">
        <v>287.39999999999998</v>
      </c>
      <c r="M40" s="10">
        <f t="shared" si="3"/>
        <v>231.59999999999997</v>
      </c>
      <c r="N40" s="10">
        <f t="shared" si="15"/>
        <v>540.39999999999986</v>
      </c>
      <c r="P40" s="151" t="s">
        <v>371</v>
      </c>
      <c r="Q40" s="148">
        <v>3</v>
      </c>
      <c r="R40" s="148">
        <v>12</v>
      </c>
      <c r="S40" s="148">
        <v>2680.1923333333334</v>
      </c>
      <c r="T40" s="148">
        <v>349.91333333333336</v>
      </c>
      <c r="U40" s="148">
        <f t="shared" si="5"/>
        <v>2330.279</v>
      </c>
      <c r="V40" s="148">
        <f t="shared" si="6"/>
        <v>86.944469283734236</v>
      </c>
      <c r="W40" s="148">
        <f t="shared" si="7"/>
        <v>3499.1333333333332</v>
      </c>
      <c r="X40" s="148">
        <f t="shared" si="8"/>
        <v>4024.0033333333331</v>
      </c>
      <c r="Y40" s="148">
        <f t="shared" si="9"/>
        <v>3.4991333333333334</v>
      </c>
      <c r="Z40" s="148">
        <f t="shared" si="10"/>
        <v>4.0240033333333329</v>
      </c>
      <c r="AA40" s="148" t="s">
        <v>866</v>
      </c>
      <c r="AB40" s="148">
        <f t="shared" si="11"/>
        <v>1.4983288933333334</v>
      </c>
      <c r="AC40" s="148" t="s">
        <v>867</v>
      </c>
      <c r="AD40" s="148">
        <f t="shared" si="12"/>
        <v>66.483533333333327</v>
      </c>
      <c r="AE40" s="148">
        <f t="shared" si="13"/>
        <v>6.6483533333333331E-2</v>
      </c>
      <c r="AF40" s="3" t="s">
        <v>672</v>
      </c>
      <c r="AG40" s="76" t="s">
        <v>868</v>
      </c>
      <c r="AH40" s="76" t="s">
        <v>586</v>
      </c>
      <c r="AI40" s="76" t="s">
        <v>869</v>
      </c>
      <c r="AJ40" s="76" t="s">
        <v>586</v>
      </c>
    </row>
    <row r="41" spans="1:36">
      <c r="A41" s="10">
        <v>2021</v>
      </c>
      <c r="B41" s="10">
        <v>201</v>
      </c>
      <c r="C41" s="10">
        <v>2</v>
      </c>
      <c r="D41" s="10">
        <v>8</v>
      </c>
      <c r="E41" s="10" t="s">
        <v>804</v>
      </c>
      <c r="F41" s="10">
        <v>4128.8</v>
      </c>
      <c r="G41" s="10">
        <v>1766.1</v>
      </c>
      <c r="H41" s="10">
        <f t="shared" si="0"/>
        <v>1710.3</v>
      </c>
      <c r="I41" s="10">
        <f t="shared" si="14"/>
        <v>3990.7000000000003</v>
      </c>
      <c r="J41" s="10">
        <v>675.4</v>
      </c>
      <c r="K41" s="10">
        <f t="shared" si="2"/>
        <v>619.6</v>
      </c>
      <c r="L41" s="10">
        <v>264.10000000000002</v>
      </c>
      <c r="M41" s="10">
        <f t="shared" si="3"/>
        <v>208.3</v>
      </c>
      <c r="N41" s="10">
        <f t="shared" si="15"/>
        <v>486.03333333333336</v>
      </c>
      <c r="P41" s="151" t="s">
        <v>372</v>
      </c>
      <c r="Q41" s="148">
        <v>3</v>
      </c>
      <c r="R41" s="148">
        <v>13</v>
      </c>
      <c r="S41" s="148">
        <v>2549.3343333333332</v>
      </c>
      <c r="T41" s="148">
        <v>331.459</v>
      </c>
      <c r="U41" s="148">
        <f t="shared" si="5"/>
        <v>2217.8753333333334</v>
      </c>
      <c r="V41" s="148">
        <f t="shared" si="6"/>
        <v>86.998213782081422</v>
      </c>
      <c r="W41" s="148">
        <f t="shared" si="7"/>
        <v>3314.5899999999997</v>
      </c>
      <c r="X41" s="148">
        <f t="shared" si="8"/>
        <v>3811.7784999999994</v>
      </c>
      <c r="Y41" s="148">
        <f t="shared" si="9"/>
        <v>3.3145899999999995</v>
      </c>
      <c r="Z41" s="148">
        <f t="shared" si="10"/>
        <v>3.8117784999999991</v>
      </c>
      <c r="AA41" s="148" t="s">
        <v>870</v>
      </c>
      <c r="AB41" s="148">
        <f t="shared" si="11"/>
        <v>1.3888132099999997</v>
      </c>
      <c r="AC41" s="148" t="s">
        <v>871</v>
      </c>
      <c r="AD41" s="148">
        <f t="shared" si="12"/>
        <v>63.64012799999999</v>
      </c>
      <c r="AE41" s="148">
        <f t="shared" si="13"/>
        <v>6.364012799999999E-2</v>
      </c>
      <c r="AF41" s="10" t="s">
        <v>675</v>
      </c>
      <c r="AG41" s="7">
        <v>1.9795729548629626</v>
      </c>
      <c r="AH41" s="7">
        <v>0.15533307064841925</v>
      </c>
      <c r="AI41" s="7">
        <v>0.12959704603703701</v>
      </c>
      <c r="AJ41" s="7">
        <v>1.3228492972561592E-2</v>
      </c>
    </row>
    <row r="42" spans="1:36">
      <c r="A42" s="10">
        <v>2021</v>
      </c>
      <c r="B42" s="10">
        <v>201</v>
      </c>
      <c r="C42" s="10">
        <v>2</v>
      </c>
      <c r="D42" s="10">
        <v>8</v>
      </c>
      <c r="E42" s="10" t="s">
        <v>807</v>
      </c>
      <c r="F42" s="10">
        <v>3920.6</v>
      </c>
      <c r="G42" s="10">
        <v>1707</v>
      </c>
      <c r="H42" s="10">
        <f t="shared" si="0"/>
        <v>1651.2</v>
      </c>
      <c r="I42" s="10">
        <f t="shared" si="14"/>
        <v>3852.7999999999997</v>
      </c>
      <c r="J42" s="10">
        <v>587.20000000000005</v>
      </c>
      <c r="K42" s="10">
        <f t="shared" si="2"/>
        <v>531.40000000000009</v>
      </c>
      <c r="L42" s="10">
        <v>282.3</v>
      </c>
      <c r="M42" s="10">
        <f t="shared" si="3"/>
        <v>226.5</v>
      </c>
      <c r="N42" s="10">
        <f t="shared" si="15"/>
        <v>528.5</v>
      </c>
      <c r="P42" s="99" t="s">
        <v>373</v>
      </c>
      <c r="Q42" s="10">
        <v>4</v>
      </c>
      <c r="R42" s="10">
        <v>1</v>
      </c>
      <c r="S42" s="10">
        <f>(I69+I70)/2</f>
        <v>3579.2166666666667</v>
      </c>
      <c r="T42" s="10">
        <f>(N69+N70)/2</f>
        <v>369.94999999999993</v>
      </c>
      <c r="U42" s="10">
        <f t="shared" si="5"/>
        <v>3209.2666666666669</v>
      </c>
      <c r="V42" s="10">
        <f t="shared" si="6"/>
        <v>89.663939502591347</v>
      </c>
      <c r="W42" s="10">
        <f t="shared" si="7"/>
        <v>3699.4999999999991</v>
      </c>
      <c r="X42" s="10">
        <f t="shared" si="8"/>
        <v>4254.4249999999984</v>
      </c>
      <c r="Y42" s="10">
        <f t="shared" si="9"/>
        <v>3.6994999999999991</v>
      </c>
      <c r="Z42" s="10">
        <f t="shared" si="10"/>
        <v>4.2544249999999986</v>
      </c>
      <c r="AA42" s="10" t="s">
        <v>872</v>
      </c>
      <c r="AB42" s="10">
        <f t="shared" si="11"/>
        <v>1.6144617999999997</v>
      </c>
      <c r="AC42" s="10" t="s">
        <v>873</v>
      </c>
      <c r="AD42" s="10">
        <f t="shared" si="12"/>
        <v>127.63274999999997</v>
      </c>
      <c r="AE42" s="10">
        <f t="shared" si="13"/>
        <v>0.12763274999999999</v>
      </c>
      <c r="AF42" s="10" t="s">
        <v>682</v>
      </c>
      <c r="AG42" s="7">
        <v>1.9243412420555555</v>
      </c>
      <c r="AH42" s="7">
        <v>0.21745618649667212</v>
      </c>
      <c r="AI42" s="7">
        <v>8.7125956266666651E-2</v>
      </c>
      <c r="AJ42" s="7">
        <v>2.3597473390171479E-2</v>
      </c>
    </row>
    <row r="43" spans="1:36">
      <c r="A43" s="10">
        <v>2021</v>
      </c>
      <c r="B43" s="10">
        <v>201</v>
      </c>
      <c r="C43" s="10">
        <v>2</v>
      </c>
      <c r="D43" s="10">
        <v>9</v>
      </c>
      <c r="E43" s="78" t="s">
        <v>804</v>
      </c>
      <c r="F43" s="10">
        <v>4639.3</v>
      </c>
      <c r="G43" s="10">
        <v>2039.3</v>
      </c>
      <c r="H43" s="10">
        <f t="shared" si="0"/>
        <v>1983.5</v>
      </c>
      <c r="I43" s="10">
        <f t="shared" si="14"/>
        <v>4628.1666666666661</v>
      </c>
      <c r="J43" s="10">
        <v>829.9</v>
      </c>
      <c r="K43" s="10">
        <f t="shared" si="2"/>
        <v>774.1</v>
      </c>
      <c r="L43" s="10">
        <v>295.60000000000002</v>
      </c>
      <c r="M43" s="10">
        <f t="shared" si="3"/>
        <v>239.8</v>
      </c>
      <c r="N43" s="10">
        <f t="shared" si="15"/>
        <v>559.5333333333333</v>
      </c>
      <c r="P43" s="99" t="s">
        <v>374</v>
      </c>
      <c r="Q43" s="10">
        <v>4</v>
      </c>
      <c r="R43" s="10">
        <v>2</v>
      </c>
      <c r="S43" s="10">
        <f>(I71+I72)/2</f>
        <v>3668.9333333333329</v>
      </c>
      <c r="T43" s="10">
        <f>(N71+N72)/2</f>
        <v>378.58333333333337</v>
      </c>
      <c r="U43" s="10">
        <f t="shared" si="5"/>
        <v>3290.3499999999995</v>
      </c>
      <c r="V43" s="10">
        <f t="shared" si="6"/>
        <v>89.681378784024417</v>
      </c>
      <c r="W43" s="10">
        <f t="shared" si="7"/>
        <v>3785.8333333333335</v>
      </c>
      <c r="X43" s="10">
        <f t="shared" si="8"/>
        <v>4353.708333333333</v>
      </c>
      <c r="Y43" s="10">
        <f t="shared" si="9"/>
        <v>3.7858333333333336</v>
      </c>
      <c r="Z43" s="10">
        <f t="shared" si="10"/>
        <v>4.3537083333333335</v>
      </c>
      <c r="AA43" s="10" t="s">
        <v>874</v>
      </c>
      <c r="AB43" s="10">
        <f t="shared" si="11"/>
        <v>1.6491090000000004</v>
      </c>
      <c r="AC43" s="10" t="s">
        <v>875</v>
      </c>
      <c r="AD43" s="10">
        <f t="shared" si="12"/>
        <v>115.08933333333334</v>
      </c>
      <c r="AE43" s="10">
        <f t="shared" si="13"/>
        <v>0.11508933333333334</v>
      </c>
      <c r="AF43" s="10" t="s">
        <v>676</v>
      </c>
      <c r="AG43" s="7">
        <v>2.297536759259259</v>
      </c>
      <c r="AH43" s="7">
        <v>0.16441671191932342</v>
      </c>
      <c r="AI43" s="7">
        <v>0.14845001111111109</v>
      </c>
      <c r="AJ43" s="7">
        <v>2.5426960515057755E-2</v>
      </c>
    </row>
    <row r="44" spans="1:36">
      <c r="A44" s="10">
        <v>2021</v>
      </c>
      <c r="B44" s="10">
        <v>201</v>
      </c>
      <c r="C44" s="10">
        <v>2</v>
      </c>
      <c r="D44" s="10">
        <v>9</v>
      </c>
      <c r="E44" s="10" t="s">
        <v>807</v>
      </c>
      <c r="F44" s="10">
        <v>4425.6000000000004</v>
      </c>
      <c r="G44" s="10">
        <v>1964</v>
      </c>
      <c r="H44" s="10">
        <f t="shared" si="0"/>
        <v>1908.2</v>
      </c>
      <c r="I44" s="10">
        <f t="shared" si="14"/>
        <v>4452.4666666666672</v>
      </c>
      <c r="J44" s="10">
        <v>703.9</v>
      </c>
      <c r="K44" s="10">
        <f t="shared" si="2"/>
        <v>648.1</v>
      </c>
      <c r="L44" s="10">
        <v>309.5</v>
      </c>
      <c r="M44" s="10">
        <f t="shared" si="3"/>
        <v>253.7</v>
      </c>
      <c r="N44" s="10">
        <f t="shared" si="15"/>
        <v>591.9666666666667</v>
      </c>
      <c r="P44" s="99" t="s">
        <v>375</v>
      </c>
      <c r="Q44" s="10">
        <v>4</v>
      </c>
      <c r="R44" s="10">
        <v>3</v>
      </c>
      <c r="S44" s="10">
        <f>+(I73+I74)/2</f>
        <v>3193.8666666666668</v>
      </c>
      <c r="T44" s="10">
        <f>(N73+N74)/2</f>
        <v>373.79999999999995</v>
      </c>
      <c r="U44" s="10">
        <f t="shared" si="5"/>
        <v>2820.0666666666666</v>
      </c>
      <c r="V44" s="10">
        <f t="shared" si="6"/>
        <v>88.296317942723547</v>
      </c>
      <c r="W44" s="10">
        <f t="shared" si="7"/>
        <v>3737.9999999999995</v>
      </c>
      <c r="X44" s="10">
        <f t="shared" si="8"/>
        <v>4298.6999999999989</v>
      </c>
      <c r="Y44" s="10">
        <f t="shared" si="9"/>
        <v>3.7379999999999995</v>
      </c>
      <c r="Z44" s="10">
        <f t="shared" si="10"/>
        <v>4.2986999999999993</v>
      </c>
      <c r="AA44" s="10" t="s">
        <v>876</v>
      </c>
      <c r="AB44" s="10">
        <f t="shared" si="11"/>
        <v>1.5796787999999997</v>
      </c>
      <c r="AC44" s="10" t="s">
        <v>877</v>
      </c>
      <c r="AD44" s="10">
        <f t="shared" si="12"/>
        <v>111.01859999999999</v>
      </c>
      <c r="AE44" s="10">
        <f t="shared" si="13"/>
        <v>0.1110186</v>
      </c>
      <c r="AF44" s="10" t="s">
        <v>690</v>
      </c>
      <c r="AG44" s="7">
        <v>1.8872145444444444</v>
      </c>
      <c r="AH44" s="7">
        <v>0.23933586681305516</v>
      </c>
      <c r="AI44" s="7">
        <v>0.10507871111111111</v>
      </c>
      <c r="AJ44" s="7">
        <v>1.8935651721035909E-2</v>
      </c>
    </row>
    <row r="45" spans="1:36">
      <c r="A45" s="6">
        <v>2021</v>
      </c>
      <c r="B45" s="6">
        <v>201</v>
      </c>
      <c r="C45" s="6">
        <v>2</v>
      </c>
      <c r="D45" s="6">
        <v>11</v>
      </c>
      <c r="E45" s="6" t="s">
        <v>804</v>
      </c>
      <c r="F45" s="6">
        <v>4044.3</v>
      </c>
      <c r="G45" s="6">
        <v>1640.1</v>
      </c>
      <c r="H45" s="6">
        <f t="shared" si="0"/>
        <v>1584.3</v>
      </c>
      <c r="I45" s="6">
        <f t="shared" si="14"/>
        <v>3696.7000000000003</v>
      </c>
      <c r="J45" s="6">
        <v>428.8</v>
      </c>
      <c r="K45" s="6">
        <f t="shared" si="2"/>
        <v>373</v>
      </c>
      <c r="L45" s="6">
        <v>270.7</v>
      </c>
      <c r="M45" s="6">
        <f t="shared" si="3"/>
        <v>214.89999999999998</v>
      </c>
      <c r="N45" s="6">
        <f t="shared" si="15"/>
        <v>501.43333333333328</v>
      </c>
      <c r="P45" s="99" t="s">
        <v>376</v>
      </c>
      <c r="Q45" s="10">
        <v>4</v>
      </c>
      <c r="R45" s="10">
        <v>4</v>
      </c>
      <c r="S45" s="10">
        <f>(I75+I76)/2</f>
        <v>3978.5666666666666</v>
      </c>
      <c r="T45" s="10">
        <f>(N75+N76)/2</f>
        <v>426.65</v>
      </c>
      <c r="U45" s="10">
        <f t="shared" si="5"/>
        <v>3551.9166666666665</v>
      </c>
      <c r="V45" s="10">
        <f t="shared" si="6"/>
        <v>89.276288780716669</v>
      </c>
      <c r="W45" s="10">
        <f t="shared" si="7"/>
        <v>4266.4999999999991</v>
      </c>
      <c r="X45" s="10">
        <f t="shared" si="8"/>
        <v>4906.4749999999985</v>
      </c>
      <c r="Y45" s="10">
        <f t="shared" si="9"/>
        <v>4.2664999999999988</v>
      </c>
      <c r="Z45" s="10">
        <f t="shared" si="10"/>
        <v>4.9064749999999986</v>
      </c>
      <c r="AA45" s="10" t="s">
        <v>870</v>
      </c>
      <c r="AB45" s="10">
        <f t="shared" si="11"/>
        <v>1.7876634999999994</v>
      </c>
      <c r="AC45" s="10" t="s">
        <v>814</v>
      </c>
      <c r="AD45" s="10">
        <f t="shared" si="12"/>
        <v>114.34219999999998</v>
      </c>
      <c r="AE45" s="10">
        <f t="shared" si="13"/>
        <v>0.11434219999999998</v>
      </c>
      <c r="AF45" s="10" t="s">
        <v>677</v>
      </c>
      <c r="AG45" s="7">
        <v>1.711335692425926</v>
      </c>
      <c r="AH45" s="7">
        <v>0.17703780611888911</v>
      </c>
      <c r="AI45" s="7">
        <v>0.11671357901851853</v>
      </c>
      <c r="AJ45" s="7">
        <v>2.7974006587028626E-2</v>
      </c>
    </row>
    <row r="46" spans="1:36">
      <c r="A46" s="6">
        <v>2021</v>
      </c>
      <c r="B46" s="6">
        <v>201</v>
      </c>
      <c r="C46" s="6">
        <v>2</v>
      </c>
      <c r="D46" s="6">
        <v>12</v>
      </c>
      <c r="E46" s="6" t="s">
        <v>804</v>
      </c>
      <c r="F46" s="6">
        <v>4385.5</v>
      </c>
      <c r="G46" s="6">
        <v>1454.3</v>
      </c>
      <c r="H46" s="6">
        <f t="shared" si="0"/>
        <v>1398.5</v>
      </c>
      <c r="I46" s="6">
        <f t="shared" si="14"/>
        <v>3263.166666666667</v>
      </c>
      <c r="J46" s="6">
        <v>377.3</v>
      </c>
      <c r="K46" s="6">
        <f t="shared" si="2"/>
        <v>321.5</v>
      </c>
      <c r="L46" s="6">
        <v>240.3</v>
      </c>
      <c r="M46" s="6">
        <f t="shared" si="3"/>
        <v>184.5</v>
      </c>
      <c r="N46" s="6">
        <f t="shared" si="15"/>
        <v>430.5</v>
      </c>
      <c r="P46" s="99" t="s">
        <v>377</v>
      </c>
      <c r="Q46" s="10">
        <v>4</v>
      </c>
      <c r="R46" s="10">
        <v>5</v>
      </c>
      <c r="S46" s="10">
        <f>(I77+I78)/2</f>
        <v>3451.7</v>
      </c>
      <c r="T46" s="10">
        <f>(N77+N78)/2</f>
        <v>346.26666666666665</v>
      </c>
      <c r="U46" s="10">
        <f t="shared" si="5"/>
        <v>3105.4333333333334</v>
      </c>
      <c r="V46" s="10">
        <f t="shared" si="6"/>
        <v>89.968228216048146</v>
      </c>
      <c r="W46" s="10">
        <f t="shared" si="7"/>
        <v>3462.6666666666665</v>
      </c>
      <c r="X46" s="10">
        <f t="shared" si="8"/>
        <v>3982.0666666666662</v>
      </c>
      <c r="Y46" s="10">
        <f t="shared" si="9"/>
        <v>3.4626666666666663</v>
      </c>
      <c r="Z46" s="10">
        <f t="shared" si="10"/>
        <v>3.982066666666666</v>
      </c>
      <c r="AA46" s="10" t="s">
        <v>878</v>
      </c>
      <c r="AB46" s="10">
        <f t="shared" si="11"/>
        <v>1.4892929333333331</v>
      </c>
      <c r="AC46" s="10" t="s">
        <v>879</v>
      </c>
      <c r="AD46" s="10">
        <f t="shared" si="12"/>
        <v>108.72773333333335</v>
      </c>
      <c r="AE46" s="10">
        <f t="shared" si="13"/>
        <v>0.10872773333333334</v>
      </c>
      <c r="AF46" s="10" t="s">
        <v>695</v>
      </c>
      <c r="AG46" s="7">
        <v>1.3609343844444446</v>
      </c>
      <c r="AH46" s="7">
        <v>0.15324776518037891</v>
      </c>
      <c r="AI46" s="7">
        <v>6.050952211111111E-2</v>
      </c>
      <c r="AJ46" s="7">
        <v>8.0119771609359607E-3</v>
      </c>
    </row>
    <row r="47" spans="1:36">
      <c r="A47" s="6">
        <v>2021</v>
      </c>
      <c r="B47" s="6">
        <v>201</v>
      </c>
      <c r="C47" s="6">
        <v>2</v>
      </c>
      <c r="D47" s="6">
        <v>13</v>
      </c>
      <c r="E47" s="102" t="s">
        <v>804</v>
      </c>
      <c r="F47" s="6">
        <v>3298.2</v>
      </c>
      <c r="G47" s="6">
        <v>1362.5</v>
      </c>
      <c r="H47" s="6">
        <f t="shared" si="0"/>
        <v>1306.7</v>
      </c>
      <c r="I47" s="6">
        <f t="shared" si="14"/>
        <v>3048.9666666666667</v>
      </c>
      <c r="J47" s="6">
        <v>475.5</v>
      </c>
      <c r="K47" s="6">
        <f t="shared" si="2"/>
        <v>419.7</v>
      </c>
      <c r="L47" s="6">
        <v>229.8</v>
      </c>
      <c r="M47" s="6">
        <f t="shared" si="3"/>
        <v>174</v>
      </c>
      <c r="N47" s="6">
        <f t="shared" si="15"/>
        <v>406</v>
      </c>
      <c r="P47" s="99" t="s">
        <v>378</v>
      </c>
      <c r="Q47" s="10">
        <v>4</v>
      </c>
      <c r="R47" s="10">
        <v>6</v>
      </c>
      <c r="S47" s="10">
        <f>(I79+I80)/2</f>
        <v>3244.3833333333332</v>
      </c>
      <c r="T47" s="10">
        <f>(N79+N80)/2</f>
        <v>335.53333333333336</v>
      </c>
      <c r="U47" s="10">
        <f t="shared" si="5"/>
        <v>2908.85</v>
      </c>
      <c r="V47" s="10">
        <f t="shared" si="6"/>
        <v>89.658024380596217</v>
      </c>
      <c r="W47" s="10">
        <f t="shared" si="7"/>
        <v>3355.3333333333335</v>
      </c>
      <c r="X47" s="10">
        <f t="shared" si="8"/>
        <v>3858.6333333333332</v>
      </c>
      <c r="Y47" s="10">
        <f t="shared" si="9"/>
        <v>3.3553333333333333</v>
      </c>
      <c r="Z47" s="10">
        <f t="shared" si="10"/>
        <v>3.8586333333333331</v>
      </c>
      <c r="AA47" s="10" t="s">
        <v>880</v>
      </c>
      <c r="AB47" s="10">
        <f t="shared" si="11"/>
        <v>1.4276943333333332</v>
      </c>
      <c r="AC47" s="10" t="s">
        <v>806</v>
      </c>
      <c r="AD47" s="10">
        <f t="shared" si="12"/>
        <v>94.620400000000004</v>
      </c>
      <c r="AE47" s="10">
        <f t="shared" si="13"/>
        <v>9.4620399999999993E-2</v>
      </c>
      <c r="AF47" s="10" t="s">
        <v>678</v>
      </c>
      <c r="AG47" s="7">
        <v>1.6652511814814812</v>
      </c>
      <c r="AH47" s="7">
        <v>0.18169968624481583</v>
      </c>
      <c r="AI47" s="7">
        <v>0.11556428333333334</v>
      </c>
      <c r="AJ47" s="7">
        <v>1.5716806256177974E-2</v>
      </c>
    </row>
    <row r="48" spans="1:36">
      <c r="A48" s="10">
        <v>2021</v>
      </c>
      <c r="B48" s="10">
        <v>201</v>
      </c>
      <c r="C48" s="10">
        <v>3</v>
      </c>
      <c r="D48" s="10">
        <v>1</v>
      </c>
      <c r="E48" s="78" t="s">
        <v>804</v>
      </c>
      <c r="F48" s="10">
        <v>4127</v>
      </c>
      <c r="G48" s="10">
        <v>1720.2</v>
      </c>
      <c r="H48" s="10">
        <f t="shared" si="0"/>
        <v>1664.4</v>
      </c>
      <c r="I48" s="10">
        <f>(H48/3)*7.19</f>
        <v>3989.0120000000006</v>
      </c>
      <c r="J48" s="10">
        <v>663.9</v>
      </c>
      <c r="K48" s="10">
        <f t="shared" si="2"/>
        <v>608.1</v>
      </c>
      <c r="L48" s="10">
        <v>251.6</v>
      </c>
      <c r="M48" s="10">
        <f t="shared" si="3"/>
        <v>195.8</v>
      </c>
      <c r="N48" s="10">
        <f>(M48/3)*7.19</f>
        <v>469.26733333333334</v>
      </c>
      <c r="P48" s="99" t="s">
        <v>379</v>
      </c>
      <c r="Q48" s="10">
        <v>4</v>
      </c>
      <c r="R48" s="10">
        <v>7</v>
      </c>
      <c r="S48" s="10">
        <f>(I81+I82)/2</f>
        <v>4129.4166666666661</v>
      </c>
      <c r="T48" s="10">
        <f>(N81+N82)/2</f>
        <v>456.86666666666667</v>
      </c>
      <c r="U48" s="10">
        <f t="shared" si="5"/>
        <v>3672.5499999999993</v>
      </c>
      <c r="V48" s="10">
        <f t="shared" si="6"/>
        <v>88.936290436502333</v>
      </c>
      <c r="W48" s="10">
        <f t="shared" si="7"/>
        <v>4568.666666666667</v>
      </c>
      <c r="X48" s="10">
        <f t="shared" si="8"/>
        <v>5253.9666666666662</v>
      </c>
      <c r="Y48" s="10">
        <f t="shared" si="9"/>
        <v>4.5686666666666671</v>
      </c>
      <c r="Z48" s="10">
        <f t="shared" si="10"/>
        <v>5.2539666666666669</v>
      </c>
      <c r="AA48" s="10" t="s">
        <v>881</v>
      </c>
      <c r="AB48" s="10">
        <f t="shared" si="11"/>
        <v>1.989197466666667</v>
      </c>
      <c r="AC48" s="10" t="s">
        <v>882</v>
      </c>
      <c r="AD48" s="10">
        <f t="shared" si="12"/>
        <v>137.97373333333334</v>
      </c>
      <c r="AE48" s="10">
        <f t="shared" si="13"/>
        <v>0.13797373333333335</v>
      </c>
      <c r="AF48" s="10" t="s">
        <v>700</v>
      </c>
      <c r="AG48" s="7">
        <v>1.5337516444444443</v>
      </c>
      <c r="AH48" s="7">
        <v>0.49282014125485096</v>
      </c>
      <c r="AI48" s="7">
        <v>6.3495911111111109E-2</v>
      </c>
      <c r="AJ48" s="7">
        <v>2.4631863625130708E-2</v>
      </c>
    </row>
    <row r="49" spans="1:31">
      <c r="A49" s="10">
        <v>2021</v>
      </c>
      <c r="B49" s="10">
        <v>201</v>
      </c>
      <c r="C49" s="10">
        <v>3</v>
      </c>
      <c r="D49" s="10">
        <v>1</v>
      </c>
      <c r="E49" s="10" t="s">
        <v>807</v>
      </c>
      <c r="F49" s="10">
        <v>4422.1000000000004</v>
      </c>
      <c r="G49" s="10">
        <v>1676.8</v>
      </c>
      <c r="H49" s="10">
        <f t="shared" si="0"/>
        <v>1621</v>
      </c>
      <c r="I49" s="10">
        <f t="shared" ref="I49:I68" si="16">(H49/3)*7.19</f>
        <v>3884.9966666666674</v>
      </c>
      <c r="J49" s="10">
        <v>676.4</v>
      </c>
      <c r="K49" s="10">
        <f t="shared" si="2"/>
        <v>620.6</v>
      </c>
      <c r="L49" s="10">
        <v>237.1</v>
      </c>
      <c r="M49" s="10">
        <f t="shared" si="3"/>
        <v>181.3</v>
      </c>
      <c r="N49" s="10">
        <f t="shared" ref="N49:N68" si="17">(M49/3)*7.19</f>
        <v>434.51566666666673</v>
      </c>
      <c r="P49" s="99" t="s">
        <v>380</v>
      </c>
      <c r="Q49" s="10">
        <v>4</v>
      </c>
      <c r="R49" s="10">
        <v>8</v>
      </c>
      <c r="S49" s="10">
        <f>(I83+I84)/2</f>
        <v>3944.3833333333337</v>
      </c>
      <c r="T49" s="10">
        <f>(N83+N84)/2</f>
        <v>435.98333333333341</v>
      </c>
      <c r="U49" s="10">
        <f t="shared" si="5"/>
        <v>3508.4</v>
      </c>
      <c r="V49" s="10">
        <f t="shared" si="6"/>
        <v>88.946730160608112</v>
      </c>
      <c r="W49" s="10">
        <f t="shared" si="7"/>
        <v>4359.8333333333339</v>
      </c>
      <c r="X49" s="10">
        <f t="shared" si="8"/>
        <v>5013.8083333333334</v>
      </c>
      <c r="Y49" s="10">
        <f t="shared" si="9"/>
        <v>4.3598333333333343</v>
      </c>
      <c r="Z49" s="10">
        <f t="shared" si="10"/>
        <v>5.0138083333333343</v>
      </c>
      <c r="AA49" s="10" t="s">
        <v>883</v>
      </c>
      <c r="AB49" s="10">
        <f t="shared" si="11"/>
        <v>1.8655726833333337</v>
      </c>
      <c r="AC49" s="10" t="s">
        <v>773</v>
      </c>
      <c r="AD49" s="10">
        <f t="shared" si="12"/>
        <v>135.59081666666668</v>
      </c>
      <c r="AE49" s="10">
        <f t="shared" si="13"/>
        <v>0.1355908166666667</v>
      </c>
    </row>
    <row r="50" spans="1:31">
      <c r="A50" s="10">
        <v>2021</v>
      </c>
      <c r="B50" s="10">
        <v>201</v>
      </c>
      <c r="C50" s="10">
        <v>3</v>
      </c>
      <c r="D50" s="10">
        <v>2</v>
      </c>
      <c r="E50" s="10" t="s">
        <v>804</v>
      </c>
      <c r="F50" s="10">
        <v>3740.1</v>
      </c>
      <c r="G50" s="10">
        <v>1483.5</v>
      </c>
      <c r="H50" s="10">
        <f t="shared" si="0"/>
        <v>1427.7</v>
      </c>
      <c r="I50" s="10">
        <f t="shared" si="16"/>
        <v>3421.7210000000005</v>
      </c>
      <c r="J50" s="10">
        <v>436.7</v>
      </c>
      <c r="K50" s="10">
        <f t="shared" si="2"/>
        <v>380.9</v>
      </c>
      <c r="L50" s="10">
        <v>246.5</v>
      </c>
      <c r="M50" s="10">
        <f t="shared" si="3"/>
        <v>190.7</v>
      </c>
      <c r="N50" s="10">
        <f t="shared" si="17"/>
        <v>457.04433333333333</v>
      </c>
      <c r="P50" s="99" t="s">
        <v>381</v>
      </c>
      <c r="Q50" s="10">
        <v>4</v>
      </c>
      <c r="R50" s="10">
        <v>9</v>
      </c>
      <c r="S50" s="10">
        <f>(I85+I86)/2</f>
        <v>3389.75</v>
      </c>
      <c r="T50" s="10">
        <f>(N85+N86)/2</f>
        <v>378.81666666666666</v>
      </c>
      <c r="U50" s="10">
        <f t="shared" si="5"/>
        <v>3010.9333333333334</v>
      </c>
      <c r="V50" s="10">
        <f t="shared" si="6"/>
        <v>88.824642918602649</v>
      </c>
      <c r="W50" s="10">
        <f t="shared" si="7"/>
        <v>3788.1666666666665</v>
      </c>
      <c r="X50" s="10">
        <f t="shared" si="8"/>
        <v>4356.3916666666664</v>
      </c>
      <c r="Y50" s="10">
        <f t="shared" si="9"/>
        <v>3.7881666666666667</v>
      </c>
      <c r="Z50" s="10">
        <f t="shared" si="10"/>
        <v>4.3563916666666662</v>
      </c>
      <c r="AA50" s="10" t="s">
        <v>884</v>
      </c>
      <c r="AB50" s="10">
        <f t="shared" si="11"/>
        <v>1.5845901166666667</v>
      </c>
      <c r="AC50" s="10" t="s">
        <v>885</v>
      </c>
      <c r="AD50" s="10">
        <f t="shared" si="12"/>
        <v>95.082983333333317</v>
      </c>
      <c r="AE50" s="10">
        <f t="shared" si="13"/>
        <v>9.5082983333333329E-2</v>
      </c>
    </row>
    <row r="51" spans="1:31">
      <c r="A51" s="10">
        <v>2021</v>
      </c>
      <c r="B51" s="10">
        <v>201</v>
      </c>
      <c r="C51" s="10">
        <v>3</v>
      </c>
      <c r="D51" s="10">
        <v>2</v>
      </c>
      <c r="E51" s="10" t="s">
        <v>807</v>
      </c>
      <c r="F51" s="10">
        <v>4028.3</v>
      </c>
      <c r="G51" s="10">
        <v>1598.4</v>
      </c>
      <c r="H51" s="10">
        <f t="shared" si="0"/>
        <v>1542.6000000000001</v>
      </c>
      <c r="I51" s="10">
        <f t="shared" si="16"/>
        <v>3697.0980000000004</v>
      </c>
      <c r="J51" s="10">
        <v>482</v>
      </c>
      <c r="K51" s="10">
        <f t="shared" si="2"/>
        <v>426.2</v>
      </c>
      <c r="L51" s="10">
        <v>254.5</v>
      </c>
      <c r="M51" s="10">
        <f t="shared" si="3"/>
        <v>198.7</v>
      </c>
      <c r="N51" s="10">
        <f t="shared" si="17"/>
        <v>476.21766666666667</v>
      </c>
      <c r="P51" s="260" t="s">
        <v>382</v>
      </c>
      <c r="Q51" s="256">
        <v>4</v>
      </c>
      <c r="R51" s="256">
        <v>11</v>
      </c>
      <c r="S51" s="256">
        <v>3497.666666666667</v>
      </c>
      <c r="T51" s="256">
        <v>476.23333333333323</v>
      </c>
      <c r="U51" s="256">
        <f t="shared" si="5"/>
        <v>3021.4333333333338</v>
      </c>
      <c r="V51" s="256">
        <f t="shared" si="6"/>
        <v>86.384256170780532</v>
      </c>
      <c r="W51" s="256">
        <f t="shared" si="7"/>
        <v>4762.3333333333321</v>
      </c>
      <c r="X51" s="256">
        <f>W51*1.15</f>
        <v>5476.6833333333316</v>
      </c>
      <c r="Y51" s="256">
        <f t="shared" si="9"/>
        <v>4.7623333333333324</v>
      </c>
      <c r="Z51" s="256">
        <f t="shared" si="10"/>
        <v>5.476683333333332</v>
      </c>
      <c r="AA51" s="256" t="s">
        <v>886</v>
      </c>
      <c r="AB51" s="256">
        <f t="shared" si="11"/>
        <v>1.9773207999999998</v>
      </c>
      <c r="AC51" s="256" t="s">
        <v>887</v>
      </c>
      <c r="AD51" s="256">
        <f t="shared" si="12"/>
        <v>84.293299999999974</v>
      </c>
      <c r="AE51" s="256">
        <f t="shared" si="13"/>
        <v>8.4293299999999988E-2</v>
      </c>
    </row>
    <row r="52" spans="1:31">
      <c r="A52" s="10">
        <v>2021</v>
      </c>
      <c r="B52" s="10">
        <v>201</v>
      </c>
      <c r="C52" s="10">
        <v>3</v>
      </c>
      <c r="D52" s="10">
        <v>3</v>
      </c>
      <c r="E52" s="78" t="s">
        <v>804</v>
      </c>
      <c r="F52" s="10">
        <v>3971.1</v>
      </c>
      <c r="G52" s="10">
        <v>1677.2</v>
      </c>
      <c r="H52" s="10">
        <f t="shared" si="0"/>
        <v>1621.4</v>
      </c>
      <c r="I52" s="10">
        <f t="shared" si="16"/>
        <v>3885.9553333333338</v>
      </c>
      <c r="J52" s="10">
        <v>455.2</v>
      </c>
      <c r="K52" s="10">
        <f t="shared" si="2"/>
        <v>399.4</v>
      </c>
      <c r="L52" s="10">
        <v>193.6</v>
      </c>
      <c r="M52" s="10">
        <f t="shared" si="3"/>
        <v>137.80000000000001</v>
      </c>
      <c r="N52" s="10">
        <f t="shared" si="17"/>
        <v>330.26066666666674</v>
      </c>
      <c r="P52" s="151" t="s">
        <v>383</v>
      </c>
      <c r="Q52" s="148">
        <v>4</v>
      </c>
      <c r="R52" s="148">
        <v>12</v>
      </c>
      <c r="S52" s="148">
        <v>3169.1333333333332</v>
      </c>
      <c r="T52" s="148">
        <v>381.96666666666664</v>
      </c>
      <c r="U52" s="148">
        <f t="shared" si="5"/>
        <v>2787.1666666666665</v>
      </c>
      <c r="V52" s="148">
        <f t="shared" si="6"/>
        <v>87.947283168900015</v>
      </c>
      <c r="W52" s="148">
        <f t="shared" si="7"/>
        <v>3819.6666666666661</v>
      </c>
      <c r="X52" s="148">
        <f>W52*1.15</f>
        <v>4392.6166666666659</v>
      </c>
      <c r="Y52" s="148">
        <f t="shared" si="9"/>
        <v>3.8196666666666661</v>
      </c>
      <c r="Z52" s="148">
        <f t="shared" si="10"/>
        <v>4.3926166666666653</v>
      </c>
      <c r="AA52" s="148" t="s">
        <v>888</v>
      </c>
      <c r="AB52" s="148">
        <f t="shared" si="11"/>
        <v>1.6206845666666665</v>
      </c>
      <c r="AC52" s="148" t="s">
        <v>889</v>
      </c>
      <c r="AD52" s="148">
        <f t="shared" si="12"/>
        <v>69.899899999999988</v>
      </c>
      <c r="AE52" s="148">
        <f t="shared" si="13"/>
        <v>6.9899899999999987E-2</v>
      </c>
    </row>
    <row r="53" spans="1:31">
      <c r="A53" s="10">
        <v>2021</v>
      </c>
      <c r="B53" s="10">
        <v>201</v>
      </c>
      <c r="C53" s="10">
        <v>3</v>
      </c>
      <c r="D53" s="10">
        <v>3</v>
      </c>
      <c r="E53" s="10" t="s">
        <v>807</v>
      </c>
      <c r="F53" s="10">
        <v>3192</v>
      </c>
      <c r="G53" s="10">
        <v>1424.2</v>
      </c>
      <c r="H53" s="10">
        <f t="shared" si="0"/>
        <v>1368.4</v>
      </c>
      <c r="I53" s="10">
        <f t="shared" si="16"/>
        <v>3279.5986666666672</v>
      </c>
      <c r="J53" s="10">
        <v>575.1</v>
      </c>
      <c r="K53" s="10">
        <f t="shared" si="2"/>
        <v>519.30000000000007</v>
      </c>
      <c r="L53" s="10">
        <v>209.6</v>
      </c>
      <c r="M53" s="10">
        <f t="shared" si="3"/>
        <v>153.80000000000001</v>
      </c>
      <c r="N53" s="10">
        <f t="shared" si="17"/>
        <v>368.60733333333337</v>
      </c>
      <c r="P53" s="151" t="s">
        <v>384</v>
      </c>
      <c r="Q53" s="148">
        <v>4</v>
      </c>
      <c r="R53" s="148">
        <v>13</v>
      </c>
      <c r="S53" s="148">
        <v>2151.5666666666666</v>
      </c>
      <c r="T53" s="148">
        <v>245.23333333333338</v>
      </c>
      <c r="U53" s="148">
        <f t="shared" si="5"/>
        <v>1906.3333333333333</v>
      </c>
      <c r="V53" s="148">
        <f t="shared" si="6"/>
        <v>88.602103893287065</v>
      </c>
      <c r="W53" s="148">
        <f t="shared" si="7"/>
        <v>2452.3333333333339</v>
      </c>
      <c r="X53" s="148">
        <f>W53*1.15</f>
        <v>2820.1833333333338</v>
      </c>
      <c r="Y53" s="148">
        <f t="shared" si="9"/>
        <v>2.4523333333333341</v>
      </c>
      <c r="Z53" s="148">
        <f t="shared" si="10"/>
        <v>2.8201833333333339</v>
      </c>
      <c r="AA53" s="148" t="s">
        <v>890</v>
      </c>
      <c r="AB53" s="148">
        <f t="shared" si="11"/>
        <v>1.003249566666667</v>
      </c>
      <c r="AC53" s="148" t="s">
        <v>891</v>
      </c>
      <c r="AD53" s="148">
        <f t="shared" si="12"/>
        <v>36.294533333333341</v>
      </c>
      <c r="AE53" s="148">
        <f t="shared" si="13"/>
        <v>3.6294533333333344E-2</v>
      </c>
    </row>
    <row r="54" spans="1:31">
      <c r="A54" s="10">
        <v>2021</v>
      </c>
      <c r="B54" s="10">
        <v>201</v>
      </c>
      <c r="C54" s="10">
        <v>3</v>
      </c>
      <c r="D54" s="10">
        <v>4</v>
      </c>
      <c r="E54" s="10" t="s">
        <v>804</v>
      </c>
      <c r="F54" s="10">
        <v>3722.6</v>
      </c>
      <c r="G54" s="10">
        <v>1366.8</v>
      </c>
      <c r="H54" s="10">
        <f t="shared" si="0"/>
        <v>1311</v>
      </c>
      <c r="I54" s="10">
        <f t="shared" si="16"/>
        <v>3142.03</v>
      </c>
      <c r="J54" s="10">
        <v>364.1</v>
      </c>
      <c r="K54" s="10">
        <f t="shared" si="2"/>
        <v>308.3</v>
      </c>
      <c r="L54" s="10">
        <v>227.9</v>
      </c>
      <c r="M54" s="10">
        <f t="shared" si="3"/>
        <v>172.10000000000002</v>
      </c>
      <c r="N54" s="10">
        <f t="shared" si="17"/>
        <v>412.46633333333341</v>
      </c>
    </row>
    <row r="55" spans="1:31">
      <c r="A55" s="10">
        <v>2021</v>
      </c>
      <c r="B55" s="10">
        <v>201</v>
      </c>
      <c r="C55" s="10">
        <v>3</v>
      </c>
      <c r="D55" s="10">
        <v>4</v>
      </c>
      <c r="E55" s="10" t="s">
        <v>807</v>
      </c>
      <c r="F55" s="10">
        <v>3666.4</v>
      </c>
      <c r="G55" s="10">
        <v>1345.1</v>
      </c>
      <c r="H55" s="10">
        <f t="shared" si="0"/>
        <v>1289.3</v>
      </c>
      <c r="I55" s="10">
        <f t="shared" si="16"/>
        <v>3090.0223333333333</v>
      </c>
      <c r="J55" s="10">
        <v>453.9</v>
      </c>
      <c r="K55" s="10">
        <f t="shared" si="2"/>
        <v>398.09999999999997</v>
      </c>
      <c r="L55" s="10">
        <v>209.5</v>
      </c>
      <c r="M55" s="10">
        <f t="shared" si="3"/>
        <v>153.69999999999999</v>
      </c>
      <c r="N55" s="10">
        <f t="shared" si="17"/>
        <v>368.36766666666665</v>
      </c>
    </row>
    <row r="56" spans="1:31">
      <c r="A56" s="10">
        <v>2021</v>
      </c>
      <c r="B56" s="10">
        <v>201</v>
      </c>
      <c r="C56" s="10">
        <v>3</v>
      </c>
      <c r="D56" s="10">
        <v>5</v>
      </c>
      <c r="E56" s="78" t="s">
        <v>804</v>
      </c>
      <c r="F56" s="10">
        <v>3596.6</v>
      </c>
      <c r="G56" s="10">
        <v>1510.6</v>
      </c>
      <c r="H56" s="10">
        <f t="shared" si="0"/>
        <v>1454.8</v>
      </c>
      <c r="I56" s="10">
        <f t="shared" si="16"/>
        <v>3486.6706666666669</v>
      </c>
      <c r="J56" s="10">
        <v>585.29999999999995</v>
      </c>
      <c r="K56" s="10">
        <f t="shared" si="2"/>
        <v>529.5</v>
      </c>
      <c r="L56" s="10">
        <v>221.6</v>
      </c>
      <c r="M56" s="10">
        <f t="shared" si="3"/>
        <v>165.8</v>
      </c>
      <c r="N56" s="10">
        <f t="shared" si="17"/>
        <v>397.36733333333342</v>
      </c>
    </row>
    <row r="57" spans="1:31">
      <c r="A57" s="10">
        <v>2021</v>
      </c>
      <c r="B57" s="10">
        <v>201</v>
      </c>
      <c r="C57" s="10">
        <v>3</v>
      </c>
      <c r="D57" s="10">
        <v>5</v>
      </c>
      <c r="E57" s="10" t="s">
        <v>807</v>
      </c>
      <c r="F57" s="10">
        <v>2932</v>
      </c>
      <c r="G57" s="10">
        <v>1313.4</v>
      </c>
      <c r="H57" s="10">
        <f t="shared" si="0"/>
        <v>1257.6000000000001</v>
      </c>
      <c r="I57" s="10">
        <f t="shared" si="16"/>
        <v>3014.0480000000007</v>
      </c>
      <c r="J57" s="10">
        <v>306.8</v>
      </c>
      <c r="K57" s="10">
        <f t="shared" si="2"/>
        <v>251</v>
      </c>
      <c r="L57" s="10">
        <v>214</v>
      </c>
      <c r="M57" s="10">
        <f t="shared" si="3"/>
        <v>158.19999999999999</v>
      </c>
      <c r="N57" s="10">
        <f t="shared" si="17"/>
        <v>379.15266666666662</v>
      </c>
      <c r="P57" t="s">
        <v>892</v>
      </c>
    </row>
    <row r="58" spans="1:31">
      <c r="A58" s="10">
        <v>2021</v>
      </c>
      <c r="B58" s="10">
        <v>201</v>
      </c>
      <c r="C58" s="10">
        <v>3</v>
      </c>
      <c r="D58" s="10">
        <v>6</v>
      </c>
      <c r="E58" s="10" t="s">
        <v>804</v>
      </c>
      <c r="F58" s="10">
        <v>3131.8</v>
      </c>
      <c r="G58" s="10">
        <v>1522.5</v>
      </c>
      <c r="H58" s="10">
        <f t="shared" si="0"/>
        <v>1466.7</v>
      </c>
      <c r="I58" s="10">
        <f t="shared" si="16"/>
        <v>3515.1910000000003</v>
      </c>
      <c r="J58" s="10">
        <v>441.2</v>
      </c>
      <c r="K58" s="10">
        <f t="shared" si="2"/>
        <v>385.4</v>
      </c>
      <c r="L58" s="10">
        <v>191.7</v>
      </c>
      <c r="M58" s="10">
        <f t="shared" si="3"/>
        <v>135.89999999999998</v>
      </c>
      <c r="N58" s="10">
        <f t="shared" si="17"/>
        <v>325.70699999999994</v>
      </c>
      <c r="P58" t="s">
        <v>893</v>
      </c>
      <c r="Q58">
        <v>6.8571428571428568</v>
      </c>
    </row>
    <row r="59" spans="1:31">
      <c r="A59" s="10">
        <v>2021</v>
      </c>
      <c r="B59" s="10">
        <v>201</v>
      </c>
      <c r="C59" s="10">
        <v>3</v>
      </c>
      <c r="D59" s="10">
        <v>6</v>
      </c>
      <c r="E59" s="10" t="s">
        <v>807</v>
      </c>
      <c r="F59" s="10">
        <v>3769.1</v>
      </c>
      <c r="G59" s="10">
        <v>1524.6</v>
      </c>
      <c r="H59" s="10">
        <f t="shared" si="0"/>
        <v>1468.8</v>
      </c>
      <c r="I59" s="10">
        <f t="shared" si="16"/>
        <v>3520.2240000000002</v>
      </c>
      <c r="J59" s="10">
        <v>634.79999999999995</v>
      </c>
      <c r="K59" s="10">
        <f t="shared" si="2"/>
        <v>579</v>
      </c>
      <c r="L59" s="10">
        <v>229.4</v>
      </c>
      <c r="M59" s="10">
        <f t="shared" si="3"/>
        <v>173.60000000000002</v>
      </c>
      <c r="N59" s="10">
        <f t="shared" si="17"/>
        <v>416.06133333333344</v>
      </c>
      <c r="P59" t="s">
        <v>894</v>
      </c>
      <c r="Q59">
        <v>7</v>
      </c>
    </row>
    <row r="60" spans="1:31">
      <c r="A60" s="10">
        <v>2021</v>
      </c>
      <c r="B60" s="10">
        <v>201</v>
      </c>
      <c r="C60" s="10">
        <v>3</v>
      </c>
      <c r="D60" s="10">
        <v>7</v>
      </c>
      <c r="E60" s="78" t="s">
        <v>804</v>
      </c>
      <c r="F60" s="10">
        <v>3237.3</v>
      </c>
      <c r="G60" s="10">
        <v>1299.7</v>
      </c>
      <c r="H60" s="10">
        <f t="shared" si="0"/>
        <v>1243.9000000000001</v>
      </c>
      <c r="I60" s="10">
        <f t="shared" si="16"/>
        <v>2981.213666666667</v>
      </c>
      <c r="J60" s="10">
        <v>358.4</v>
      </c>
      <c r="K60" s="10">
        <f t="shared" si="2"/>
        <v>302.59999999999997</v>
      </c>
      <c r="L60" s="10">
        <v>196.3</v>
      </c>
      <c r="M60" s="10">
        <f t="shared" si="3"/>
        <v>140.5</v>
      </c>
      <c r="N60" s="10">
        <f t="shared" si="17"/>
        <v>336.73166666666668</v>
      </c>
      <c r="P60" t="s">
        <v>589</v>
      </c>
      <c r="Q60">
        <v>7.1904761904761907</v>
      </c>
    </row>
    <row r="61" spans="1:31">
      <c r="A61" s="10">
        <v>2021</v>
      </c>
      <c r="B61" s="10">
        <v>201</v>
      </c>
      <c r="C61" s="10">
        <v>3</v>
      </c>
      <c r="D61" s="10">
        <v>7</v>
      </c>
      <c r="E61" s="10" t="s">
        <v>807</v>
      </c>
      <c r="F61" s="10">
        <v>3832.2</v>
      </c>
      <c r="G61" s="10">
        <v>1571.4</v>
      </c>
      <c r="H61" s="10">
        <f t="shared" si="0"/>
        <v>1515.6000000000001</v>
      </c>
      <c r="I61" s="10">
        <f t="shared" si="16"/>
        <v>3632.3880000000004</v>
      </c>
      <c r="J61" s="10">
        <v>474.3</v>
      </c>
      <c r="K61" s="10">
        <f t="shared" si="2"/>
        <v>418.5</v>
      </c>
      <c r="L61" s="10">
        <v>227.3</v>
      </c>
      <c r="M61" s="10">
        <f t="shared" si="3"/>
        <v>171.5</v>
      </c>
      <c r="N61" s="10">
        <f t="shared" si="17"/>
        <v>411.02833333333336</v>
      </c>
      <c r="P61" t="s">
        <v>590</v>
      </c>
      <c r="Q61">
        <v>7</v>
      </c>
    </row>
    <row r="62" spans="1:31">
      <c r="A62" s="10">
        <v>2021</v>
      </c>
      <c r="B62" s="10">
        <v>201</v>
      </c>
      <c r="C62" s="10">
        <v>3</v>
      </c>
      <c r="D62" s="10">
        <v>8</v>
      </c>
      <c r="E62" s="10" t="s">
        <v>804</v>
      </c>
      <c r="F62" s="10">
        <v>3085.8</v>
      </c>
      <c r="G62" s="10">
        <v>1301</v>
      </c>
      <c r="H62" s="10">
        <f t="shared" si="0"/>
        <v>1245.2</v>
      </c>
      <c r="I62" s="10">
        <f t="shared" si="16"/>
        <v>2984.3293333333336</v>
      </c>
      <c r="J62" s="10">
        <v>337.2</v>
      </c>
      <c r="K62" s="10">
        <f t="shared" si="2"/>
        <v>281.39999999999998</v>
      </c>
      <c r="L62" s="10">
        <v>197.6</v>
      </c>
      <c r="M62" s="10">
        <f t="shared" si="3"/>
        <v>141.80000000000001</v>
      </c>
      <c r="N62" s="10">
        <f t="shared" si="17"/>
        <v>339.84733333333338</v>
      </c>
    </row>
    <row r="63" spans="1:31">
      <c r="A63" s="10">
        <v>2021</v>
      </c>
      <c r="B63" s="10">
        <v>201</v>
      </c>
      <c r="C63" s="10">
        <v>3</v>
      </c>
      <c r="D63" s="10">
        <v>8</v>
      </c>
      <c r="E63" s="10" t="s">
        <v>807</v>
      </c>
      <c r="F63" s="10">
        <v>3672.5</v>
      </c>
      <c r="G63" s="10">
        <v>1701.2</v>
      </c>
      <c r="H63" s="10">
        <f t="shared" si="0"/>
        <v>1645.4</v>
      </c>
      <c r="I63" s="10">
        <f t="shared" si="16"/>
        <v>3943.4753333333338</v>
      </c>
      <c r="J63" s="10">
        <v>558.1</v>
      </c>
      <c r="K63" s="10">
        <f t="shared" si="2"/>
        <v>502.3</v>
      </c>
      <c r="L63" s="10">
        <v>271.10000000000002</v>
      </c>
      <c r="M63" s="10">
        <f t="shared" si="3"/>
        <v>215.3</v>
      </c>
      <c r="N63" s="10">
        <f t="shared" si="17"/>
        <v>516.00233333333335</v>
      </c>
    </row>
    <row r="64" spans="1:31">
      <c r="A64" s="10">
        <v>2021</v>
      </c>
      <c r="B64" s="10">
        <v>201</v>
      </c>
      <c r="C64" s="10">
        <v>3</v>
      </c>
      <c r="D64" s="10">
        <v>9</v>
      </c>
      <c r="E64" s="78" t="s">
        <v>804</v>
      </c>
      <c r="F64" s="10">
        <v>3540.4</v>
      </c>
      <c r="G64" s="10">
        <v>1668.4</v>
      </c>
      <c r="H64" s="10">
        <f t="shared" si="0"/>
        <v>1612.6000000000001</v>
      </c>
      <c r="I64" s="10">
        <f t="shared" si="16"/>
        <v>3864.8646666666673</v>
      </c>
      <c r="J64" s="10">
        <v>514</v>
      </c>
      <c r="K64" s="10">
        <f t="shared" si="2"/>
        <v>458.2</v>
      </c>
      <c r="L64" s="10">
        <v>229.8</v>
      </c>
      <c r="M64" s="10">
        <f t="shared" si="3"/>
        <v>174</v>
      </c>
      <c r="N64" s="10">
        <f t="shared" si="17"/>
        <v>417.02000000000004</v>
      </c>
    </row>
    <row r="65" spans="1:14">
      <c r="A65" s="10">
        <v>2021</v>
      </c>
      <c r="B65" s="10">
        <v>201</v>
      </c>
      <c r="C65" s="10">
        <v>3</v>
      </c>
      <c r="D65" s="10">
        <v>9</v>
      </c>
      <c r="E65" s="10" t="s">
        <v>807</v>
      </c>
      <c r="F65" s="10">
        <v>3406.4</v>
      </c>
      <c r="G65" s="10">
        <v>1242.5999999999999</v>
      </c>
      <c r="H65" s="10">
        <f t="shared" si="0"/>
        <v>1186.8</v>
      </c>
      <c r="I65" s="10">
        <f t="shared" si="16"/>
        <v>2844.364</v>
      </c>
      <c r="J65" s="10">
        <v>369.3</v>
      </c>
      <c r="K65" s="10">
        <f t="shared" si="2"/>
        <v>313.5</v>
      </c>
      <c r="L65" s="10">
        <v>174.4</v>
      </c>
      <c r="M65" s="10">
        <f t="shared" si="3"/>
        <v>118.60000000000001</v>
      </c>
      <c r="N65" s="10">
        <f t="shared" si="17"/>
        <v>284.24466666666672</v>
      </c>
    </row>
    <row r="66" spans="1:14">
      <c r="A66" s="6">
        <v>2021</v>
      </c>
      <c r="B66" s="6">
        <v>201</v>
      </c>
      <c r="C66" s="6">
        <v>3</v>
      </c>
      <c r="D66" s="6">
        <v>11</v>
      </c>
      <c r="E66" s="6" t="s">
        <v>804</v>
      </c>
      <c r="F66" s="6">
        <v>2072.8000000000002</v>
      </c>
      <c r="G66" s="6">
        <v>999.6</v>
      </c>
      <c r="H66" s="6">
        <f t="shared" si="0"/>
        <v>943.80000000000007</v>
      </c>
      <c r="I66" s="6">
        <f t="shared" si="16"/>
        <v>2261.9740000000002</v>
      </c>
      <c r="J66" s="6">
        <v>329.9</v>
      </c>
      <c r="K66" s="6">
        <f t="shared" si="2"/>
        <v>274.09999999999997</v>
      </c>
      <c r="L66" s="6">
        <v>174.3</v>
      </c>
      <c r="M66" s="6">
        <f t="shared" si="3"/>
        <v>118.50000000000001</v>
      </c>
      <c r="N66" s="6">
        <f t="shared" si="17"/>
        <v>284.00500000000005</v>
      </c>
    </row>
    <row r="67" spans="1:14">
      <c r="A67" s="6">
        <v>2021</v>
      </c>
      <c r="B67" s="6">
        <v>201</v>
      </c>
      <c r="C67" s="6">
        <v>3</v>
      </c>
      <c r="D67" s="6">
        <v>12</v>
      </c>
      <c r="E67" s="6" t="s">
        <v>804</v>
      </c>
      <c r="F67" s="6">
        <v>2824.6</v>
      </c>
      <c r="G67" s="6">
        <v>1174.0999999999999</v>
      </c>
      <c r="H67" s="6">
        <f t="shared" si="0"/>
        <v>1118.3</v>
      </c>
      <c r="I67" s="6">
        <f t="shared" si="16"/>
        <v>2680.1923333333334</v>
      </c>
      <c r="J67" s="6">
        <v>364.6</v>
      </c>
      <c r="K67" s="6">
        <f t="shared" si="2"/>
        <v>308.8</v>
      </c>
      <c r="L67" s="6">
        <v>201.8</v>
      </c>
      <c r="M67" s="6">
        <f t="shared" si="3"/>
        <v>146</v>
      </c>
      <c r="N67" s="6">
        <f t="shared" si="17"/>
        <v>349.91333333333336</v>
      </c>
    </row>
    <row r="68" spans="1:14">
      <c r="A68" s="6">
        <v>2021</v>
      </c>
      <c r="B68" s="6">
        <v>201</v>
      </c>
      <c r="C68" s="6">
        <v>3</v>
      </c>
      <c r="D68" s="6">
        <v>13</v>
      </c>
      <c r="E68" s="102" t="s">
        <v>804</v>
      </c>
      <c r="F68" s="6">
        <v>2754.5</v>
      </c>
      <c r="G68" s="6">
        <v>1119.5</v>
      </c>
      <c r="H68" s="6">
        <f t="shared" si="0"/>
        <v>1063.7</v>
      </c>
      <c r="I68" s="6">
        <f t="shared" si="16"/>
        <v>2549.3343333333332</v>
      </c>
      <c r="J68" s="6">
        <v>304.3</v>
      </c>
      <c r="K68" s="6">
        <f t="shared" si="2"/>
        <v>248.5</v>
      </c>
      <c r="L68" s="6">
        <v>194.1</v>
      </c>
      <c r="M68" s="6">
        <f t="shared" si="3"/>
        <v>138.30000000000001</v>
      </c>
      <c r="N68" s="6">
        <f t="shared" si="17"/>
        <v>331.459</v>
      </c>
    </row>
    <row r="69" spans="1:14">
      <c r="A69" s="10">
        <v>2021</v>
      </c>
      <c r="B69" s="10">
        <v>202</v>
      </c>
      <c r="C69" s="10">
        <v>4</v>
      </c>
      <c r="D69" s="10">
        <v>1</v>
      </c>
      <c r="E69" s="78" t="s">
        <v>804</v>
      </c>
      <c r="F69" s="10">
        <v>2868</v>
      </c>
      <c r="G69" s="10">
        <v>1144.8</v>
      </c>
      <c r="H69" s="10">
        <f t="shared" si="0"/>
        <v>1089</v>
      </c>
      <c r="I69" s="10">
        <f>(H69/3)*7</f>
        <v>2541</v>
      </c>
      <c r="J69" s="10">
        <v>399.5</v>
      </c>
      <c r="K69" s="10">
        <f t="shared" si="2"/>
        <v>343.7</v>
      </c>
      <c r="L69" s="10">
        <v>151.80000000000001</v>
      </c>
      <c r="M69" s="10">
        <f t="shared" si="3"/>
        <v>96.000000000000014</v>
      </c>
      <c r="N69" s="10">
        <f>(M69/3)*7</f>
        <v>224.00000000000006</v>
      </c>
    </row>
    <row r="70" spans="1:14">
      <c r="A70" s="10">
        <v>2021</v>
      </c>
      <c r="B70" s="10">
        <v>202</v>
      </c>
      <c r="C70" s="10">
        <v>4</v>
      </c>
      <c r="D70" s="10">
        <v>1</v>
      </c>
      <c r="E70" s="10" t="s">
        <v>807</v>
      </c>
      <c r="F70" s="10">
        <v>4184.3999999999996</v>
      </c>
      <c r="G70" s="10">
        <v>2034.7</v>
      </c>
      <c r="H70" s="10">
        <f t="shared" si="0"/>
        <v>1978.9</v>
      </c>
      <c r="I70" s="10">
        <f t="shared" ref="I70:I89" si="18">(H70/3)*7</f>
        <v>4617.4333333333334</v>
      </c>
      <c r="J70" s="10">
        <v>1043.5999999999999</v>
      </c>
      <c r="K70" s="10">
        <f t="shared" si="2"/>
        <v>987.8</v>
      </c>
      <c r="L70" s="10">
        <v>276.89999999999998</v>
      </c>
      <c r="M70" s="10">
        <f t="shared" si="3"/>
        <v>221.09999999999997</v>
      </c>
      <c r="N70" s="10">
        <f t="shared" ref="N70:N89" si="19">(M70/3)*7</f>
        <v>515.89999999999986</v>
      </c>
    </row>
    <row r="71" spans="1:14">
      <c r="A71" s="10">
        <v>2021</v>
      </c>
      <c r="B71" s="10">
        <v>202</v>
      </c>
      <c r="C71" s="10">
        <v>4</v>
      </c>
      <c r="D71" s="10">
        <v>2</v>
      </c>
      <c r="E71" s="10" t="s">
        <v>804</v>
      </c>
      <c r="F71" s="10">
        <v>3064</v>
      </c>
      <c r="G71" s="10">
        <v>1541.8</v>
      </c>
      <c r="H71" s="10">
        <f t="shared" ref="H71:H89" si="20">G71-55.8</f>
        <v>1486</v>
      </c>
      <c r="I71" s="10">
        <f t="shared" si="18"/>
        <v>3467.333333333333</v>
      </c>
      <c r="J71" s="10">
        <v>591.5</v>
      </c>
      <c r="K71" s="10">
        <f t="shared" ref="K71:K89" si="21">J71-55.8</f>
        <v>535.70000000000005</v>
      </c>
      <c r="L71" s="10">
        <v>197.4</v>
      </c>
      <c r="M71" s="10">
        <f t="shared" ref="M71:M89" si="22">L71-55.8</f>
        <v>141.60000000000002</v>
      </c>
      <c r="N71" s="10">
        <f t="shared" si="19"/>
        <v>330.40000000000009</v>
      </c>
    </row>
    <row r="72" spans="1:14">
      <c r="A72" s="10">
        <v>2021</v>
      </c>
      <c r="B72" s="10">
        <v>202</v>
      </c>
      <c r="C72" s="10">
        <v>4</v>
      </c>
      <c r="D72" s="10">
        <v>2</v>
      </c>
      <c r="E72" s="10" t="s">
        <v>807</v>
      </c>
      <c r="F72" s="10">
        <v>3882.7</v>
      </c>
      <c r="G72" s="10">
        <v>1714.6</v>
      </c>
      <c r="H72" s="10">
        <f t="shared" si="20"/>
        <v>1658.8</v>
      </c>
      <c r="I72" s="10">
        <f t="shared" si="18"/>
        <v>3870.5333333333328</v>
      </c>
      <c r="J72" s="10">
        <v>636.6</v>
      </c>
      <c r="K72" s="10">
        <f t="shared" si="21"/>
        <v>580.80000000000007</v>
      </c>
      <c r="L72" s="10">
        <v>238.7</v>
      </c>
      <c r="M72" s="10">
        <f t="shared" si="22"/>
        <v>182.89999999999998</v>
      </c>
      <c r="N72" s="10">
        <f t="shared" si="19"/>
        <v>426.76666666666665</v>
      </c>
    </row>
    <row r="73" spans="1:14">
      <c r="A73" s="10">
        <v>2021</v>
      </c>
      <c r="B73" s="10">
        <v>202</v>
      </c>
      <c r="C73" s="10">
        <v>4</v>
      </c>
      <c r="D73" s="10">
        <v>3</v>
      </c>
      <c r="E73" s="78" t="s">
        <v>804</v>
      </c>
      <c r="F73" s="10">
        <v>3557.9</v>
      </c>
      <c r="G73" s="10">
        <v>1301.4000000000001</v>
      </c>
      <c r="H73" s="10">
        <f t="shared" si="20"/>
        <v>1245.6000000000001</v>
      </c>
      <c r="I73" s="10">
        <f t="shared" si="18"/>
        <v>2906.4000000000005</v>
      </c>
      <c r="J73" s="10">
        <v>325.60000000000002</v>
      </c>
      <c r="K73" s="10">
        <f t="shared" si="21"/>
        <v>269.8</v>
      </c>
      <c r="L73" s="10">
        <v>206.3</v>
      </c>
      <c r="M73" s="10">
        <f t="shared" si="22"/>
        <v>150.5</v>
      </c>
      <c r="N73" s="10">
        <f t="shared" si="19"/>
        <v>351.16666666666663</v>
      </c>
    </row>
    <row r="74" spans="1:14">
      <c r="A74" s="10">
        <v>2021</v>
      </c>
      <c r="B74" s="10">
        <v>202</v>
      </c>
      <c r="C74" s="10">
        <v>4</v>
      </c>
      <c r="D74" s="10">
        <v>3</v>
      </c>
      <c r="E74" s="10" t="s">
        <v>807</v>
      </c>
      <c r="F74" s="10">
        <v>3855.2</v>
      </c>
      <c r="G74" s="10">
        <v>1547.8</v>
      </c>
      <c r="H74" s="10">
        <f t="shared" si="20"/>
        <v>1492</v>
      </c>
      <c r="I74" s="10">
        <f t="shared" si="18"/>
        <v>3481.333333333333</v>
      </c>
      <c r="J74" s="10">
        <v>638.6</v>
      </c>
      <c r="K74" s="10">
        <f t="shared" si="21"/>
        <v>582.80000000000007</v>
      </c>
      <c r="L74" s="10">
        <v>225.7</v>
      </c>
      <c r="M74" s="10">
        <f t="shared" si="22"/>
        <v>169.89999999999998</v>
      </c>
      <c r="N74" s="10">
        <f t="shared" si="19"/>
        <v>396.43333333333328</v>
      </c>
    </row>
    <row r="75" spans="1:14">
      <c r="A75" s="10">
        <v>2021</v>
      </c>
      <c r="B75" s="10">
        <v>202</v>
      </c>
      <c r="C75" s="10">
        <v>4</v>
      </c>
      <c r="D75" s="10">
        <v>4</v>
      </c>
      <c r="E75" s="10" t="s">
        <v>804</v>
      </c>
      <c r="F75" s="10">
        <v>3612.5</v>
      </c>
      <c r="G75" s="10">
        <v>1976.1</v>
      </c>
      <c r="H75" s="10">
        <f t="shared" si="20"/>
        <v>1920.3</v>
      </c>
      <c r="I75" s="10">
        <f t="shared" si="18"/>
        <v>4480.7</v>
      </c>
      <c r="J75" s="10">
        <v>735</v>
      </c>
      <c r="K75" s="10">
        <f t="shared" si="21"/>
        <v>679.2</v>
      </c>
      <c r="L75" s="10">
        <v>287.5</v>
      </c>
      <c r="M75" s="10">
        <f t="shared" si="22"/>
        <v>231.7</v>
      </c>
      <c r="N75" s="10">
        <f t="shared" si="19"/>
        <v>540.63333333333333</v>
      </c>
    </row>
    <row r="76" spans="1:14">
      <c r="A76" s="10">
        <v>2021</v>
      </c>
      <c r="B76" s="10">
        <v>202</v>
      </c>
      <c r="C76" s="10">
        <v>4</v>
      </c>
      <c r="D76" s="10">
        <v>4</v>
      </c>
      <c r="E76" s="10" t="s">
        <v>807</v>
      </c>
      <c r="F76" s="10">
        <v>3144.5</v>
      </c>
      <c r="G76" s="10">
        <v>1545.7</v>
      </c>
      <c r="H76" s="10">
        <f t="shared" si="20"/>
        <v>1489.9</v>
      </c>
      <c r="I76" s="10">
        <f t="shared" si="18"/>
        <v>3476.4333333333338</v>
      </c>
      <c r="J76" s="10">
        <v>588</v>
      </c>
      <c r="K76" s="10">
        <f t="shared" si="21"/>
        <v>532.20000000000005</v>
      </c>
      <c r="L76" s="10">
        <v>189.8</v>
      </c>
      <c r="M76" s="10">
        <f t="shared" si="22"/>
        <v>134</v>
      </c>
      <c r="N76" s="10">
        <f t="shared" si="19"/>
        <v>312.66666666666663</v>
      </c>
    </row>
    <row r="77" spans="1:14">
      <c r="A77" s="10">
        <v>2021</v>
      </c>
      <c r="B77" s="10">
        <v>202</v>
      </c>
      <c r="C77" s="10">
        <v>4</v>
      </c>
      <c r="D77" s="10">
        <v>5</v>
      </c>
      <c r="E77" s="78" t="s">
        <v>804</v>
      </c>
      <c r="F77" s="10">
        <v>3218.1</v>
      </c>
      <c r="G77" s="10">
        <v>1556.8</v>
      </c>
      <c r="H77" s="10">
        <f t="shared" si="20"/>
        <v>1501</v>
      </c>
      <c r="I77" s="10">
        <f t="shared" si="18"/>
        <v>3502.333333333333</v>
      </c>
      <c r="J77" s="10">
        <v>500.7</v>
      </c>
      <c r="K77" s="10">
        <f t="shared" si="21"/>
        <v>444.9</v>
      </c>
      <c r="L77" s="10">
        <v>206.1</v>
      </c>
      <c r="M77" s="10">
        <f t="shared" si="22"/>
        <v>150.30000000000001</v>
      </c>
      <c r="N77" s="10">
        <f t="shared" si="19"/>
        <v>350.7</v>
      </c>
    </row>
    <row r="78" spans="1:14">
      <c r="A78" s="10">
        <v>2021</v>
      </c>
      <c r="B78" s="10">
        <v>202</v>
      </c>
      <c r="C78" s="10">
        <v>4</v>
      </c>
      <c r="D78" s="10">
        <v>5</v>
      </c>
      <c r="E78" s="10" t="s">
        <v>807</v>
      </c>
      <c r="F78" s="10">
        <v>4291.8</v>
      </c>
      <c r="G78" s="10">
        <v>1513.4</v>
      </c>
      <c r="H78" s="10">
        <f t="shared" si="20"/>
        <v>1457.6000000000001</v>
      </c>
      <c r="I78" s="10">
        <f t="shared" si="18"/>
        <v>3401.0666666666671</v>
      </c>
      <c r="J78" s="10">
        <v>575.6</v>
      </c>
      <c r="K78" s="10">
        <f t="shared" si="21"/>
        <v>519.80000000000007</v>
      </c>
      <c r="L78" s="10">
        <v>202.3</v>
      </c>
      <c r="M78" s="10">
        <f t="shared" si="22"/>
        <v>146.5</v>
      </c>
      <c r="N78" s="10">
        <f t="shared" si="19"/>
        <v>341.83333333333337</v>
      </c>
    </row>
    <row r="79" spans="1:14">
      <c r="A79" s="10">
        <v>2021</v>
      </c>
      <c r="B79" s="10">
        <v>202</v>
      </c>
      <c r="C79" s="10">
        <v>4</v>
      </c>
      <c r="D79" s="10">
        <v>6</v>
      </c>
      <c r="E79" s="10" t="s">
        <v>804</v>
      </c>
      <c r="F79" s="10">
        <v>3493.6</v>
      </c>
      <c r="G79" s="10">
        <v>1324.4</v>
      </c>
      <c r="H79" s="10">
        <f t="shared" si="20"/>
        <v>1268.6000000000001</v>
      </c>
      <c r="I79" s="10">
        <f t="shared" si="18"/>
        <v>2960.0666666666671</v>
      </c>
      <c r="J79" s="10">
        <v>368.1</v>
      </c>
      <c r="K79" s="10">
        <f t="shared" si="21"/>
        <v>312.3</v>
      </c>
      <c r="L79" s="10">
        <v>194.9</v>
      </c>
      <c r="M79" s="10">
        <f t="shared" si="22"/>
        <v>139.10000000000002</v>
      </c>
      <c r="N79" s="10">
        <f t="shared" si="19"/>
        <v>324.56666666666672</v>
      </c>
    </row>
    <row r="80" spans="1:14">
      <c r="A80" s="10">
        <v>2021</v>
      </c>
      <c r="B80" s="10">
        <v>202</v>
      </c>
      <c r="C80" s="10">
        <v>4</v>
      </c>
      <c r="D80" s="10">
        <v>6</v>
      </c>
      <c r="E80" s="10" t="s">
        <v>807</v>
      </c>
      <c r="F80" s="10">
        <v>3007.5</v>
      </c>
      <c r="G80" s="10">
        <v>1568.1</v>
      </c>
      <c r="H80" s="10">
        <f t="shared" si="20"/>
        <v>1512.3</v>
      </c>
      <c r="I80" s="10">
        <f t="shared" si="18"/>
        <v>3528.7</v>
      </c>
      <c r="J80" s="10">
        <v>518.20000000000005</v>
      </c>
      <c r="K80" s="10">
        <f t="shared" si="21"/>
        <v>462.40000000000003</v>
      </c>
      <c r="L80" s="10">
        <v>204.3</v>
      </c>
      <c r="M80" s="10">
        <f t="shared" si="22"/>
        <v>148.5</v>
      </c>
      <c r="N80" s="10">
        <f t="shared" si="19"/>
        <v>346.5</v>
      </c>
    </row>
    <row r="81" spans="1:14">
      <c r="A81" s="10">
        <v>2021</v>
      </c>
      <c r="B81" s="10">
        <v>202</v>
      </c>
      <c r="C81" s="10">
        <v>4</v>
      </c>
      <c r="D81" s="10">
        <v>7</v>
      </c>
      <c r="E81" s="78" t="s">
        <v>804</v>
      </c>
      <c r="F81" s="10">
        <v>4066.7</v>
      </c>
      <c r="G81" s="10">
        <v>2019</v>
      </c>
      <c r="H81" s="10">
        <f t="shared" si="20"/>
        <v>1963.2</v>
      </c>
      <c r="I81" s="10">
        <f t="shared" si="18"/>
        <v>4580.8</v>
      </c>
      <c r="J81" s="10">
        <v>703.4</v>
      </c>
      <c r="K81" s="10">
        <f t="shared" si="21"/>
        <v>647.6</v>
      </c>
      <c r="L81" s="10">
        <v>273.3</v>
      </c>
      <c r="M81" s="10">
        <f t="shared" si="22"/>
        <v>217.5</v>
      </c>
      <c r="N81" s="10">
        <f t="shared" si="19"/>
        <v>507.5</v>
      </c>
    </row>
    <row r="82" spans="1:14">
      <c r="A82" s="10">
        <v>2021</v>
      </c>
      <c r="B82" s="10">
        <v>202</v>
      </c>
      <c r="C82" s="10">
        <v>4</v>
      </c>
      <c r="D82" s="10">
        <v>7</v>
      </c>
      <c r="E82" s="10" t="s">
        <v>807</v>
      </c>
      <c r="F82" s="10">
        <v>4461.1000000000004</v>
      </c>
      <c r="G82" s="10">
        <v>1632.1</v>
      </c>
      <c r="H82" s="10">
        <f t="shared" si="20"/>
        <v>1576.3</v>
      </c>
      <c r="I82" s="10">
        <f t="shared" si="18"/>
        <v>3678.0333333333328</v>
      </c>
      <c r="J82" s="10">
        <v>687.5</v>
      </c>
      <c r="K82" s="10">
        <f t="shared" si="21"/>
        <v>631.70000000000005</v>
      </c>
      <c r="L82" s="10">
        <v>229.9</v>
      </c>
      <c r="M82" s="10">
        <f t="shared" si="22"/>
        <v>174.10000000000002</v>
      </c>
      <c r="N82" s="10">
        <f t="shared" si="19"/>
        <v>406.23333333333335</v>
      </c>
    </row>
    <row r="83" spans="1:14">
      <c r="A83" s="10">
        <v>2021</v>
      </c>
      <c r="B83" s="10">
        <v>202</v>
      </c>
      <c r="C83" s="10">
        <v>4</v>
      </c>
      <c r="D83" s="10">
        <v>8</v>
      </c>
      <c r="E83" s="10" t="s">
        <v>804</v>
      </c>
      <c r="F83" s="10">
        <v>3478.1</v>
      </c>
      <c r="G83" s="10">
        <v>1841.6</v>
      </c>
      <c r="H83" s="10">
        <f t="shared" si="20"/>
        <v>1785.8</v>
      </c>
      <c r="I83" s="10">
        <f t="shared" si="18"/>
        <v>4166.8666666666668</v>
      </c>
      <c r="J83" s="10">
        <v>629.9</v>
      </c>
      <c r="K83" s="10">
        <f t="shared" si="21"/>
        <v>574.1</v>
      </c>
      <c r="L83" s="10">
        <v>245.4</v>
      </c>
      <c r="M83" s="10">
        <f t="shared" si="22"/>
        <v>189.60000000000002</v>
      </c>
      <c r="N83" s="10">
        <f t="shared" si="19"/>
        <v>442.40000000000009</v>
      </c>
    </row>
    <row r="84" spans="1:14">
      <c r="A84" s="10">
        <v>2021</v>
      </c>
      <c r="B84" s="10">
        <v>202</v>
      </c>
      <c r="C84" s="10">
        <v>4</v>
      </c>
      <c r="D84" s="10">
        <v>8</v>
      </c>
      <c r="E84" s="10" t="s">
        <v>807</v>
      </c>
      <c r="F84" s="10">
        <v>4147.7</v>
      </c>
      <c r="G84" s="10">
        <v>1650.9</v>
      </c>
      <c r="H84" s="10">
        <f t="shared" si="20"/>
        <v>1595.1000000000001</v>
      </c>
      <c r="I84" s="10">
        <f t="shared" si="18"/>
        <v>3721.9000000000005</v>
      </c>
      <c r="J84" s="10">
        <v>656.4</v>
      </c>
      <c r="K84" s="10">
        <f t="shared" si="21"/>
        <v>600.6</v>
      </c>
      <c r="L84" s="10">
        <v>239.9</v>
      </c>
      <c r="M84" s="10">
        <f t="shared" si="22"/>
        <v>184.10000000000002</v>
      </c>
      <c r="N84" s="10">
        <f t="shared" si="19"/>
        <v>429.56666666666672</v>
      </c>
    </row>
    <row r="85" spans="1:14">
      <c r="A85" s="10">
        <v>2021</v>
      </c>
      <c r="B85" s="10">
        <v>202</v>
      </c>
      <c r="C85" s="10">
        <v>4</v>
      </c>
      <c r="D85" s="10">
        <v>9</v>
      </c>
      <c r="E85" s="78" t="s">
        <v>804</v>
      </c>
      <c r="F85" s="10">
        <v>4034</v>
      </c>
      <c r="G85" s="10">
        <v>1801.4</v>
      </c>
      <c r="H85" s="10">
        <f t="shared" si="20"/>
        <v>1745.6000000000001</v>
      </c>
      <c r="I85" s="10">
        <f t="shared" si="18"/>
        <v>4073.0666666666666</v>
      </c>
      <c r="J85" s="10">
        <v>600.70000000000005</v>
      </c>
      <c r="K85" s="10">
        <f t="shared" si="21"/>
        <v>544.90000000000009</v>
      </c>
      <c r="L85" s="10">
        <v>255.3</v>
      </c>
      <c r="M85" s="10">
        <f t="shared" si="22"/>
        <v>199.5</v>
      </c>
      <c r="N85" s="10">
        <f t="shared" si="19"/>
        <v>465.5</v>
      </c>
    </row>
    <row r="86" spans="1:14">
      <c r="A86" s="10">
        <v>2021</v>
      </c>
      <c r="B86" s="10">
        <v>202</v>
      </c>
      <c r="C86" s="10">
        <v>4</v>
      </c>
      <c r="D86" s="10">
        <v>9</v>
      </c>
      <c r="E86" s="10" t="s">
        <v>807</v>
      </c>
      <c r="F86" s="10">
        <v>3425.4</v>
      </c>
      <c r="G86" s="10">
        <v>1215.7</v>
      </c>
      <c r="H86" s="10">
        <f t="shared" si="20"/>
        <v>1159.9000000000001</v>
      </c>
      <c r="I86" s="10">
        <f t="shared" si="18"/>
        <v>2706.4333333333338</v>
      </c>
      <c r="J86" s="10">
        <v>391.3</v>
      </c>
      <c r="K86" s="10">
        <f t="shared" si="21"/>
        <v>335.5</v>
      </c>
      <c r="L86" s="10">
        <v>181</v>
      </c>
      <c r="M86" s="10">
        <f t="shared" si="22"/>
        <v>125.2</v>
      </c>
      <c r="N86" s="10">
        <f t="shared" si="19"/>
        <v>292.13333333333333</v>
      </c>
    </row>
    <row r="87" spans="1:14">
      <c r="A87" s="6">
        <v>2021</v>
      </c>
      <c r="B87" s="6">
        <v>201</v>
      </c>
      <c r="C87" s="6">
        <v>4</v>
      </c>
      <c r="D87" s="6">
        <v>11</v>
      </c>
      <c r="E87" s="6" t="s">
        <v>804</v>
      </c>
      <c r="F87" s="6">
        <v>3149.2</v>
      </c>
      <c r="G87" s="6">
        <v>1554.8</v>
      </c>
      <c r="H87" s="6">
        <f t="shared" si="20"/>
        <v>1499</v>
      </c>
      <c r="I87" s="6">
        <f t="shared" si="18"/>
        <v>3497.666666666667</v>
      </c>
      <c r="J87" s="6">
        <v>484.5</v>
      </c>
      <c r="K87" s="6">
        <f t="shared" si="21"/>
        <v>428.7</v>
      </c>
      <c r="L87" s="6">
        <v>259.89999999999998</v>
      </c>
      <c r="M87" s="6">
        <f t="shared" si="22"/>
        <v>204.09999999999997</v>
      </c>
      <c r="N87" s="6">
        <f t="shared" si="19"/>
        <v>476.23333333333323</v>
      </c>
    </row>
    <row r="88" spans="1:14">
      <c r="A88" s="6">
        <v>2021</v>
      </c>
      <c r="B88" s="6">
        <v>201</v>
      </c>
      <c r="C88" s="6">
        <v>4</v>
      </c>
      <c r="D88" s="6">
        <v>12</v>
      </c>
      <c r="E88" s="6" t="s">
        <v>804</v>
      </c>
      <c r="F88" s="6">
        <v>3627.1</v>
      </c>
      <c r="G88" s="6">
        <v>1414</v>
      </c>
      <c r="H88" s="6">
        <f t="shared" si="20"/>
        <v>1358.2</v>
      </c>
      <c r="I88" s="6">
        <f t="shared" si="18"/>
        <v>3169.1333333333332</v>
      </c>
      <c r="J88" s="6">
        <v>678</v>
      </c>
      <c r="K88" s="6">
        <f t="shared" si="21"/>
        <v>622.20000000000005</v>
      </c>
      <c r="L88" s="6">
        <v>219.5</v>
      </c>
      <c r="M88" s="6">
        <f t="shared" si="22"/>
        <v>163.69999999999999</v>
      </c>
      <c r="N88" s="6">
        <f t="shared" si="19"/>
        <v>381.96666666666664</v>
      </c>
    </row>
    <row r="89" spans="1:14">
      <c r="A89" s="6">
        <v>2021</v>
      </c>
      <c r="B89" s="6">
        <v>201</v>
      </c>
      <c r="C89" s="6">
        <v>4</v>
      </c>
      <c r="D89" s="6">
        <v>13</v>
      </c>
      <c r="E89" s="102" t="s">
        <v>804</v>
      </c>
      <c r="F89" s="6">
        <v>2490.4</v>
      </c>
      <c r="G89" s="6">
        <v>977.9</v>
      </c>
      <c r="H89" s="6">
        <f t="shared" si="20"/>
        <v>922.1</v>
      </c>
      <c r="I89" s="6">
        <f t="shared" si="18"/>
        <v>2151.5666666666666</v>
      </c>
      <c r="J89" s="6">
        <v>318.8</v>
      </c>
      <c r="K89" s="6">
        <f t="shared" si="21"/>
        <v>263</v>
      </c>
      <c r="L89" s="6">
        <v>160.9</v>
      </c>
      <c r="M89" s="6">
        <f t="shared" si="22"/>
        <v>105.10000000000001</v>
      </c>
      <c r="N89" s="6">
        <f t="shared" si="19"/>
        <v>245.23333333333338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C550A-D3D7-F54E-8549-B5A2F644D1B7}">
  <dimension ref="A1:BH265"/>
  <sheetViews>
    <sheetView topLeftCell="U89" zoomScale="75" zoomScaleNormal="80" workbookViewId="0">
      <selection activeCell="AB92" sqref="AB92"/>
    </sheetView>
  </sheetViews>
  <sheetFormatPr defaultColWidth="11" defaultRowHeight="15.5"/>
  <cols>
    <col min="1" max="1" width="19.58203125" customWidth="1"/>
    <col min="2" max="2" width="22.83203125" customWidth="1"/>
    <col min="3" max="3" width="14.58203125" customWidth="1"/>
    <col min="4" max="4" width="21" customWidth="1"/>
    <col min="5" max="5" width="14.58203125" customWidth="1"/>
    <col min="6" max="6" width="22.83203125" customWidth="1"/>
    <col min="7" max="7" width="33.83203125" customWidth="1"/>
    <col min="8" max="8" width="39.58203125" customWidth="1"/>
    <col min="9" max="9" width="34.33203125" customWidth="1"/>
    <col min="10" max="10" width="33.58203125" customWidth="1"/>
    <col min="11" max="11" width="40" customWidth="1"/>
    <col min="12" max="12" width="36.83203125" customWidth="1"/>
    <col min="13" max="13" width="46.58203125" customWidth="1"/>
    <col min="14" max="14" width="39.33203125" customWidth="1"/>
    <col min="15" max="15" width="39.08203125" customWidth="1"/>
    <col min="16" max="16" width="15.08203125" customWidth="1"/>
    <col min="17" max="17" width="17.83203125" customWidth="1"/>
    <col min="18" max="18" width="38.33203125" customWidth="1"/>
    <col min="19" max="19" width="35.08203125" customWidth="1"/>
    <col min="20" max="20" width="39.08203125" customWidth="1"/>
    <col min="21" max="21" width="36" customWidth="1"/>
    <col min="22" max="22" width="28" customWidth="1"/>
    <col min="23" max="23" width="26.08203125" customWidth="1"/>
    <col min="24" max="24" width="50.33203125" customWidth="1"/>
    <col min="25" max="25" width="39.33203125" customWidth="1"/>
    <col min="26" max="26" width="53.5" customWidth="1"/>
    <col min="27" max="27" width="32.5" customWidth="1"/>
    <col min="28" max="28" width="28.5" customWidth="1"/>
    <col min="29" max="29" width="21" customWidth="1"/>
    <col min="30" max="30" width="31" customWidth="1"/>
    <col min="31" max="33" width="27.5" customWidth="1"/>
    <col min="34" max="36" width="22.83203125" customWidth="1"/>
    <col min="37" max="37" width="25.5" customWidth="1"/>
    <col min="38" max="41" width="27.33203125" customWidth="1"/>
    <col min="42" max="42" width="26.33203125" customWidth="1"/>
    <col min="43" max="43" width="22.08203125" customWidth="1"/>
    <col min="44" max="44" width="17.5" customWidth="1"/>
    <col min="45" max="45" width="28.5" customWidth="1"/>
    <col min="46" max="46" width="25.83203125" customWidth="1"/>
    <col min="47" max="47" width="15.08203125" customWidth="1"/>
    <col min="48" max="48" width="24.5" customWidth="1"/>
    <col min="50" max="50" width="14.08203125" customWidth="1"/>
    <col min="51" max="51" width="16" customWidth="1"/>
  </cols>
  <sheetData>
    <row r="1" spans="1:60" ht="60.5" thickBot="1">
      <c r="A1" s="67" t="s">
        <v>895</v>
      </c>
      <c r="L1" t="s">
        <v>896</v>
      </c>
      <c r="M1">
        <v>55.8</v>
      </c>
      <c r="O1" s="95"/>
      <c r="Q1" s="95" t="s">
        <v>782</v>
      </c>
      <c r="X1" s="112"/>
      <c r="Y1" s="112"/>
    </row>
    <row r="2" spans="1:60" ht="36" customHeight="1" thickBot="1">
      <c r="A2" s="90" t="s">
        <v>612</v>
      </c>
      <c r="B2" s="90" t="s">
        <v>897</v>
      </c>
      <c r="C2" s="90" t="s">
        <v>784</v>
      </c>
      <c r="D2" s="90" t="s">
        <v>785</v>
      </c>
      <c r="E2" s="90" t="s">
        <v>786</v>
      </c>
      <c r="F2" s="90" t="s">
        <v>898</v>
      </c>
      <c r="G2" s="90" t="s">
        <v>899</v>
      </c>
      <c r="H2" s="90" t="s">
        <v>900</v>
      </c>
      <c r="I2" s="90" t="s">
        <v>658</v>
      </c>
      <c r="J2" s="90" t="s">
        <v>901</v>
      </c>
      <c r="K2" s="90" t="s">
        <v>902</v>
      </c>
      <c r="L2" s="90" t="s">
        <v>903</v>
      </c>
      <c r="M2" s="90" t="s">
        <v>904</v>
      </c>
      <c r="N2" s="90" t="s">
        <v>905</v>
      </c>
      <c r="O2" s="90" t="s">
        <v>906</v>
      </c>
      <c r="Q2" s="105" t="s">
        <v>784</v>
      </c>
      <c r="R2" s="105" t="s">
        <v>785</v>
      </c>
      <c r="S2" s="105" t="s">
        <v>559</v>
      </c>
      <c r="T2" s="90" t="s">
        <v>907</v>
      </c>
      <c r="U2" s="90" t="s">
        <v>908</v>
      </c>
      <c r="V2" s="90" t="s">
        <v>909</v>
      </c>
      <c r="W2" s="90" t="s">
        <v>624</v>
      </c>
      <c r="X2" s="105" t="s">
        <v>577</v>
      </c>
      <c r="Y2" s="105" t="s">
        <v>910</v>
      </c>
      <c r="Z2" s="105" t="s">
        <v>666</v>
      </c>
      <c r="AA2" s="105" t="s">
        <v>911</v>
      </c>
      <c r="AB2" s="105" t="s">
        <v>912</v>
      </c>
      <c r="AC2" s="105" t="s">
        <v>913</v>
      </c>
      <c r="AD2" s="105" t="s">
        <v>914</v>
      </c>
      <c r="AE2" s="105" t="s">
        <v>915</v>
      </c>
      <c r="AF2" s="105" t="s">
        <v>916</v>
      </c>
      <c r="AG2" s="105" t="s">
        <v>917</v>
      </c>
      <c r="AH2" s="175" t="s">
        <v>918</v>
      </c>
      <c r="AI2" s="176" t="s">
        <v>577</v>
      </c>
      <c r="AJ2" s="177" t="s">
        <v>912</v>
      </c>
      <c r="AK2" s="177" t="s">
        <v>919</v>
      </c>
      <c r="AL2" s="178" t="s">
        <v>914</v>
      </c>
      <c r="AM2" s="178" t="s">
        <v>920</v>
      </c>
      <c r="AO2" s="76" t="s">
        <v>921</v>
      </c>
      <c r="AP2" s="76" t="s">
        <v>922</v>
      </c>
      <c r="AQ2" s="76" t="s">
        <v>586</v>
      </c>
      <c r="AR2" s="76" t="s">
        <v>923</v>
      </c>
      <c r="AS2" s="76" t="s">
        <v>586</v>
      </c>
      <c r="AT2" s="14"/>
    </row>
    <row r="3" spans="1:60">
      <c r="A3" s="10">
        <v>2021</v>
      </c>
      <c r="B3" s="10">
        <v>293</v>
      </c>
      <c r="C3" s="10">
        <v>1</v>
      </c>
      <c r="D3" s="10">
        <v>1</v>
      </c>
      <c r="E3" s="78" t="s">
        <v>804</v>
      </c>
      <c r="F3" s="10">
        <v>7</v>
      </c>
      <c r="G3" s="10">
        <v>807.2</v>
      </c>
      <c r="H3" s="10">
        <v>486.1</v>
      </c>
      <c r="I3" s="10">
        <f>Table8[[#This Row],[Wet Weight of 3 plants (g) ]]-55.8</f>
        <v>430.3</v>
      </c>
      <c r="J3" s="10">
        <f>(Table8[[#This Row],[Wet - Bag Weight (g) ]]/3)*Table8[[#This Row],['# of Plants]]</f>
        <v>1004.0333333333333</v>
      </c>
      <c r="K3" s="10">
        <v>269.5</v>
      </c>
      <c r="L3" s="10">
        <f>Table8[[#This Row],[DRY Sample Weight (g) (3 Plants) ]]-55.8</f>
        <v>213.7</v>
      </c>
      <c r="M3" s="10">
        <f>Table8[[#This Row],[Wet weight of 1m2 of corn]]-Table8[[#This Row],[Dry Weight of 1m2 of Corn]]</f>
        <v>505.4</v>
      </c>
      <c r="N3" s="10">
        <f>(Table8[[#This Row],[DRY Sample - Bag Weight (g) ]]/3)*Table8[[#This Row],['# of Plants]]</f>
        <v>498.63333333333333</v>
      </c>
      <c r="O3" s="79">
        <f>Table8[[#This Row],[Dry Weight of 1m2 of Corn]]+J93</f>
        <v>631.39933333333329</v>
      </c>
      <c r="Q3" s="10">
        <v>1</v>
      </c>
      <c r="R3" s="10">
        <v>1</v>
      </c>
      <c r="S3" s="10" t="s">
        <v>385</v>
      </c>
      <c r="T3" s="10">
        <f>(J3+J4)/2</f>
        <v>886.7833333333333</v>
      </c>
      <c r="U3" s="10">
        <f>(O3+O4)/2</f>
        <v>625.25333333333333</v>
      </c>
      <c r="V3" s="10">
        <f>Table911[[#This Row],[Biomass Wet Weight (g/m2)]]-Table911[[#This Row],[Dry Sample Weight (g/m2) ]]</f>
        <v>261.52999999999997</v>
      </c>
      <c r="W3" s="10">
        <f>(Table911[[#This Row],[Moisture loss (g)]]/Table911[[#This Row],[Biomass Wet Weight (g/m2)]])*100</f>
        <v>29.491984137425526</v>
      </c>
      <c r="X3" s="10">
        <f>Table911[[#This Row],[Dry Sample Weight (g/m2) ]]*(10000/1000)</f>
        <v>6252.5333333333328</v>
      </c>
      <c r="Y3" s="10">
        <f>Table911[[#This Row],[Dry Yield (kg/ha)]]*1.155</f>
        <v>7221.6759999999995</v>
      </c>
      <c r="Z3" s="79">
        <f>Table911[[#This Row],[Dry Yield (kg/ha)]]/1000</f>
        <v>6.2525333333333331</v>
      </c>
      <c r="AA3" s="79">
        <f>Table911[[#This Row],[Dry Yield (tons/ha)]]*1.15</f>
        <v>7.1904133333333329</v>
      </c>
      <c r="AB3" s="79" t="s">
        <v>924</v>
      </c>
      <c r="AC3" s="79">
        <f>Table911[[#This Row],[Dry Yield (tons/ha)]]*(Table911[[#This Row],[%C  (Dry)]]/100)</f>
        <v>2.72735504</v>
      </c>
      <c r="AD3" s="79" t="s">
        <v>925</v>
      </c>
      <c r="AE3" s="79">
        <f>Table911[[#This Row],[Dry Yield (tons/ha)]]*(Table911[[#This Row],[%N (Dry)]]/100)</f>
        <v>4.1891973333333332E-2</v>
      </c>
      <c r="AF3" s="79">
        <f>Table911[[#This Row],[Yield (kg/ha) Corrected to 15% M]]*(Table911[[#This Row],[%N (Dry)]]/100)</f>
        <v>48.385229199999998</v>
      </c>
      <c r="AG3" s="79">
        <f>AVERAGE(AF3:AF11)</f>
        <v>57.064663831388899</v>
      </c>
      <c r="AH3" s="10" t="s">
        <v>675</v>
      </c>
      <c r="AI3" s="154">
        <f>Table911[[#This Row],[Yield (tons/ha) Corrected to 15% Moisture]]*1000</f>
        <v>7190.413333333333</v>
      </c>
      <c r="AJ3" s="154" t="s">
        <v>924</v>
      </c>
      <c r="AK3" s="154">
        <f>AI3*(AJ3/100)</f>
        <v>3136.4582959999998</v>
      </c>
      <c r="AL3" s="10" t="s">
        <v>925</v>
      </c>
      <c r="AM3" s="10">
        <f>AI3*(AL3/100)</f>
        <v>48.175769333333335</v>
      </c>
      <c r="AO3" s="10" t="s">
        <v>675</v>
      </c>
      <c r="AP3" s="10">
        <f>AVERAGE(AI3:AI11)</f>
        <v>7198.8343148148151</v>
      </c>
      <c r="AQ3" s="10">
        <f>STDEV(AI3:AI11)</f>
        <v>683.21924122488258</v>
      </c>
      <c r="AR3" s="10">
        <f>AVERAGE(AI12:AI14)</f>
        <v>6084.5618333333323</v>
      </c>
      <c r="AS3" s="10">
        <f>STDEV(AI12:AI14)</f>
        <v>1700.2607081575356</v>
      </c>
      <c r="AT3" s="14"/>
    </row>
    <row r="4" spans="1:60">
      <c r="A4" s="10">
        <v>2021</v>
      </c>
      <c r="B4" s="10">
        <v>293</v>
      </c>
      <c r="C4" s="10">
        <v>1</v>
      </c>
      <c r="D4" s="10">
        <v>1</v>
      </c>
      <c r="E4" s="10" t="s">
        <v>807</v>
      </c>
      <c r="F4" s="10">
        <v>7</v>
      </c>
      <c r="G4" s="10">
        <v>683.3</v>
      </c>
      <c r="H4" s="10">
        <v>385.6</v>
      </c>
      <c r="I4" s="10">
        <f>Table8[[#This Row],[Wet Weight of 3 plants (g) ]]-55.8</f>
        <v>329.8</v>
      </c>
      <c r="J4" s="10">
        <f>(Table8[[#This Row],[Wet - Bag Weight (g) ]]/3)*Table8[[#This Row],['# of Plants]]</f>
        <v>769.5333333333333</v>
      </c>
      <c r="K4" s="10">
        <v>267.39999999999998</v>
      </c>
      <c r="L4" s="10">
        <f>Table8[[#This Row],[DRY Sample Weight (g) (3 Plants) ]]-55.8</f>
        <v>211.59999999999997</v>
      </c>
      <c r="M4" s="10">
        <f>Table8[[#This Row],[Wet weight of 1m2 of corn]]-Table8[[#This Row],[Dry Weight of 1m2 of Corn]]</f>
        <v>275.80000000000007</v>
      </c>
      <c r="N4" s="10">
        <f>(Table8[[#This Row],[DRY Sample - Bag Weight (g) ]]/3)*Table8[[#This Row],['# of Plants]]</f>
        <v>493.73333333333323</v>
      </c>
      <c r="O4" s="79">
        <f>Table8[[#This Row],[Dry Weight of 1m2 of Corn]]+J94</f>
        <v>619.10733333333326</v>
      </c>
      <c r="Q4" s="10">
        <v>1</v>
      </c>
      <c r="R4" s="10">
        <v>2</v>
      </c>
      <c r="S4" s="10" t="s">
        <v>386</v>
      </c>
      <c r="T4" s="10">
        <f>(J5+J6)/2</f>
        <v>911.7833333333333</v>
      </c>
      <c r="U4" s="10">
        <f>(O5+O6)/2</f>
        <v>564.76516666666657</v>
      </c>
      <c r="V4" s="10">
        <f>Table911[[#This Row],[Biomass Wet Weight (g/m2)]]-Table911[[#This Row],[Dry Sample Weight (g/m2) ]]</f>
        <v>347.01816666666673</v>
      </c>
      <c r="W4" s="10">
        <f>(Table911[[#This Row],[Moisture loss (g)]]/Table911[[#This Row],[Biomass Wet Weight (g/m2)]])*100</f>
        <v>38.059279434076089</v>
      </c>
      <c r="X4" s="10">
        <f>Table911[[#This Row],[Dry Sample Weight (g/m2) ]]*(10000/1000)</f>
        <v>5647.6516666666657</v>
      </c>
      <c r="Y4" s="10">
        <f>Table911[[#This Row],[Dry Yield (kg/ha)]]*1.155</f>
        <v>6523.0376749999987</v>
      </c>
      <c r="Z4" s="79">
        <f>Table911[[#This Row],[Dry Yield (kg/ha)]]/1000</f>
        <v>5.6476516666666656</v>
      </c>
      <c r="AA4" s="79">
        <f>Table911[[#This Row],[Dry Yield (tons/ha)]]*1.15</f>
        <v>6.4947994166666652</v>
      </c>
      <c r="AB4" s="79" t="s">
        <v>926</v>
      </c>
      <c r="AC4" s="79">
        <f>Table911[[#This Row],[Dry Yield (tons/ha)]]*(Table911[[#This Row],[%C  (Dry)]]/100)</f>
        <v>2.4273606863333326</v>
      </c>
      <c r="AD4" s="79" t="s">
        <v>927</v>
      </c>
      <c r="AE4" s="79">
        <f>Table911[[#This Row],[Dry Yield (tons/ha)]]*(Table911[[#This Row],[%N (Dry)]]/100)</f>
        <v>5.6476516666666657E-2</v>
      </c>
      <c r="AF4" s="79">
        <f>Table911[[#This Row],[Yield (kg/ha) Corrected to 15% M]]*(Table911[[#This Row],[%N (Dry)]]/100)</f>
        <v>65.230376749999991</v>
      </c>
      <c r="AG4" s="79"/>
      <c r="AH4" s="10" t="s">
        <v>675</v>
      </c>
      <c r="AI4" s="154">
        <f>Table911[[#This Row],[Yield (tons/ha) Corrected to 15% Moisture]]*1000</f>
        <v>6494.7994166666649</v>
      </c>
      <c r="AJ4" s="154" t="s">
        <v>926</v>
      </c>
      <c r="AK4" s="154">
        <f t="shared" ref="AK4:AK50" si="0">AI4*(AJ4/100)</f>
        <v>2791.4647892833323</v>
      </c>
      <c r="AL4" s="10" t="s">
        <v>927</v>
      </c>
      <c r="AM4" s="10">
        <f t="shared" ref="AM4:AM50" si="1">AI4*(AL4/100)</f>
        <v>64.947994166666646</v>
      </c>
      <c r="AO4" s="10" t="s">
        <v>676</v>
      </c>
      <c r="AP4" s="10">
        <f>AVERAGE(AI15:AI23)</f>
        <v>7375.9162129629631</v>
      </c>
      <c r="AQ4" s="10">
        <f>STDEV(AI15:AI23)</f>
        <v>206.56641344172829</v>
      </c>
      <c r="AR4" s="10">
        <f>AVERAGE(AI24:AI26)</f>
        <v>5914.7451666666648</v>
      </c>
      <c r="AS4" s="10">
        <f>STDEV(AI24:AI26)</f>
        <v>1460.4836489609643</v>
      </c>
      <c r="AT4" s="14"/>
    </row>
    <row r="5" spans="1:60">
      <c r="A5" s="10">
        <v>2021</v>
      </c>
      <c r="B5" s="10">
        <v>293</v>
      </c>
      <c r="C5" s="10">
        <v>1</v>
      </c>
      <c r="D5" s="10">
        <v>2</v>
      </c>
      <c r="E5" s="10" t="s">
        <v>804</v>
      </c>
      <c r="F5" s="10">
        <v>6</v>
      </c>
      <c r="G5" s="10">
        <v>696.2</v>
      </c>
      <c r="H5" s="10">
        <v>530</v>
      </c>
      <c r="I5" s="10">
        <f>Table8[[#This Row],[Wet Weight of 3 plants (g) ]]-55.8</f>
        <v>474.2</v>
      </c>
      <c r="J5" s="10">
        <f>(Table8[[#This Row],[Wet - Bag Weight (g) ]]/3)*Table8[[#This Row],['# of Plants]]</f>
        <v>948.4</v>
      </c>
      <c r="K5" s="10">
        <v>294.10000000000002</v>
      </c>
      <c r="L5" s="10">
        <f>Table8[[#This Row],[DRY Sample Weight (g) (3 Plants) ]]-55.8</f>
        <v>238.3</v>
      </c>
      <c r="M5" s="10">
        <f>Table8[[#This Row],[Wet weight of 1m2 of corn]]-Table8[[#This Row],[Dry Weight of 1m2 of Corn]]</f>
        <v>471.79999999999995</v>
      </c>
      <c r="N5" s="10">
        <f>(Table8[[#This Row],[DRY Sample - Bag Weight (g) ]]/3)*Table8[[#This Row],['# of Plants]]</f>
        <v>476.6</v>
      </c>
      <c r="O5" s="79">
        <f>Table8[[#This Row],[Dry Weight of 1m2 of Corn]]+J95</f>
        <v>601.78899999999999</v>
      </c>
      <c r="Q5" s="10">
        <v>1</v>
      </c>
      <c r="R5" s="10">
        <v>3</v>
      </c>
      <c r="S5" s="10" t="s">
        <v>387</v>
      </c>
      <c r="T5" s="10">
        <f>(J7+J8)/2</f>
        <v>1080.8</v>
      </c>
      <c r="U5" s="10">
        <f>(O7+O8)/2</f>
        <v>661.1103333333333</v>
      </c>
      <c r="V5" s="10">
        <f>Table911[[#This Row],[Biomass Wet Weight (g/m2)]]-Table911[[#This Row],[Dry Sample Weight (g/m2) ]]</f>
        <v>419.68966666666665</v>
      </c>
      <c r="W5" s="10">
        <f>(Table911[[#This Row],[Moisture loss (g)]]/Table911[[#This Row],[Biomass Wet Weight (g/m2)]])*100</f>
        <v>38.83139032815199</v>
      </c>
      <c r="X5" s="10">
        <f>Table911[[#This Row],[Dry Sample Weight (g/m2) ]]*(10000/1000)</f>
        <v>6611.1033333333326</v>
      </c>
      <c r="Y5" s="10">
        <f>Table911[[#This Row],[Dry Yield (kg/ha)]]*1.155</f>
        <v>7635.824349999999</v>
      </c>
      <c r="Z5" s="79">
        <f>Table911[[#This Row],[Dry Yield (kg/ha)]]/1000</f>
        <v>6.6111033333333324</v>
      </c>
      <c r="AA5" s="79">
        <f>Table911[[#This Row],[Dry Yield (tons/ha)]]*1.15</f>
        <v>7.6027688333333314</v>
      </c>
      <c r="AB5" s="79" t="s">
        <v>928</v>
      </c>
      <c r="AC5" s="79">
        <f>Table911[[#This Row],[Dry Yield (tons/ha)]]*(Table911[[#This Row],[%C  (Dry)]]/100)</f>
        <v>2.8480633159999993</v>
      </c>
      <c r="AD5" s="79" t="s">
        <v>929</v>
      </c>
      <c r="AE5" s="79">
        <f>Table911[[#This Row],[Dry Yield (tons/ha)]]*(Table911[[#This Row],[%N (Dry)]]/100)</f>
        <v>5.2888826666666659E-2</v>
      </c>
      <c r="AF5" s="79">
        <f>Table911[[#This Row],[Yield (kg/ha) Corrected to 15% M]]*(Table911[[#This Row],[%N (Dry)]]/100)</f>
        <v>61.086594799999993</v>
      </c>
      <c r="AG5" s="79"/>
      <c r="AH5" s="10" t="s">
        <v>675</v>
      </c>
      <c r="AI5" s="154">
        <f>Table911[[#This Row],[Yield (tons/ha) Corrected to 15% Moisture]]*1000</f>
        <v>7602.7688333333317</v>
      </c>
      <c r="AJ5" s="154" t="s">
        <v>928</v>
      </c>
      <c r="AK5" s="154">
        <f t="shared" si="0"/>
        <v>3275.272813399999</v>
      </c>
      <c r="AL5" s="10" t="s">
        <v>929</v>
      </c>
      <c r="AM5" s="10">
        <f t="shared" si="1"/>
        <v>60.822150666666658</v>
      </c>
      <c r="AO5" s="10" t="s">
        <v>677</v>
      </c>
      <c r="AP5" s="10">
        <f>AVERAGE(AI27:AI35)</f>
        <v>7340.4676759259246</v>
      </c>
      <c r="AQ5" s="10">
        <f>STDEV(AI27:AI35)</f>
        <v>517.53334772653443</v>
      </c>
      <c r="AR5" s="10">
        <f>AVERAGE(AI36:AI38)</f>
        <v>4596.5129444444447</v>
      </c>
      <c r="AS5" s="10">
        <f>STDEV(AI36:AI38)</f>
        <v>580.96151310852554</v>
      </c>
      <c r="AT5" s="14"/>
    </row>
    <row r="6" spans="1:60">
      <c r="A6" s="10">
        <v>2021</v>
      </c>
      <c r="B6" s="10">
        <v>293</v>
      </c>
      <c r="C6" s="10">
        <v>1</v>
      </c>
      <c r="D6" s="10">
        <v>2</v>
      </c>
      <c r="E6" s="10" t="s">
        <v>807</v>
      </c>
      <c r="F6" s="10">
        <v>5</v>
      </c>
      <c r="G6" s="10">
        <v>431.4</v>
      </c>
      <c r="H6" s="10">
        <v>580.9</v>
      </c>
      <c r="I6" s="10">
        <f>Table8[[#This Row],[Wet Weight of 3 plants (g) ]]-55.8</f>
        <v>525.1</v>
      </c>
      <c r="J6" s="10">
        <f>(Table8[[#This Row],[Wet - Bag Weight (g) ]]/3)*Table8[[#This Row],['# of Plants]]</f>
        <v>875.16666666666663</v>
      </c>
      <c r="K6" s="10">
        <v>308</v>
      </c>
      <c r="L6" s="10">
        <f>Table8[[#This Row],[DRY Sample Weight (g) (3 Plants) ]]-55.8</f>
        <v>252.2</v>
      </c>
      <c r="M6" s="10">
        <f>Table8[[#This Row],[Wet weight of 1m2 of corn]]-Table8[[#This Row],[Dry Weight of 1m2 of Corn]]</f>
        <v>454.83333333333331</v>
      </c>
      <c r="N6" s="10">
        <f>(Table8[[#This Row],[DRY Sample - Bag Weight (g) ]]/3)*Table8[[#This Row],['# of Plants]]</f>
        <v>420.33333333333331</v>
      </c>
      <c r="O6" s="79">
        <f>Table8[[#This Row],[Dry Weight of 1m2 of Corn]]+J96</f>
        <v>527.74133333333327</v>
      </c>
      <c r="Q6" s="10">
        <v>1</v>
      </c>
      <c r="R6" s="10">
        <v>4</v>
      </c>
      <c r="S6" s="10" t="s">
        <v>388</v>
      </c>
      <c r="T6" s="10">
        <f>(J9+J10)/2</f>
        <v>1036.8666666666666</v>
      </c>
      <c r="U6" s="10">
        <f>(O9+O10)/2</f>
        <v>612.26516666666669</v>
      </c>
      <c r="V6" s="10">
        <f>Table911[[#This Row],[Biomass Wet Weight (g/m2)]]-Table911[[#This Row],[Dry Sample Weight (g/m2) ]]</f>
        <v>424.60149999999987</v>
      </c>
      <c r="W6" s="10">
        <f>(Table911[[#This Row],[Moisture loss (g)]]/Table911[[#This Row],[Biomass Wet Weight (g/m2)]])*100</f>
        <v>40.950443644312983</v>
      </c>
      <c r="X6" s="10">
        <f>Table911[[#This Row],[Dry Sample Weight (g/m2) ]]*(10000/1000)</f>
        <v>6122.6516666666666</v>
      </c>
      <c r="Y6" s="10">
        <f>Table911[[#This Row],[Dry Yield (kg/ha)]]*1.155</f>
        <v>7071.6626750000005</v>
      </c>
      <c r="Z6" s="79">
        <f>Table911[[#This Row],[Dry Yield (kg/ha)]]/1000</f>
        <v>6.122651666666667</v>
      </c>
      <c r="AA6" s="79">
        <f>Table911[[#This Row],[Dry Yield (tons/ha)]]*1.15</f>
        <v>7.0410494166666666</v>
      </c>
      <c r="AB6" s="79" t="s">
        <v>850</v>
      </c>
      <c r="AC6" s="79">
        <f>Table911[[#This Row],[Dry Yield (tons/ha)]]*(Table911[[#This Row],[%C  (Dry)]]/100)</f>
        <v>2.6688638615000002</v>
      </c>
      <c r="AD6" s="79" t="s">
        <v>925</v>
      </c>
      <c r="AE6" s="79">
        <f>Table911[[#This Row],[Dry Yield (tons/ha)]]*(Table911[[#This Row],[%N (Dry)]]/100)</f>
        <v>4.1021766166666668E-2</v>
      </c>
      <c r="AF6" s="79">
        <f>Table911[[#This Row],[Yield (kg/ha) Corrected to 15% M]]*(Table911[[#This Row],[%N (Dry)]]/100)</f>
        <v>47.380139922500007</v>
      </c>
      <c r="AG6" s="79"/>
      <c r="AH6" s="10" t="s">
        <v>675</v>
      </c>
      <c r="AI6" s="154">
        <f>Table911[[#This Row],[Yield (tons/ha) Corrected to 15% Moisture]]*1000</f>
        <v>7041.0494166666667</v>
      </c>
      <c r="AJ6" s="154" t="s">
        <v>850</v>
      </c>
      <c r="AK6" s="154">
        <f t="shared" si="0"/>
        <v>3069.1934407250001</v>
      </c>
      <c r="AL6" s="10" t="s">
        <v>925</v>
      </c>
      <c r="AM6" s="10">
        <f t="shared" si="1"/>
        <v>47.175031091666668</v>
      </c>
      <c r="AO6" s="10" t="s">
        <v>678</v>
      </c>
      <c r="AP6" s="10">
        <f>AVERAGE(AI39:AI47)</f>
        <v>7463.8993055555557</v>
      </c>
      <c r="AQ6" s="10">
        <f>STDEV(AI39:AI47)</f>
        <v>534.86264024748812</v>
      </c>
      <c r="AR6" s="10">
        <f>AVERAGE(AI48:AI50)</f>
        <v>6045.3161666666665</v>
      </c>
      <c r="AS6" s="10">
        <f>STDEV(AI48:AI50)</f>
        <v>1404.8722493560613</v>
      </c>
      <c r="AT6" s="14"/>
    </row>
    <row r="7" spans="1:60">
      <c r="A7" s="10">
        <v>2021</v>
      </c>
      <c r="B7" s="10">
        <v>293</v>
      </c>
      <c r="C7" s="10">
        <v>1</v>
      </c>
      <c r="D7" s="10">
        <v>3</v>
      </c>
      <c r="E7" s="78" t="s">
        <v>804</v>
      </c>
      <c r="F7" s="10">
        <v>7</v>
      </c>
      <c r="G7" s="10">
        <v>611.5</v>
      </c>
      <c r="H7" s="10">
        <v>579.9</v>
      </c>
      <c r="I7" s="10">
        <f>Table8[[#This Row],[Wet Weight of 3 plants (g) ]]-55.8</f>
        <v>524.1</v>
      </c>
      <c r="J7" s="10">
        <f>(Table8[[#This Row],[Wet - Bag Weight (g) ]]/3)*Table8[[#This Row],['# of Plants]]</f>
        <v>1222.9000000000001</v>
      </c>
      <c r="K7" s="10">
        <v>273.5</v>
      </c>
      <c r="L7" s="10">
        <f>Table8[[#This Row],[DRY Sample Weight (g) (3 Plants) ]]-55.8</f>
        <v>217.7</v>
      </c>
      <c r="M7" s="10">
        <f>Table8[[#This Row],[Wet weight of 1m2 of corn]]-Table8[[#This Row],[Dry Weight of 1m2 of Corn]]</f>
        <v>714.93333333333339</v>
      </c>
      <c r="N7" s="10">
        <f>(Table8[[#This Row],[DRY Sample - Bag Weight (g) ]]/3)*Table8[[#This Row],['# of Plants]]</f>
        <v>507.96666666666664</v>
      </c>
      <c r="O7" s="79">
        <f>Table8[[#This Row],[Dry Weight of 1m2 of Corn]]+J97</f>
        <v>636.39766666666662</v>
      </c>
      <c r="Q7" s="10">
        <v>1</v>
      </c>
      <c r="R7" s="10">
        <v>5</v>
      </c>
      <c r="S7" s="10" t="s">
        <v>389</v>
      </c>
      <c r="T7" s="10">
        <f>(J11+J12)/2</f>
        <v>1061.6666666666667</v>
      </c>
      <c r="U7" s="10">
        <f>(O11+O12)/2</f>
        <v>676.47033333333343</v>
      </c>
      <c r="V7" s="10">
        <f>Table911[[#This Row],[Biomass Wet Weight (g/m2)]]-Table911[[#This Row],[Dry Sample Weight (g/m2) ]]</f>
        <v>385.19633333333331</v>
      </c>
      <c r="W7" s="10">
        <f>(Table911[[#This Row],[Moisture loss (g)]]/Table911[[#This Row],[Biomass Wet Weight (g/m2)]])*100</f>
        <v>36.282229199372054</v>
      </c>
      <c r="X7" s="10">
        <f>Table911[[#This Row],[Dry Sample Weight (g/m2) ]]*(10000/1000)</f>
        <v>6764.7033333333347</v>
      </c>
      <c r="Y7" s="10">
        <f>Table911[[#This Row],[Dry Yield (kg/ha)]]*1.155</f>
        <v>7813.232350000002</v>
      </c>
      <c r="Z7" s="79">
        <f>Table911[[#This Row],[Dry Yield (kg/ha)]]/1000</f>
        <v>6.7647033333333351</v>
      </c>
      <c r="AA7" s="79">
        <f>Table911[[#This Row],[Dry Yield (tons/ha)]]*1.15</f>
        <v>7.7794088333333349</v>
      </c>
      <c r="AB7" s="79" t="s">
        <v>930</v>
      </c>
      <c r="AC7" s="79">
        <f>Table911[[#This Row],[Dry Yield (tons/ha)]]*(Table911[[#This Row],[%C  (Dry)]]/100)</f>
        <v>2.8722930353333345</v>
      </c>
      <c r="AD7" s="79" t="s">
        <v>931</v>
      </c>
      <c r="AE7" s="79">
        <f>Table911[[#This Row],[Dry Yield (tons/ha)]]*(Table911[[#This Row],[%N (Dry)]]/100)</f>
        <v>6.0882330000000026E-2</v>
      </c>
      <c r="AF7" s="79">
        <f>Table911[[#This Row],[Yield (kg/ha) Corrected to 15% M]]*(Table911[[#This Row],[%N (Dry)]]/100)</f>
        <v>70.31909115000002</v>
      </c>
      <c r="AG7" s="79"/>
      <c r="AH7" s="10" t="s">
        <v>675</v>
      </c>
      <c r="AI7" s="154">
        <f>Table911[[#This Row],[Yield (tons/ha) Corrected to 15% Moisture]]*1000</f>
        <v>7779.4088333333348</v>
      </c>
      <c r="AJ7" s="154" t="s">
        <v>930</v>
      </c>
      <c r="AK7" s="154">
        <f t="shared" si="0"/>
        <v>3303.1369906333343</v>
      </c>
      <c r="AL7" s="10" t="s">
        <v>931</v>
      </c>
      <c r="AM7" s="10">
        <f t="shared" si="1"/>
        <v>70.014679500000028</v>
      </c>
      <c r="AP7" s="14"/>
      <c r="AQ7" s="14"/>
      <c r="AR7" s="14"/>
      <c r="AS7" s="14"/>
      <c r="AT7" s="14"/>
    </row>
    <row r="8" spans="1:60">
      <c r="A8" s="10">
        <v>2021</v>
      </c>
      <c r="B8" s="10">
        <v>293</v>
      </c>
      <c r="C8" s="10">
        <v>1</v>
      </c>
      <c r="D8" s="10">
        <v>3</v>
      </c>
      <c r="E8" s="10" t="s">
        <v>807</v>
      </c>
      <c r="F8" s="10">
        <v>7</v>
      </c>
      <c r="G8" s="10">
        <v>597</v>
      </c>
      <c r="H8" s="10">
        <v>458.1</v>
      </c>
      <c r="I8" s="10">
        <f>Table8[[#This Row],[Wet Weight of 3 plants (g) ]]-55.8</f>
        <v>402.3</v>
      </c>
      <c r="J8" s="10">
        <f>(Table8[[#This Row],[Wet - Bag Weight (g) ]]/3)*Table8[[#This Row],['# of Plants]]</f>
        <v>938.69999999999993</v>
      </c>
      <c r="K8" s="10">
        <v>294.89999999999998</v>
      </c>
      <c r="L8" s="10">
        <f>Table8[[#This Row],[DRY Sample Weight (g) (3 Plants) ]]-55.8</f>
        <v>239.09999999999997</v>
      </c>
      <c r="M8" s="10">
        <f>Table8[[#This Row],[Wet weight of 1m2 of corn]]-Table8[[#This Row],[Dry Weight of 1m2 of Corn]]</f>
        <v>380.80000000000007</v>
      </c>
      <c r="N8" s="10">
        <f>(Table8[[#This Row],[DRY Sample - Bag Weight (g) ]]/3)*Table8[[#This Row],['# of Plants]]</f>
        <v>557.89999999999986</v>
      </c>
      <c r="O8" s="79">
        <f>Table8[[#This Row],[Dry Weight of 1m2 of Corn]]+J98</f>
        <v>685.82299999999987</v>
      </c>
      <c r="Q8" s="10">
        <v>1</v>
      </c>
      <c r="R8" s="10">
        <v>6</v>
      </c>
      <c r="S8" s="10" t="s">
        <v>390</v>
      </c>
      <c r="T8" s="10">
        <f>(J13+J14)/2</f>
        <v>1054.75</v>
      </c>
      <c r="U8" s="10">
        <f>(O13+O14)/2</f>
        <v>679.9186666666667</v>
      </c>
      <c r="V8" s="10">
        <f>Table911[[#This Row],[Biomass Wet Weight (g/m2)]]-Table911[[#This Row],[Dry Sample Weight (g/m2) ]]</f>
        <v>374.8313333333333</v>
      </c>
      <c r="W8" s="10">
        <f>(Table911[[#This Row],[Moisture loss (g)]]/Table911[[#This Row],[Biomass Wet Weight (g/m2)]])*100</f>
        <v>35.537457533380731</v>
      </c>
      <c r="X8" s="10">
        <f>Table911[[#This Row],[Dry Sample Weight (g/m2) ]]*(10000/1000)</f>
        <v>6799.1866666666665</v>
      </c>
      <c r="Y8" s="10">
        <f>Table911[[#This Row],[Dry Yield (kg/ha)]]*1.155</f>
        <v>7853.0605999999998</v>
      </c>
      <c r="Z8" s="79">
        <f>Table911[[#This Row],[Dry Yield (kg/ha)]]/1000</f>
        <v>6.7991866666666665</v>
      </c>
      <c r="AA8" s="79">
        <f>Table911[[#This Row],[Dry Yield (tons/ha)]]*1.15</f>
        <v>7.8190646666666659</v>
      </c>
      <c r="AB8" s="79" t="s">
        <v>932</v>
      </c>
      <c r="AC8" s="79">
        <f>Table911[[#This Row],[Dry Yield (tons/ha)]]*(Table911[[#This Row],[%C  (Dry)]]/100)</f>
        <v>2.9440478266666665</v>
      </c>
      <c r="AD8" s="79" t="s">
        <v>933</v>
      </c>
      <c r="AE8" s="79">
        <f>Table911[[#This Row],[Dry Yield (tons/ha)]]*(Table911[[#This Row],[%N (Dry)]]/100)</f>
        <v>5.1673818666666663E-2</v>
      </c>
      <c r="AF8" s="79">
        <f>Table911[[#This Row],[Yield (kg/ha) Corrected to 15% M]]*(Table911[[#This Row],[%N (Dry)]]/100)</f>
        <v>59.683260560000001</v>
      </c>
      <c r="AG8" s="79"/>
      <c r="AH8" s="10" t="s">
        <v>675</v>
      </c>
      <c r="AI8" s="154">
        <f>Table911[[#This Row],[Yield (tons/ha) Corrected to 15% Moisture]]*1000</f>
        <v>7819.0646666666662</v>
      </c>
      <c r="AJ8" s="154" t="s">
        <v>932</v>
      </c>
      <c r="AK8" s="154">
        <f t="shared" si="0"/>
        <v>3385.6550006666666</v>
      </c>
      <c r="AL8" s="10" t="s">
        <v>933</v>
      </c>
      <c r="AM8" s="10">
        <f t="shared" si="1"/>
        <v>59.424891466666665</v>
      </c>
    </row>
    <row r="9" spans="1:60">
      <c r="A9" s="10">
        <v>2021</v>
      </c>
      <c r="B9" s="10">
        <v>293</v>
      </c>
      <c r="C9" s="10">
        <v>1</v>
      </c>
      <c r="D9" s="10">
        <v>4</v>
      </c>
      <c r="E9" s="10" t="s">
        <v>804</v>
      </c>
      <c r="F9" s="10">
        <v>8</v>
      </c>
      <c r="G9" s="10">
        <v>899</v>
      </c>
      <c r="H9" s="10">
        <v>499.2</v>
      </c>
      <c r="I9" s="10">
        <f>Table8[[#This Row],[Wet Weight of 3 plants (g) ]]-55.8</f>
        <v>443.4</v>
      </c>
      <c r="J9" s="10">
        <f>(Table8[[#This Row],[Wet - Bag Weight (g) ]]/3)*Table8[[#This Row],['# of Plants]]</f>
        <v>1182.3999999999999</v>
      </c>
      <c r="K9" s="10">
        <v>231.8</v>
      </c>
      <c r="L9" s="10">
        <f>Table8[[#This Row],[DRY Sample Weight (g) (3 Plants) ]]-55.8</f>
        <v>176</v>
      </c>
      <c r="M9" s="10">
        <f>Table8[[#This Row],[Wet weight of 1m2 of corn]]-Table8[[#This Row],[Dry Weight of 1m2 of Corn]]</f>
        <v>713.06666666666661</v>
      </c>
      <c r="N9" s="10">
        <f>(Table8[[#This Row],[DRY Sample - Bag Weight (g) ]]/3)*Table8[[#This Row],['# of Plants]]</f>
        <v>469.33333333333331</v>
      </c>
      <c r="O9" s="79">
        <f>Table8[[#This Row],[Dry Weight of 1m2 of Corn]]+J99</f>
        <v>595.92033333333336</v>
      </c>
      <c r="Q9" s="10">
        <v>1</v>
      </c>
      <c r="R9" s="10">
        <v>7</v>
      </c>
      <c r="S9" s="10" t="s">
        <v>391</v>
      </c>
      <c r="T9" s="10">
        <f>(J15+J16)/2</f>
        <v>1101.0999999999999</v>
      </c>
      <c r="U9" s="10">
        <f>(O15+O16)/2</f>
        <v>694.07933333333324</v>
      </c>
      <c r="V9" s="10">
        <f>Table911[[#This Row],[Biomass Wet Weight (g/m2)]]-Table911[[#This Row],[Dry Sample Weight (g/m2) ]]</f>
        <v>407.02066666666667</v>
      </c>
      <c r="W9" s="10">
        <f>(Table911[[#This Row],[Moisture loss (g)]]/Table911[[#This Row],[Biomass Wet Weight (g/m2)]])*100</f>
        <v>36.964913874004786</v>
      </c>
      <c r="X9" s="10">
        <f>Table911[[#This Row],[Dry Sample Weight (g/m2) ]]*(10000/1000)</f>
        <v>6940.7933333333322</v>
      </c>
      <c r="Y9" s="10">
        <f>Table911[[#This Row],[Dry Yield (kg/ha)]]*1.155</f>
        <v>8016.6162999999988</v>
      </c>
      <c r="Z9" s="79">
        <f>Table911[[#This Row],[Dry Yield (kg/ha)]]/1000</f>
        <v>6.9407933333333318</v>
      </c>
      <c r="AA9" s="79">
        <f>Table911[[#This Row],[Dry Yield (tons/ha)]]*1.15</f>
        <v>7.9819123333333311</v>
      </c>
      <c r="AB9" s="79" t="s">
        <v>824</v>
      </c>
      <c r="AC9" s="79">
        <f>Table911[[#This Row],[Dry Yield (tons/ha)]]*(Table911[[#This Row],[%C  (Dry)]]/100)</f>
        <v>2.9803766573333328</v>
      </c>
      <c r="AD9" s="79" t="s">
        <v>934</v>
      </c>
      <c r="AE9" s="79">
        <f>Table911[[#This Row],[Dry Yield (tons/ha)]]*(Table911[[#This Row],[%N (Dry)]]/100)</f>
        <v>4.7891473999999989E-2</v>
      </c>
      <c r="AF9" s="79">
        <f>Table911[[#This Row],[Yield (kg/ha) Corrected to 15% M]]*(Table911[[#This Row],[%N (Dry)]]/100)</f>
        <v>55.314652469999992</v>
      </c>
      <c r="AG9" s="79"/>
      <c r="AH9" s="10" t="s">
        <v>675</v>
      </c>
      <c r="AI9" s="154">
        <f>Table911[[#This Row],[Yield (tons/ha) Corrected to 15% Moisture]]*1000</f>
        <v>7981.9123333333309</v>
      </c>
      <c r="AJ9" s="154" t="s">
        <v>824</v>
      </c>
      <c r="AK9" s="154">
        <f t="shared" si="0"/>
        <v>3427.4331559333323</v>
      </c>
      <c r="AL9" s="10" t="s">
        <v>934</v>
      </c>
      <c r="AM9" s="10">
        <f t="shared" si="1"/>
        <v>55.075195099999981</v>
      </c>
    </row>
    <row r="10" spans="1:60">
      <c r="A10" s="10">
        <v>2021</v>
      </c>
      <c r="B10" s="10">
        <v>293</v>
      </c>
      <c r="C10" s="10">
        <v>1</v>
      </c>
      <c r="D10" s="10">
        <v>4</v>
      </c>
      <c r="E10" s="10" t="s">
        <v>807</v>
      </c>
      <c r="F10" s="10">
        <v>7</v>
      </c>
      <c r="G10" s="10">
        <v>475</v>
      </c>
      <c r="H10" s="10">
        <v>437.8</v>
      </c>
      <c r="I10" s="10">
        <f>Table8[[#This Row],[Wet Weight of 3 plants (g) ]]-55.8</f>
        <v>382</v>
      </c>
      <c r="J10" s="10">
        <f>(Table8[[#This Row],[Wet - Bag Weight (g) ]]/3)*Table8[[#This Row],['# of Plants]]</f>
        <v>891.33333333333326</v>
      </c>
      <c r="K10" s="10">
        <v>274.8</v>
      </c>
      <c r="L10" s="10">
        <f>Table8[[#This Row],[DRY Sample Weight (g) (3 Plants) ]]-55.8</f>
        <v>219</v>
      </c>
      <c r="M10" s="10">
        <f>Table8[[#This Row],[Wet weight of 1m2 of corn]]-Table8[[#This Row],[Dry Weight of 1m2 of Corn]]</f>
        <v>380.33333333333326</v>
      </c>
      <c r="N10" s="10">
        <f>(Table8[[#This Row],[DRY Sample - Bag Weight (g) ]]/3)*Table8[[#This Row],['# of Plants]]</f>
        <v>511</v>
      </c>
      <c r="O10" s="79">
        <f>Table8[[#This Row],[Dry Weight of 1m2 of Corn]]+J100</f>
        <v>628.61</v>
      </c>
      <c r="Q10" s="10">
        <v>1</v>
      </c>
      <c r="R10" s="10">
        <v>8</v>
      </c>
      <c r="S10" s="10" t="s">
        <v>392</v>
      </c>
      <c r="T10" s="10">
        <f>(J17+J18)/2</f>
        <v>728.81666666666672</v>
      </c>
      <c r="U10" s="10">
        <f>(O17+O18)/2</f>
        <v>606.18233333333342</v>
      </c>
      <c r="V10" s="10">
        <f>Table911[[#This Row],[Biomass Wet Weight (g/m2)]]-Table911[[#This Row],[Dry Sample Weight (g/m2) ]]</f>
        <v>122.6343333333333</v>
      </c>
      <c r="W10" s="10">
        <f>(Table911[[#This Row],[Moisture loss (g)]]/Table911[[#This Row],[Biomass Wet Weight (g/m2)]])*100</f>
        <v>16.826499576939781</v>
      </c>
      <c r="X10" s="10">
        <f>Table911[[#This Row],[Dry Sample Weight (g/m2) ]]*(10000/1000)</f>
        <v>6061.8233333333337</v>
      </c>
      <c r="Y10" s="10">
        <f>Table911[[#This Row],[Dry Yield (kg/ha)]]*1.155</f>
        <v>7001.4059500000003</v>
      </c>
      <c r="Z10" s="79">
        <f>Table911[[#This Row],[Dry Yield (kg/ha)]]/1000</f>
        <v>6.0618233333333338</v>
      </c>
      <c r="AA10" s="79">
        <f>Table911[[#This Row],[Dry Yield (tons/ha)]]*1.15</f>
        <v>6.9710968333333332</v>
      </c>
      <c r="AB10" s="79" t="s">
        <v>935</v>
      </c>
      <c r="AC10" s="79">
        <f>Table911[[#This Row],[Dry Yield (tons/ha)]]*(Table911[[#This Row],[%C  (Dry)]]/100)</f>
        <v>2.5708192756666666</v>
      </c>
      <c r="AD10" s="79" t="s">
        <v>936</v>
      </c>
      <c r="AE10" s="79">
        <f>Table911[[#This Row],[Dry Yield (tons/ha)]]*(Table911[[#This Row],[%N (Dry)]]/100)</f>
        <v>5.0313133666666669E-2</v>
      </c>
      <c r="AF10" s="79">
        <f>Table911[[#This Row],[Yield (kg/ha) Corrected to 15% M]]*(Table911[[#This Row],[%N (Dry)]]/100)</f>
        <v>58.111669385000006</v>
      </c>
      <c r="AG10" s="79"/>
      <c r="AH10" s="10" t="s">
        <v>675</v>
      </c>
      <c r="AI10" s="154">
        <f>Table911[[#This Row],[Yield (tons/ha) Corrected to 15% Moisture]]*1000</f>
        <v>6971.0968333333331</v>
      </c>
      <c r="AJ10" s="154" t="s">
        <v>935</v>
      </c>
      <c r="AK10" s="154">
        <f t="shared" si="0"/>
        <v>2956.4421670166662</v>
      </c>
      <c r="AL10" s="10" t="s">
        <v>936</v>
      </c>
      <c r="AM10" s="10">
        <f t="shared" si="1"/>
        <v>57.860103716666664</v>
      </c>
      <c r="AO10" s="76" t="s">
        <v>921</v>
      </c>
      <c r="AP10" s="76" t="s">
        <v>937</v>
      </c>
      <c r="AQ10" s="76" t="s">
        <v>586</v>
      </c>
      <c r="AR10" s="76" t="s">
        <v>938</v>
      </c>
      <c r="AS10" s="76" t="s">
        <v>586</v>
      </c>
    </row>
    <row r="11" spans="1:60">
      <c r="A11" s="10">
        <v>2021</v>
      </c>
      <c r="B11" s="10">
        <v>293</v>
      </c>
      <c r="C11" s="10">
        <v>1</v>
      </c>
      <c r="D11" s="10">
        <v>5</v>
      </c>
      <c r="E11" s="78" t="s">
        <v>804</v>
      </c>
      <c r="F11" s="10">
        <v>7</v>
      </c>
      <c r="G11" s="10">
        <v>816.7</v>
      </c>
      <c r="H11" s="10">
        <v>439.4</v>
      </c>
      <c r="I11" s="10">
        <f>Table8[[#This Row],[Wet Weight of 3 plants (g) ]]-55.8</f>
        <v>383.59999999999997</v>
      </c>
      <c r="J11" s="10">
        <f>(Table8[[#This Row],[Wet - Bag Weight (g) ]]/3)*Table8[[#This Row],['# of Plants]]</f>
        <v>895.06666666666661</v>
      </c>
      <c r="K11" s="10">
        <v>251.1</v>
      </c>
      <c r="L11" s="10">
        <f>Table8[[#This Row],[DRY Sample Weight (g) (3 Plants) ]]-55.8</f>
        <v>195.3</v>
      </c>
      <c r="M11" s="10">
        <f>Table8[[#This Row],[Wet weight of 1m2 of corn]]-Table8[[#This Row],[Dry Weight of 1m2 of Corn]]</f>
        <v>439.36666666666656</v>
      </c>
      <c r="N11" s="10">
        <f>(Table8[[#This Row],[DRY Sample - Bag Weight (g) ]]/3)*Table8[[#This Row],['# of Plants]]</f>
        <v>455.70000000000005</v>
      </c>
      <c r="O11" s="79">
        <f>Table8[[#This Row],[Dry Weight of 1m2 of Corn]]+J101</f>
        <v>589.75300000000004</v>
      </c>
      <c r="Q11" s="10">
        <v>1</v>
      </c>
      <c r="R11" s="10">
        <v>9</v>
      </c>
      <c r="S11" s="10" t="s">
        <v>393</v>
      </c>
      <c r="T11" s="10">
        <f>(J19+J20)/2</f>
        <v>639.33333333333326</v>
      </c>
      <c r="U11" s="10">
        <f>(O19+O20)/2</f>
        <v>513.82566666666662</v>
      </c>
      <c r="V11" s="10">
        <f>Table911[[#This Row],[Biomass Wet Weight (g/m2)]]-Table911[[#This Row],[Dry Sample Weight (g/m2) ]]</f>
        <v>125.50766666666664</v>
      </c>
      <c r="W11" s="10">
        <f>(Table911[[#This Row],[Moisture loss (g)]]/Table911[[#This Row],[Biomass Wet Weight (g/m2)]])*100</f>
        <v>19.631021897810218</v>
      </c>
      <c r="X11" s="10">
        <f>Table911[[#This Row],[Dry Sample Weight (g/m2) ]]*(10000/1000)</f>
        <v>5138.2566666666662</v>
      </c>
      <c r="Y11" s="10">
        <f>Table911[[#This Row],[Dry Yield (kg/ha)]]*1.155</f>
        <v>5934.6864499999992</v>
      </c>
      <c r="Z11" s="79">
        <f>Table911[[#This Row],[Dry Yield (kg/ha)]]/1000</f>
        <v>5.138256666666666</v>
      </c>
      <c r="AA11" s="79">
        <f>Table911[[#This Row],[Dry Yield (tons/ha)]]*1.15</f>
        <v>5.9089951666666654</v>
      </c>
      <c r="AB11" s="79" t="s">
        <v>939</v>
      </c>
      <c r="AC11" s="79">
        <f>Table911[[#This Row],[Dry Yield (tons/ha)]]*(Table911[[#This Row],[%C  (Dry)]]/100)</f>
        <v>2.2680264926666664</v>
      </c>
      <c r="AD11" s="79" t="s">
        <v>940</v>
      </c>
      <c r="AE11" s="79">
        <f>Table911[[#This Row],[Dry Yield (tons/ha)]]*(Table911[[#This Row],[%N (Dry)]]/100)</f>
        <v>4.1619878999999999E-2</v>
      </c>
      <c r="AF11" s="79">
        <f>Table911[[#This Row],[Yield (kg/ha) Corrected to 15% M]]*(Table911[[#This Row],[%N (Dry)]]/100)</f>
        <v>48.070960245000002</v>
      </c>
      <c r="AG11" s="79"/>
      <c r="AH11" s="10" t="s">
        <v>675</v>
      </c>
      <c r="AI11" s="154">
        <f>Table911[[#This Row],[Yield (tons/ha) Corrected to 15% Moisture]]*1000</f>
        <v>5908.9951666666657</v>
      </c>
      <c r="AJ11" s="154" t="s">
        <v>939</v>
      </c>
      <c r="AK11" s="154">
        <f t="shared" si="0"/>
        <v>2608.2304665666661</v>
      </c>
      <c r="AL11" s="10" t="s">
        <v>940</v>
      </c>
      <c r="AM11" s="10">
        <f t="shared" si="1"/>
        <v>47.862860849999997</v>
      </c>
      <c r="AN11">
        <f>AVERAGE(AM3:AM11)</f>
        <v>56.817630654629625</v>
      </c>
      <c r="AO11" s="10" t="s">
        <v>675</v>
      </c>
      <c r="AP11" s="10">
        <f>AVERAGE(AK3:AK11)</f>
        <v>3105.9207911361109</v>
      </c>
      <c r="AQ11" s="10">
        <f>STDEV(AK3:AK11)</f>
        <v>278.47784882725239</v>
      </c>
      <c r="AR11" s="10">
        <f>AVERAGE(AM3:AM11)</f>
        <v>56.817630654629625</v>
      </c>
      <c r="AS11" s="10">
        <f>STDEV(AM3:AM11)</f>
        <v>8.0239572995727553</v>
      </c>
    </row>
    <row r="12" spans="1:60">
      <c r="A12" s="10">
        <v>2021</v>
      </c>
      <c r="B12" s="10">
        <v>293</v>
      </c>
      <c r="C12" s="10">
        <v>1</v>
      </c>
      <c r="D12" s="10">
        <v>5</v>
      </c>
      <c r="E12" s="10" t="s">
        <v>807</v>
      </c>
      <c r="F12" s="10">
        <v>7</v>
      </c>
      <c r="G12" s="10">
        <v>750.5</v>
      </c>
      <c r="H12" s="10">
        <v>582.20000000000005</v>
      </c>
      <c r="I12" s="10">
        <f>Table8[[#This Row],[Wet Weight of 3 plants (g) ]]-55.8</f>
        <v>526.40000000000009</v>
      </c>
      <c r="J12" s="10">
        <f>(Table8[[#This Row],[Wet - Bag Weight (g) ]]/3)*Table8[[#This Row],['# of Plants]]</f>
        <v>1228.2666666666669</v>
      </c>
      <c r="K12" s="10">
        <v>311.3</v>
      </c>
      <c r="L12" s="10">
        <f>Table8[[#This Row],[DRY Sample Weight (g) (3 Plants) ]]-55.8</f>
        <v>255.5</v>
      </c>
      <c r="M12" s="10">
        <f>Table8[[#This Row],[Wet weight of 1m2 of corn]]-Table8[[#This Row],[Dry Weight of 1m2 of Corn]]</f>
        <v>632.10000000000014</v>
      </c>
      <c r="N12" s="10">
        <f>(Table8[[#This Row],[DRY Sample - Bag Weight (g) ]]/3)*Table8[[#This Row],['# of Plants]]</f>
        <v>596.16666666666674</v>
      </c>
      <c r="O12" s="79">
        <f>Table8[[#This Row],[Dry Weight of 1m2 of Corn]]+J102</f>
        <v>763.1876666666667</v>
      </c>
      <c r="Q12" s="6">
        <v>1</v>
      </c>
      <c r="R12" s="6">
        <v>11</v>
      </c>
      <c r="S12" s="6" t="s">
        <v>394</v>
      </c>
      <c r="T12" s="6">
        <v>726.36666666666667</v>
      </c>
      <c r="U12" s="6">
        <f>O21</f>
        <v>489.33533333333327</v>
      </c>
      <c r="V12" s="6">
        <f>Table911[[#This Row],[Biomass Wet Weight (g/m2)]]-Table911[[#This Row],[Dry Sample Weight (g/m2) ]]</f>
        <v>237.03133333333341</v>
      </c>
      <c r="W12" s="6">
        <f>(Table911[[#This Row],[Moisture loss (g)]]/Table911[[#This Row],[Biomass Wet Weight (g/m2)]])*100</f>
        <v>32.632462943417018</v>
      </c>
      <c r="X12" s="6">
        <f>Table911[[#This Row],[Dry Sample Weight (g/m2) ]]*(10000/1000)</f>
        <v>4893.3533333333326</v>
      </c>
      <c r="Y12" s="6">
        <f>Table911[[#This Row],[Dry Yield (kg/ha)]]*1.155</f>
        <v>5651.8230999999996</v>
      </c>
      <c r="Z12" s="141">
        <f>Table911[[#This Row],[Dry Yield (kg/ha)]]/1000</f>
        <v>4.8933533333333328</v>
      </c>
      <c r="AA12" s="141">
        <f>Table911[[#This Row],[Dry Yield (tons/ha)]]*1.15</f>
        <v>5.6273563333333323</v>
      </c>
      <c r="AB12" s="141" t="s">
        <v>941</v>
      </c>
      <c r="AC12" s="141">
        <f>Table911[[#This Row],[Dry Yield (tons/ha)]]*(Table911[[#This Row],[%C  (Dry)]]/100)</f>
        <v>2.1432887599999995</v>
      </c>
      <c r="AD12" s="141" t="s">
        <v>942</v>
      </c>
      <c r="AE12" s="141">
        <f>Table911[[#This Row],[Dry Yield (tons/ha)]]*(Table911[[#This Row],[%N (Dry)]]/100)</f>
        <v>3.0828125999999997E-2</v>
      </c>
      <c r="AF12" s="141">
        <f>Table911[[#This Row],[Yield (kg/ha) Corrected to 15% M]]*(Table911[[#This Row],[%N (Dry)]]/100)</f>
        <v>35.60648553</v>
      </c>
      <c r="AG12" s="141"/>
      <c r="AH12" s="6" t="s">
        <v>682</v>
      </c>
      <c r="AI12" s="141">
        <f>Table911[[#This Row],[Yield (tons/ha) Corrected to 15% Moisture]]*1000</f>
        <v>5627.3563333333323</v>
      </c>
      <c r="AJ12" s="141" t="s">
        <v>941</v>
      </c>
      <c r="AK12" s="141">
        <f t="shared" si="0"/>
        <v>2464.7820739999993</v>
      </c>
      <c r="AL12" s="6" t="s">
        <v>942</v>
      </c>
      <c r="AM12" s="6">
        <f t="shared" si="1"/>
        <v>35.452344899999993</v>
      </c>
      <c r="AO12" s="10" t="s">
        <v>943</v>
      </c>
      <c r="AP12" s="10">
        <f>AVERAGE(AK12:AK14)</f>
        <v>2655.8339847833327</v>
      </c>
      <c r="AQ12" s="10">
        <f>STDEV(AK12:AK14)</f>
        <v>751.7004970687376</v>
      </c>
      <c r="AR12" s="10">
        <f>AVERAGE(AM12:AM14)</f>
        <v>33.86337571666666</v>
      </c>
      <c r="AS12" s="10">
        <f>STDEV(AM12:AM14)</f>
        <v>3.1029798962393436</v>
      </c>
    </row>
    <row r="13" spans="1:60">
      <c r="A13" s="10">
        <v>2021</v>
      </c>
      <c r="B13" s="10">
        <v>293</v>
      </c>
      <c r="C13" s="10">
        <v>1</v>
      </c>
      <c r="D13" s="10">
        <v>6</v>
      </c>
      <c r="E13" s="10" t="s">
        <v>804</v>
      </c>
      <c r="F13" s="10">
        <v>7</v>
      </c>
      <c r="G13" s="10">
        <v>730.1</v>
      </c>
      <c r="H13" s="10">
        <v>588.29999999999995</v>
      </c>
      <c r="I13" s="10">
        <f>Table8[[#This Row],[Wet Weight of 3 plants (g) ]]-55.8</f>
        <v>532.5</v>
      </c>
      <c r="J13" s="10">
        <f>(Table8[[#This Row],[Wet - Bag Weight (g) ]]/3)*Table8[[#This Row],['# of Plants]]</f>
        <v>1242.5</v>
      </c>
      <c r="K13" s="10">
        <v>308.8</v>
      </c>
      <c r="L13" s="10">
        <f>Table8[[#This Row],[DRY Sample Weight (g) (3 Plants) ]]-55.8</f>
        <v>253</v>
      </c>
      <c r="M13" s="10">
        <f>Table8[[#This Row],[Wet weight of 1m2 of corn]]-Table8[[#This Row],[Dry Weight of 1m2 of Corn]]</f>
        <v>652.16666666666674</v>
      </c>
      <c r="N13" s="10">
        <f>(Table8[[#This Row],[DRY Sample - Bag Weight (g) ]]/3)*Table8[[#This Row],['# of Plants]]</f>
        <v>590.33333333333326</v>
      </c>
      <c r="O13" s="79">
        <f>Table8[[#This Row],[Dry Weight of 1m2 of Corn]]+J103</f>
        <v>730.14933333333329</v>
      </c>
      <c r="Q13" s="6">
        <v>1</v>
      </c>
      <c r="R13" s="6">
        <v>12</v>
      </c>
      <c r="S13" s="6" t="s">
        <v>395</v>
      </c>
      <c r="T13" s="6">
        <v>659.19999999999993</v>
      </c>
      <c r="U13" s="6">
        <f>O22</f>
        <v>405.18699999999995</v>
      </c>
      <c r="V13" s="6">
        <f>Table911[[#This Row],[Biomass Wet Weight (g/m2)]]-Table911[[#This Row],[Dry Sample Weight (g/m2) ]]</f>
        <v>254.01299999999998</v>
      </c>
      <c r="W13" s="6">
        <f>(Table911[[#This Row],[Moisture loss (g)]]/Table911[[#This Row],[Biomass Wet Weight (g/m2)]])*100</f>
        <v>38.53352548543689</v>
      </c>
      <c r="X13" s="6">
        <f>Table911[[#This Row],[Dry Sample Weight (g/m2) ]]*(10000/1000)</f>
        <v>4051.8699999999994</v>
      </c>
      <c r="Y13" s="6">
        <f>Table911[[#This Row],[Dry Yield (kg/ha)]]*1.155</f>
        <v>4679.9098499999991</v>
      </c>
      <c r="Z13" s="141">
        <f>Table911[[#This Row],[Dry Yield (kg/ha)]]/1000</f>
        <v>4.0518699999999992</v>
      </c>
      <c r="AA13" s="141">
        <f>Table911[[#This Row],[Dry Yield (tons/ha)]]*1.15</f>
        <v>4.6596504999999988</v>
      </c>
      <c r="AB13" s="141" t="s">
        <v>944</v>
      </c>
      <c r="AC13" s="141">
        <f>Table911[[#This Row],[Dry Yield (tons/ha)]]*(Table911[[#This Row],[%C  (Dry)]]/100)</f>
        <v>1.7548648969999998</v>
      </c>
      <c r="AD13" s="141" t="s">
        <v>945</v>
      </c>
      <c r="AE13" s="141">
        <f>Table911[[#This Row],[Dry Yield (tons/ha)]]*(Table911[[#This Row],[%N (Dry)]]/100)</f>
        <v>2.6337154999999998E-2</v>
      </c>
      <c r="AF13" s="141">
        <f>Table911[[#This Row],[Yield (kg/ha) Corrected to 15% M]]*(Table911[[#This Row],[%N (Dry)]]/100)</f>
        <v>30.419414024999998</v>
      </c>
      <c r="AG13" s="141"/>
      <c r="AH13" s="6" t="s">
        <v>682</v>
      </c>
      <c r="AI13" s="141">
        <f>Table911[[#This Row],[Yield (tons/ha) Corrected to 15% Moisture]]*1000</f>
        <v>4659.6504999999988</v>
      </c>
      <c r="AJ13" s="141" t="s">
        <v>944</v>
      </c>
      <c r="AK13" s="141">
        <f t="shared" si="0"/>
        <v>2018.0946315499996</v>
      </c>
      <c r="AL13" s="6" t="s">
        <v>945</v>
      </c>
      <c r="AM13" s="6">
        <f t="shared" si="1"/>
        <v>30.287728249999994</v>
      </c>
      <c r="AO13" s="10" t="s">
        <v>676</v>
      </c>
      <c r="AP13" s="10">
        <f>AVERAGE(AK15:AK23)</f>
        <v>3213.5308307185182</v>
      </c>
      <c r="AQ13" s="10">
        <f>STDEV(AK15:AK23)</f>
        <v>92.496087838619488</v>
      </c>
      <c r="AR13" s="10">
        <f>AVERAGE(AM15:AM23)</f>
        <v>49.311577907407404</v>
      </c>
      <c r="AS13" s="10">
        <f>STDEV(AM15:AM23)</f>
        <v>6.0938089970323901</v>
      </c>
    </row>
    <row r="14" spans="1:60">
      <c r="A14" s="10">
        <v>2021</v>
      </c>
      <c r="B14" s="10">
        <v>293</v>
      </c>
      <c r="C14" s="10">
        <v>1</v>
      </c>
      <c r="D14" s="10">
        <v>6</v>
      </c>
      <c r="E14" s="10" t="s">
        <v>807</v>
      </c>
      <c r="F14" s="10">
        <v>6</v>
      </c>
      <c r="G14" s="10">
        <v>515.20000000000005</v>
      </c>
      <c r="H14" s="10">
        <v>489.3</v>
      </c>
      <c r="I14" s="10">
        <f>Table8[[#This Row],[Wet Weight of 3 plants (g) ]]-55.8</f>
        <v>433.5</v>
      </c>
      <c r="J14" s="10">
        <f>(Table8[[#This Row],[Wet - Bag Weight (g) ]]/3)*Table8[[#This Row],['# of Plants]]</f>
        <v>867</v>
      </c>
      <c r="K14" s="10">
        <v>306.7</v>
      </c>
      <c r="L14" s="10">
        <f>Table8[[#This Row],[DRY Sample Weight (g) (3 Plants) ]]-55.8</f>
        <v>250.89999999999998</v>
      </c>
      <c r="M14" s="10">
        <f>Table8[[#This Row],[Wet weight of 1m2 of corn]]-Table8[[#This Row],[Dry Weight of 1m2 of Corn]]</f>
        <v>365.20000000000005</v>
      </c>
      <c r="N14" s="10">
        <f>(Table8[[#This Row],[DRY Sample - Bag Weight (g) ]]/3)*Table8[[#This Row],['# of Plants]]</f>
        <v>501.79999999999995</v>
      </c>
      <c r="O14" s="79">
        <f>Table8[[#This Row],[Dry Weight of 1m2 of Corn]]+J104</f>
        <v>629.68799999999999</v>
      </c>
      <c r="Q14" s="258">
        <v>1</v>
      </c>
      <c r="R14" s="258">
        <v>13</v>
      </c>
      <c r="S14" s="258" t="s">
        <v>396</v>
      </c>
      <c r="T14" s="258">
        <v>1161.0666666666666</v>
      </c>
      <c r="U14" s="258">
        <f>O23</f>
        <v>692.75466666666659</v>
      </c>
      <c r="V14" s="258">
        <f>Table911[[#This Row],[Biomass Wet Weight (g/m2)]]-Table911[[#This Row],[Dry Sample Weight (g/m2) ]]</f>
        <v>468.31200000000001</v>
      </c>
      <c r="W14" s="258">
        <f>(Table911[[#This Row],[Moisture loss (g)]]/Table911[[#This Row],[Biomass Wet Weight (g/m2)]])*100</f>
        <v>40.334634818557653</v>
      </c>
      <c r="X14" s="258">
        <f>Table911[[#This Row],[Dry Sample Weight (g/m2) ]]*(10000/1000)</f>
        <v>6927.5466666666662</v>
      </c>
      <c r="Y14" s="258">
        <f>Table911[[#This Row],[Dry Yield (kg/ha)]]*1.155</f>
        <v>8001.3163999999997</v>
      </c>
      <c r="Z14" s="259">
        <f>Table911[[#This Row],[Dry Yield (kg/ha)]]/1000</f>
        <v>6.9275466666666663</v>
      </c>
      <c r="AA14" s="259">
        <f>Table911[[#This Row],[Dry Yield (tons/ha)]]*1.15</f>
        <v>7.9666786666666658</v>
      </c>
      <c r="AB14" s="259" t="s">
        <v>946</v>
      </c>
      <c r="AC14" s="259">
        <f>Table911[[#This Row],[Dry Yield (tons/ha)]]*(Table911[[#This Row],[%C  (Dry)]]/100)</f>
        <v>3.0301089119999998</v>
      </c>
      <c r="AD14" s="259" t="s">
        <v>947</v>
      </c>
      <c r="AE14" s="259">
        <f>Table911[[#This Row],[Dry Yield (tons/ha)]]*(Table911[[#This Row],[%N (Dry)]]/100)</f>
        <v>3.1173960000000001E-2</v>
      </c>
      <c r="AF14" s="259">
        <f>Table911[[#This Row],[Yield (kg/ha) Corrected to 15% M]]*(Table911[[#This Row],[%N (Dry)]]/100)</f>
        <v>36.005923800000005</v>
      </c>
      <c r="AG14" s="259"/>
      <c r="AH14" s="258" t="s">
        <v>682</v>
      </c>
      <c r="AI14" s="259">
        <f>Table911[[#This Row],[Yield (tons/ha) Corrected to 15% Moisture]]*1000</f>
        <v>7966.6786666666658</v>
      </c>
      <c r="AJ14" s="259" t="s">
        <v>946</v>
      </c>
      <c r="AK14" s="259">
        <f t="shared" si="0"/>
        <v>3484.6252487999996</v>
      </c>
      <c r="AL14" s="258" t="s">
        <v>947</v>
      </c>
      <c r="AM14" s="258">
        <f t="shared" si="1"/>
        <v>35.850054</v>
      </c>
      <c r="AO14" s="10" t="s">
        <v>948</v>
      </c>
      <c r="AP14" s="10">
        <f>AVERAGE(AK24:AK26)</f>
        <v>2534.4016058333323</v>
      </c>
      <c r="AQ14" s="10">
        <f>STDEV(AK24:AK26)</f>
        <v>630.37127442032897</v>
      </c>
      <c r="AR14" s="10">
        <f>AVERAGE(AM24:AM26)</f>
        <v>37.80403931666666</v>
      </c>
      <c r="AS14" s="10">
        <f>STDEV(AM24:AM26)</f>
        <v>10.092749615773821</v>
      </c>
    </row>
    <row r="15" spans="1:60">
      <c r="A15" s="10">
        <v>2021</v>
      </c>
      <c r="B15" s="10">
        <v>293</v>
      </c>
      <c r="C15" s="10">
        <v>1</v>
      </c>
      <c r="D15" s="10">
        <v>7</v>
      </c>
      <c r="E15" s="78" t="s">
        <v>804</v>
      </c>
      <c r="F15" s="10">
        <v>7</v>
      </c>
      <c r="G15" s="10">
        <v>605.6</v>
      </c>
      <c r="H15" s="10">
        <v>493.5</v>
      </c>
      <c r="I15" s="10">
        <f>Table8[[#This Row],[Wet Weight of 3 plants (g) ]]-55.8</f>
        <v>437.7</v>
      </c>
      <c r="J15" s="10">
        <f>(Table8[[#This Row],[Wet - Bag Weight (g) ]]/3)*Table8[[#This Row],['# of Plants]]</f>
        <v>1021.3000000000001</v>
      </c>
      <c r="K15" s="10">
        <v>291.7</v>
      </c>
      <c r="L15" s="10">
        <f>Table8[[#This Row],[DRY Sample Weight (g) (3 Plants) ]]-55.8</f>
        <v>235.89999999999998</v>
      </c>
      <c r="M15" s="10">
        <f>Table8[[#This Row],[Wet weight of 1m2 of corn]]-Table8[[#This Row],[Dry Weight of 1m2 of Corn]]</f>
        <v>470.86666666666679</v>
      </c>
      <c r="N15" s="10">
        <f>(Table8[[#This Row],[DRY Sample - Bag Weight (g) ]]/3)*Table8[[#This Row],['# of Plants]]</f>
        <v>550.43333333333328</v>
      </c>
      <c r="O15" s="79">
        <f>Table8[[#This Row],[Dry Weight of 1m2 of Corn]]+J105</f>
        <v>681.60733333333326</v>
      </c>
      <c r="Q15" s="10">
        <v>2</v>
      </c>
      <c r="R15" s="10">
        <v>1</v>
      </c>
      <c r="S15" s="10" t="s">
        <v>397</v>
      </c>
      <c r="T15" s="10">
        <f>(J24+J25)/2</f>
        <v>913.0333333333333</v>
      </c>
      <c r="U15" s="10">
        <f>(O24+O25)/2</f>
        <v>624.62616666666668</v>
      </c>
      <c r="V15" s="10">
        <f>Table911[[#This Row],[Biomass Wet Weight (g/m2)]]-Table911[[#This Row],[Dry Sample Weight (g/m2) ]]</f>
        <v>288.40716666666663</v>
      </c>
      <c r="W15" s="10">
        <f>(Table911[[#This Row],[Moisture loss (g)]]/Table911[[#This Row],[Biomass Wet Weight (g/m2)]])*100</f>
        <v>31.587802562885614</v>
      </c>
      <c r="X15" s="10">
        <f>Table911[[#This Row],[Dry Sample Weight (g/m2) ]]*(10000/1000)</f>
        <v>6246.2616666666672</v>
      </c>
      <c r="Y15" s="10">
        <f>Table911[[#This Row],[Dry Yield (kg/ha)]]*1.155</f>
        <v>7214.4322250000005</v>
      </c>
      <c r="Z15" s="79">
        <f>Table911[[#This Row],[Dry Yield (kg/ha)]]/1000</f>
        <v>6.2462616666666673</v>
      </c>
      <c r="AA15" s="79">
        <f>Table911[[#This Row],[Dry Yield (tons/ha)]]*1.15</f>
        <v>7.1832009166666664</v>
      </c>
      <c r="AB15" s="79" t="s">
        <v>949</v>
      </c>
      <c r="AC15" s="79">
        <f>Table911[[#This Row],[Dry Yield (tons/ha)]]*(Table911[[#This Row],[%C  (Dry)]]/100)</f>
        <v>2.6921387783333337</v>
      </c>
      <c r="AD15" s="79" t="s">
        <v>950</v>
      </c>
      <c r="AE15" s="79">
        <f>Table911[[#This Row],[Dry Yield (tons/ha)]]*(Table911[[#This Row],[%N (Dry)]]/100)</f>
        <v>4.8720841000000008E-2</v>
      </c>
      <c r="AF15" s="79">
        <f>Table911[[#This Row],[Yield (kg/ha) Corrected to 15% M]]*(Table911[[#This Row],[%N (Dry)]]/100)</f>
        <v>56.272571355000011</v>
      </c>
      <c r="AG15" s="79">
        <f>AVERAGE(AF15:AF23)</f>
        <v>49.525976072222221</v>
      </c>
      <c r="AH15" s="10" t="s">
        <v>676</v>
      </c>
      <c r="AI15" s="154">
        <f>Table911[[#This Row],[Yield (tons/ha) Corrected to 15% Moisture]]*1000</f>
        <v>7183.2009166666667</v>
      </c>
      <c r="AJ15" s="154" t="s">
        <v>949</v>
      </c>
      <c r="AK15" s="154">
        <f t="shared" si="0"/>
        <v>3095.9595950833332</v>
      </c>
      <c r="AL15" s="10" t="s">
        <v>950</v>
      </c>
      <c r="AM15" s="10">
        <f t="shared" si="1"/>
        <v>56.028967150000007</v>
      </c>
      <c r="AO15" s="10" t="s">
        <v>677</v>
      </c>
      <c r="AP15" s="10">
        <f>AVERAGE(AK27:AK35)</f>
        <v>3188.8013985972216</v>
      </c>
      <c r="AQ15" s="10">
        <f>STDEV(AK27:AK35)</f>
        <v>228.88202066396849</v>
      </c>
      <c r="AR15" s="10">
        <f>AVERAGE(AM27:AM35)</f>
        <v>56.712144945370362</v>
      </c>
      <c r="AS15" s="10">
        <f>STDEV(AM27:AM35)</f>
        <v>12.261434947593369</v>
      </c>
    </row>
    <row r="16" spans="1:60">
      <c r="A16" s="10">
        <v>2021</v>
      </c>
      <c r="B16" s="10">
        <v>293</v>
      </c>
      <c r="C16" s="10">
        <v>1</v>
      </c>
      <c r="D16" s="10">
        <v>7</v>
      </c>
      <c r="E16" s="10" t="s">
        <v>807</v>
      </c>
      <c r="F16" s="10">
        <v>7</v>
      </c>
      <c r="G16" s="10">
        <v>951.7</v>
      </c>
      <c r="H16" s="10">
        <v>561.9</v>
      </c>
      <c r="I16" s="10">
        <f>Table8[[#This Row],[Wet Weight of 3 plants (g) ]]-55.8</f>
        <v>506.09999999999997</v>
      </c>
      <c r="J16" s="10">
        <f>(Table8[[#This Row],[Wet - Bag Weight (g) ]]/3)*Table8[[#This Row],['# of Plants]]</f>
        <v>1180.8999999999999</v>
      </c>
      <c r="K16" s="10">
        <v>301.3</v>
      </c>
      <c r="L16" s="10">
        <f>Table8[[#This Row],[DRY Sample Weight (g) (3 Plants) ]]-55.8</f>
        <v>245.5</v>
      </c>
      <c r="M16" s="10">
        <f>Table8[[#This Row],[Wet weight of 1m2 of corn]]-Table8[[#This Row],[Dry Weight of 1m2 of Corn]]</f>
        <v>608.06666666666661</v>
      </c>
      <c r="N16" s="10">
        <f>(Table8[[#This Row],[DRY Sample - Bag Weight (g) ]]/3)*Table8[[#This Row],['# of Plants]]</f>
        <v>572.83333333333326</v>
      </c>
      <c r="O16" s="79">
        <f>Table8[[#This Row],[Dry Weight of 1m2 of Corn]]+J106</f>
        <v>706.55133333333322</v>
      </c>
      <c r="Q16" s="10">
        <v>2</v>
      </c>
      <c r="R16" s="10">
        <v>2</v>
      </c>
      <c r="S16" s="10" t="s">
        <v>398</v>
      </c>
      <c r="T16" s="10">
        <f>(J26+J27)/2</f>
        <v>905.1</v>
      </c>
      <c r="U16" s="10">
        <f>(O26+O27)/2</f>
        <v>667.64649999999995</v>
      </c>
      <c r="V16" s="10">
        <f>Table911[[#This Row],[Biomass Wet Weight (g/m2)]]-Table911[[#This Row],[Dry Sample Weight (g/m2) ]]</f>
        <v>237.45350000000008</v>
      </c>
      <c r="W16" s="10">
        <f>(Table911[[#This Row],[Moisture loss (g)]]/Table911[[#This Row],[Biomass Wet Weight (g/m2)]])*100</f>
        <v>26.235056899790088</v>
      </c>
      <c r="X16" s="10">
        <f>Table911[[#This Row],[Dry Sample Weight (g/m2) ]]*(10000/1000)</f>
        <v>6676.4649999999992</v>
      </c>
      <c r="Y16" s="10">
        <f>Table911[[#This Row],[Dry Yield (kg/ha)]]*1.155</f>
        <v>7711.317074999999</v>
      </c>
      <c r="Z16" s="79">
        <f>Table911[[#This Row],[Dry Yield (kg/ha)]]/1000</f>
        <v>6.6764649999999994</v>
      </c>
      <c r="AA16" s="79">
        <f>Table911[[#This Row],[Dry Yield (tons/ha)]]*1.15</f>
        <v>7.6779347499999986</v>
      </c>
      <c r="AB16" s="79" t="s">
        <v>840</v>
      </c>
      <c r="AC16" s="79">
        <f>Table911[[#This Row],[Dry Yield (tons/ha)]]*(Table911[[#This Row],[%C  (Dry)]]/100)</f>
        <v>2.9042622749999998</v>
      </c>
      <c r="AD16" s="79" t="s">
        <v>951</v>
      </c>
      <c r="AE16" s="79">
        <f>Table911[[#This Row],[Dry Yield (tons/ha)]]*(Table911[[#This Row],[%N (Dry)]]/100)</f>
        <v>4.9405840999999999E-2</v>
      </c>
      <c r="AF16" s="79">
        <f>Table911[[#This Row],[Yield (kg/ha) Corrected to 15% M]]*(Table911[[#This Row],[%N (Dry)]]/100)</f>
        <v>57.063746354999992</v>
      </c>
      <c r="AG16" s="79"/>
      <c r="AH16" s="10" t="s">
        <v>676</v>
      </c>
      <c r="AI16" s="154">
        <f>Table911[[#This Row],[Yield (tons/ha) Corrected to 15% Moisture]]*1000</f>
        <v>7677.9347499999985</v>
      </c>
      <c r="AJ16" s="154" t="s">
        <v>840</v>
      </c>
      <c r="AK16" s="154">
        <f t="shared" si="0"/>
        <v>3339.9016162499993</v>
      </c>
      <c r="AL16" s="10" t="s">
        <v>951</v>
      </c>
      <c r="AM16" s="10">
        <f t="shared" si="1"/>
        <v>56.816717149999988</v>
      </c>
      <c r="AO16" s="10" t="s">
        <v>952</v>
      </c>
      <c r="AP16" s="10">
        <f>AVERAGE(AK36:AK38)</f>
        <v>1942.5886895277781</v>
      </c>
      <c r="AQ16" s="10">
        <f>STDEV(AK36:AK38)</f>
        <v>255.29291262037052</v>
      </c>
      <c r="AR16" s="10">
        <f>AVERAGE(AM36:AM38)</f>
        <v>27.346235505555558</v>
      </c>
      <c r="AS16" s="10">
        <f>STDEV(AM36:AM38)</f>
        <v>4.6387112099597472</v>
      </c>
      <c r="BG16">
        <v>5.7350287037037022</v>
      </c>
      <c r="BH16">
        <v>0.5764822479244851</v>
      </c>
    </row>
    <row r="17" spans="1:60">
      <c r="A17" s="10">
        <v>2021</v>
      </c>
      <c r="B17" s="10">
        <v>293</v>
      </c>
      <c r="C17" s="10">
        <v>1</v>
      </c>
      <c r="D17" s="10">
        <v>8</v>
      </c>
      <c r="E17" s="10" t="s">
        <v>804</v>
      </c>
      <c r="F17" s="10">
        <v>7</v>
      </c>
      <c r="G17" s="10">
        <v>611.9</v>
      </c>
      <c r="H17" s="10">
        <v>410.3</v>
      </c>
      <c r="I17" s="10">
        <f>Table8[[#This Row],[Wet Weight of 3 plants (g) ]]-55.8</f>
        <v>354.5</v>
      </c>
      <c r="J17" s="10">
        <f>(Table8[[#This Row],[Wet - Bag Weight (g) ]]/3)*Table8[[#This Row],['# of Plants]]</f>
        <v>827.16666666666674</v>
      </c>
      <c r="K17" s="10">
        <v>281</v>
      </c>
      <c r="L17" s="10">
        <f>Table8[[#This Row],[DRY Sample Weight (g) (3 Plants) ]]-55.8</f>
        <v>225.2</v>
      </c>
      <c r="M17" s="10">
        <f>Table8[[#This Row],[Wet weight of 1m2 of corn]]-Table8[[#This Row],[Dry Weight of 1m2 of Corn]]</f>
        <v>301.70000000000005</v>
      </c>
      <c r="N17" s="10">
        <f>(Table8[[#This Row],[DRY Sample - Bag Weight (g) ]]/3)*Table8[[#This Row],['# of Plants]]</f>
        <v>525.4666666666667</v>
      </c>
      <c r="O17" s="79">
        <f>Table8[[#This Row],[Dry Weight of 1m2 of Corn]]+J107</f>
        <v>649.52866666666671</v>
      </c>
      <c r="Q17" s="10">
        <v>2</v>
      </c>
      <c r="R17" s="10">
        <v>3</v>
      </c>
      <c r="S17" s="10" t="s">
        <v>399</v>
      </c>
      <c r="T17" s="10">
        <f>(J28+J29)/2</f>
        <v>894.41666666666674</v>
      </c>
      <c r="U17" s="10">
        <f>(O28+O29)/2</f>
        <v>652.14100000000008</v>
      </c>
      <c r="V17" s="10">
        <f>Table911[[#This Row],[Biomass Wet Weight (g/m2)]]-Table911[[#This Row],[Dry Sample Weight (g/m2) ]]</f>
        <v>242.27566666666667</v>
      </c>
      <c r="W17" s="10">
        <f>(Table911[[#This Row],[Moisture loss (g)]]/Table911[[#This Row],[Biomass Wet Weight (g/m2)]])*100</f>
        <v>27.087561725519421</v>
      </c>
      <c r="X17" s="10">
        <f>Table911[[#This Row],[Dry Sample Weight (g/m2) ]]*(10000/1000)</f>
        <v>6521.4100000000008</v>
      </c>
      <c r="Y17" s="10">
        <f>Table911[[#This Row],[Dry Yield (kg/ha)]]*1.155</f>
        <v>7532.2285500000007</v>
      </c>
      <c r="Z17" s="79">
        <f>Table911[[#This Row],[Dry Yield (kg/ha)]]/1000</f>
        <v>6.5214100000000004</v>
      </c>
      <c r="AA17" s="79">
        <f>Table911[[#This Row],[Dry Yield (tons/ha)]]*1.15</f>
        <v>7.4996214999999999</v>
      </c>
      <c r="AB17" s="79" t="s">
        <v>953</v>
      </c>
      <c r="AC17" s="79">
        <f>Table911[[#This Row],[Dry Yield (tons/ha)]]*(Table911[[#This Row],[%C  (Dry)]]/100)</f>
        <v>2.8381176320000003</v>
      </c>
      <c r="AD17" s="79" t="s">
        <v>954</v>
      </c>
      <c r="AE17" s="79">
        <f>Table911[[#This Row],[Dry Yield (tons/ha)]]*(Table911[[#This Row],[%N (Dry)]]/100)</f>
        <v>3.7172036999999998E-2</v>
      </c>
      <c r="AF17" s="79">
        <f>Table911[[#This Row],[Yield (kg/ha) Corrected to 15% M]]*(Table911[[#This Row],[%N (Dry)]]/100)</f>
        <v>42.933702734999997</v>
      </c>
      <c r="AG17" s="79"/>
      <c r="AH17" s="10" t="s">
        <v>676</v>
      </c>
      <c r="AI17" s="154">
        <f>Table911[[#This Row],[Yield (tons/ha) Corrected to 15% Moisture]]*1000</f>
        <v>7499.6215000000002</v>
      </c>
      <c r="AJ17" s="154" t="s">
        <v>953</v>
      </c>
      <c r="AK17" s="154">
        <f t="shared" si="0"/>
        <v>3263.8352768000004</v>
      </c>
      <c r="AL17" s="10" t="s">
        <v>954</v>
      </c>
      <c r="AM17" s="10">
        <f t="shared" si="1"/>
        <v>42.747842549999994</v>
      </c>
      <c r="AO17" s="10" t="s">
        <v>678</v>
      </c>
      <c r="AP17" s="10">
        <f>AVERAGE(AK39:AK47)</f>
        <v>3240.4029197120367</v>
      </c>
      <c r="AQ17" s="10">
        <f>STDEV(AK39:AK47)</f>
        <v>227.51992150590183</v>
      </c>
      <c r="AR17" s="10">
        <f>AVERAGE(AM39:AM47)</f>
        <v>51.334372622222219</v>
      </c>
      <c r="AS17" s="10">
        <f>STDEV(AM39:AM47)</f>
        <v>11.797010139601486</v>
      </c>
      <c r="BG17">
        <v>4.8917166666666656</v>
      </c>
      <c r="BH17">
        <v>1.5030551814923871</v>
      </c>
    </row>
    <row r="18" spans="1:60">
      <c r="A18" s="10">
        <v>2021</v>
      </c>
      <c r="B18" s="10">
        <v>293</v>
      </c>
      <c r="C18" s="10">
        <v>1</v>
      </c>
      <c r="D18" s="10">
        <v>8</v>
      </c>
      <c r="E18" s="10" t="s">
        <v>807</v>
      </c>
      <c r="F18" s="10">
        <v>7</v>
      </c>
      <c r="G18" s="10">
        <v>496.2</v>
      </c>
      <c r="H18" s="10">
        <v>326</v>
      </c>
      <c r="I18" s="10">
        <f>Table8[[#This Row],[Wet Weight of 3 plants (g) ]]-55.8</f>
        <v>270.2</v>
      </c>
      <c r="J18" s="10">
        <f>(Table8[[#This Row],[Wet - Bag Weight (g) ]]/3)*Table8[[#This Row],['# of Plants]]</f>
        <v>630.4666666666667</v>
      </c>
      <c r="K18" s="10">
        <v>245.4</v>
      </c>
      <c r="L18" s="10">
        <f>Table8[[#This Row],[DRY Sample Weight (g) (3 Plants) ]]-55.8</f>
        <v>189.60000000000002</v>
      </c>
      <c r="M18" s="10">
        <f>Table8[[#This Row],[Wet weight of 1m2 of corn]]-Table8[[#This Row],[Dry Weight of 1m2 of Corn]]</f>
        <v>188.06666666666661</v>
      </c>
      <c r="N18" s="10">
        <f>(Table8[[#This Row],[DRY Sample - Bag Weight (g) ]]/3)*Table8[[#This Row],['# of Plants]]</f>
        <v>442.40000000000009</v>
      </c>
      <c r="O18" s="79">
        <f>Table8[[#This Row],[Dry Weight of 1m2 of Corn]]+J108</f>
        <v>562.83600000000013</v>
      </c>
      <c r="Q18" s="10">
        <v>2</v>
      </c>
      <c r="R18" s="10">
        <v>4</v>
      </c>
      <c r="S18" s="10" t="s">
        <v>400</v>
      </c>
      <c r="T18" s="10">
        <f>(J30+J31)/2</f>
        <v>756.4666666666667</v>
      </c>
      <c r="U18" s="10">
        <f>(O30+O31)/2</f>
        <v>630.65933333333328</v>
      </c>
      <c r="V18" s="10">
        <f>Table911[[#This Row],[Biomass Wet Weight (g/m2)]]-Table911[[#This Row],[Dry Sample Weight (g/m2) ]]</f>
        <v>125.80733333333342</v>
      </c>
      <c r="W18" s="10">
        <f>(Table911[[#This Row],[Moisture loss (g)]]/Table911[[#This Row],[Biomass Wet Weight (g/m2)]])*100</f>
        <v>16.63091566052702</v>
      </c>
      <c r="X18" s="10">
        <f>Table911[[#This Row],[Dry Sample Weight (g/m2) ]]*(10000/1000)</f>
        <v>6306.5933333333323</v>
      </c>
      <c r="Y18" s="10">
        <f>Table911[[#This Row],[Dry Yield (kg/ha)]]*1.155</f>
        <v>7284.1152999999986</v>
      </c>
      <c r="Z18" s="79">
        <f>Table911[[#This Row],[Dry Yield (kg/ha)]]/1000</f>
        <v>6.3065933333333319</v>
      </c>
      <c r="AA18" s="79">
        <f>Table911[[#This Row],[Dry Yield (tons/ha)]]*1.15</f>
        <v>7.252582333333331</v>
      </c>
      <c r="AB18" s="79" t="s">
        <v>955</v>
      </c>
      <c r="AC18" s="79">
        <f>Table911[[#This Row],[Dry Yield (tons/ha)]]*(Table911[[#This Row],[%C  (Dry)]]/100)</f>
        <v>2.7465213966666662</v>
      </c>
      <c r="AD18" s="79" t="s">
        <v>956</v>
      </c>
      <c r="AE18" s="79">
        <f>Table911[[#This Row],[Dry Yield (tons/ha)]]*(Table911[[#This Row],[%N (Dry)]]/100)</f>
        <v>3.7208900666666656E-2</v>
      </c>
      <c r="AF18" s="79">
        <f>Table911[[#This Row],[Yield (kg/ha) Corrected to 15% M]]*(Table911[[#This Row],[%N (Dry)]]/100)</f>
        <v>42.97628026999999</v>
      </c>
      <c r="AG18" s="79"/>
      <c r="AH18" s="10" t="s">
        <v>676</v>
      </c>
      <c r="AI18" s="154">
        <f>Table911[[#This Row],[Yield (tons/ha) Corrected to 15% Moisture]]*1000</f>
        <v>7252.582333333331</v>
      </c>
      <c r="AJ18" s="154" t="s">
        <v>955</v>
      </c>
      <c r="AK18" s="154">
        <f t="shared" si="0"/>
        <v>3158.4996061666657</v>
      </c>
      <c r="AL18" s="10" t="s">
        <v>956</v>
      </c>
      <c r="AM18" s="10">
        <f t="shared" si="1"/>
        <v>42.790235766666655</v>
      </c>
      <c r="AO18" s="10" t="s">
        <v>957</v>
      </c>
      <c r="AP18" s="10">
        <f>AVERAGE(AK48:AK50)</f>
        <v>2620.1817698833329</v>
      </c>
      <c r="AQ18" s="10">
        <f>STDEV(AK48:AK50)</f>
        <v>657.24578281737274</v>
      </c>
      <c r="AR18" s="10">
        <f>AVERAGE(AM48:AM50)</f>
        <v>31.478347272222219</v>
      </c>
      <c r="AS18" s="10">
        <f>STDEV(AM48:AM50)</f>
        <v>3.5183380589173652</v>
      </c>
      <c r="BG18">
        <v>5.8830379629629617</v>
      </c>
      <c r="BH18">
        <v>0.17346019821997319</v>
      </c>
    </row>
    <row r="19" spans="1:60">
      <c r="A19" s="10">
        <v>2021</v>
      </c>
      <c r="B19" s="10">
        <v>293</v>
      </c>
      <c r="C19" s="10">
        <v>1</v>
      </c>
      <c r="D19" s="10">
        <v>9</v>
      </c>
      <c r="E19" s="78" t="s">
        <v>804</v>
      </c>
      <c r="F19" s="10">
        <v>7</v>
      </c>
      <c r="G19" s="10">
        <v>543.20000000000005</v>
      </c>
      <c r="H19" s="10">
        <v>311.89999999999998</v>
      </c>
      <c r="I19" s="10">
        <f>Table8[[#This Row],[Wet Weight of 3 plants (g) ]]-55.8</f>
        <v>256.09999999999997</v>
      </c>
      <c r="J19" s="10">
        <f>(Table8[[#This Row],[Wet - Bag Weight (g) ]]/3)*Table8[[#This Row],['# of Plants]]</f>
        <v>597.56666666666661</v>
      </c>
      <c r="K19" s="10">
        <v>229.3</v>
      </c>
      <c r="L19" s="10">
        <f>Table8[[#This Row],[DRY Sample Weight (g) (3 Plants) ]]-55.8</f>
        <v>173.5</v>
      </c>
      <c r="M19" s="10">
        <f>Table8[[#This Row],[Wet weight of 1m2 of corn]]-Table8[[#This Row],[Dry Weight of 1m2 of Corn]]</f>
        <v>192.73333333333323</v>
      </c>
      <c r="N19" s="10">
        <f>(Table8[[#This Row],[DRY Sample - Bag Weight (g) ]]/3)*Table8[[#This Row],['# of Plants]]</f>
        <v>404.83333333333337</v>
      </c>
      <c r="O19" s="79">
        <f>Table8[[#This Row],[Dry Weight of 1m2 of Corn]]+J109</f>
        <v>518.56533333333334</v>
      </c>
      <c r="Q19" s="10">
        <v>2</v>
      </c>
      <c r="R19" s="10">
        <v>5</v>
      </c>
      <c r="S19" s="10" t="s">
        <v>401</v>
      </c>
      <c r="T19" s="10">
        <f>(J32+J33)/2</f>
        <v>736.05</v>
      </c>
      <c r="U19" s="10">
        <f>(O32+O33)/2</f>
        <v>615.4661666666666</v>
      </c>
      <c r="V19" s="10">
        <f>Table911[[#This Row],[Biomass Wet Weight (g/m2)]]-Table911[[#This Row],[Dry Sample Weight (g/m2) ]]</f>
        <v>120.58383333333336</v>
      </c>
      <c r="W19" s="10">
        <f>(Table911[[#This Row],[Moisture loss (g)]]/Table911[[#This Row],[Biomass Wet Weight (g/m2)]])*100</f>
        <v>16.382560061590024</v>
      </c>
      <c r="X19" s="10">
        <f>Table911[[#This Row],[Dry Sample Weight (g/m2) ]]*(10000/1000)</f>
        <v>6154.661666666666</v>
      </c>
      <c r="Y19" s="10">
        <f>Table911[[#This Row],[Dry Yield (kg/ha)]]*1.155</f>
        <v>7108.6342249999998</v>
      </c>
      <c r="Z19" s="79">
        <f>Table911[[#This Row],[Dry Yield (kg/ha)]]/1000</f>
        <v>6.1546616666666658</v>
      </c>
      <c r="AA19" s="79">
        <f>Table911[[#This Row],[Dry Yield (tons/ha)]]*1.15</f>
        <v>7.0778609166666655</v>
      </c>
      <c r="AB19" s="79" t="s">
        <v>958</v>
      </c>
      <c r="AC19" s="79">
        <f>Table911[[#This Row],[Dry Yield (tons/ha)]]*(Table911[[#This Row],[%C  (Dry)]]/100)</f>
        <v>2.7074356671666662</v>
      </c>
      <c r="AD19" s="79" t="s">
        <v>959</v>
      </c>
      <c r="AE19" s="79">
        <f>Table911[[#This Row],[Dry Yield (tons/ha)]]*(Table911[[#This Row],[%N (Dry)]]/100)</f>
        <v>3.9389834666666665E-2</v>
      </c>
      <c r="AF19" s="79">
        <f>Table911[[#This Row],[Yield (kg/ha) Corrected to 15% M]]*(Table911[[#This Row],[%N (Dry)]]/100)</f>
        <v>45.495259040000001</v>
      </c>
      <c r="AG19" s="79"/>
      <c r="AH19" s="10" t="s">
        <v>676</v>
      </c>
      <c r="AI19" s="154">
        <f>Table911[[#This Row],[Yield (tons/ha) Corrected to 15% Moisture]]*1000</f>
        <v>7077.8609166666656</v>
      </c>
      <c r="AJ19" s="154" t="s">
        <v>958</v>
      </c>
      <c r="AK19" s="154">
        <f t="shared" si="0"/>
        <v>3113.5510172416662</v>
      </c>
      <c r="AL19" s="10" t="s">
        <v>959</v>
      </c>
      <c r="AM19" s="10">
        <f t="shared" si="1"/>
        <v>45.298309866666663</v>
      </c>
      <c r="BG19">
        <v>4.8575999999999988</v>
      </c>
      <c r="BH19">
        <v>1.237483361504307</v>
      </c>
    </row>
    <row r="20" spans="1:60">
      <c r="A20" s="10">
        <v>2021</v>
      </c>
      <c r="B20" s="10">
        <v>293</v>
      </c>
      <c r="C20" s="10">
        <v>1</v>
      </c>
      <c r="D20" s="10">
        <v>9</v>
      </c>
      <c r="E20" s="10" t="s">
        <v>807</v>
      </c>
      <c r="F20" s="10">
        <v>7</v>
      </c>
      <c r="G20" s="10">
        <v>444.4</v>
      </c>
      <c r="H20" s="10">
        <v>347.7</v>
      </c>
      <c r="I20" s="10">
        <f>Table8[[#This Row],[Wet Weight of 3 plants (g) ]]-55.8</f>
        <v>291.89999999999998</v>
      </c>
      <c r="J20" s="10">
        <f>(Table8[[#This Row],[Wet - Bag Weight (g) ]]/3)*Table8[[#This Row],['# of Plants]]</f>
        <v>681.1</v>
      </c>
      <c r="K20" s="10">
        <v>227.7</v>
      </c>
      <c r="L20" s="10">
        <f>Table8[[#This Row],[DRY Sample Weight (g) (3 Plants) ]]-55.8</f>
        <v>171.89999999999998</v>
      </c>
      <c r="M20" s="10">
        <f>Table8[[#This Row],[Wet weight of 1m2 of corn]]-Table8[[#This Row],[Dry Weight of 1m2 of Corn]]</f>
        <v>280.00000000000011</v>
      </c>
      <c r="N20" s="10">
        <f>(Table8[[#This Row],[DRY Sample - Bag Weight (g) ]]/3)*Table8[[#This Row],['# of Plants]]</f>
        <v>401.09999999999991</v>
      </c>
      <c r="O20" s="79">
        <f>Table8[[#This Row],[Dry Weight of 1m2 of Corn]]+J110</f>
        <v>509.0859999999999</v>
      </c>
      <c r="Q20" s="10">
        <v>2</v>
      </c>
      <c r="R20" s="10">
        <v>6</v>
      </c>
      <c r="S20" s="10" t="s">
        <v>402</v>
      </c>
      <c r="T20" s="10">
        <f>(J34+J35)/2</f>
        <v>723.8</v>
      </c>
      <c r="U20" s="10">
        <f>(O34+O35)/2</f>
        <v>631.9371666666666</v>
      </c>
      <c r="V20" s="10">
        <f>Table911[[#This Row],[Biomass Wet Weight (g/m2)]]-Table911[[#This Row],[Dry Sample Weight (g/m2) ]]</f>
        <v>91.862833333333356</v>
      </c>
      <c r="W20" s="10">
        <f>(Table911[[#This Row],[Moisture loss (g)]]/Table911[[#This Row],[Biomass Wet Weight (g/m2)]])*100</f>
        <v>12.691742654508618</v>
      </c>
      <c r="X20" s="10">
        <f>Table911[[#This Row],[Dry Sample Weight (g/m2) ]]*(10000/1000)</f>
        <v>6319.371666666666</v>
      </c>
      <c r="Y20" s="10">
        <f>Table911[[#This Row],[Dry Yield (kg/ha)]]*1.155</f>
        <v>7298.8742749999992</v>
      </c>
      <c r="Z20" s="79">
        <f>Table911[[#This Row],[Dry Yield (kg/ha)]]/1000</f>
        <v>6.3193716666666662</v>
      </c>
      <c r="AA20" s="79">
        <f>Table911[[#This Row],[Dry Yield (tons/ha)]]*1.15</f>
        <v>7.2672774166666656</v>
      </c>
      <c r="AB20" s="79" t="s">
        <v>960</v>
      </c>
      <c r="AC20" s="79">
        <f>Table911[[#This Row],[Dry Yield (tons/ha)]]*(Table911[[#This Row],[%C  (Dry)]]/100)</f>
        <v>2.7381837431666662</v>
      </c>
      <c r="AD20" s="79" t="s">
        <v>929</v>
      </c>
      <c r="AE20" s="79">
        <f>Table911[[#This Row],[Dry Yield (tons/ha)]]*(Table911[[#This Row],[%N (Dry)]]/100)</f>
        <v>5.0554973333333329E-2</v>
      </c>
      <c r="AF20" s="79">
        <f>Table911[[#This Row],[Yield (kg/ha) Corrected to 15% M]]*(Table911[[#This Row],[%N (Dry)]]/100)</f>
        <v>58.390994199999994</v>
      </c>
      <c r="AG20" s="79"/>
      <c r="AH20" s="10" t="s">
        <v>676</v>
      </c>
      <c r="AI20" s="154">
        <f>Table911[[#This Row],[Yield (tons/ha) Corrected to 15% Moisture]]*1000</f>
        <v>7267.2774166666659</v>
      </c>
      <c r="AJ20" s="154" t="s">
        <v>960</v>
      </c>
      <c r="AK20" s="154">
        <f t="shared" si="0"/>
        <v>3148.911304641666</v>
      </c>
      <c r="AL20" s="10" t="s">
        <v>929</v>
      </c>
      <c r="AM20" s="10">
        <f t="shared" si="1"/>
        <v>58.138219333333325</v>
      </c>
      <c r="AN20" s="180" t="s">
        <v>961</v>
      </c>
      <c r="AO20" s="76" t="s">
        <v>921</v>
      </c>
      <c r="AP20" s="76" t="s">
        <v>962</v>
      </c>
      <c r="AQ20" s="76" t="s">
        <v>586</v>
      </c>
      <c r="AR20" s="76" t="s">
        <v>963</v>
      </c>
      <c r="AS20" s="76" t="s">
        <v>586</v>
      </c>
      <c r="BG20">
        <v>5.8930898148148128</v>
      </c>
      <c r="BH20">
        <v>0.4081335786442658</v>
      </c>
    </row>
    <row r="21" spans="1:60">
      <c r="A21" s="6">
        <v>2021</v>
      </c>
      <c r="B21" s="6">
        <v>292</v>
      </c>
      <c r="C21" s="6">
        <v>1</v>
      </c>
      <c r="D21" s="6">
        <v>11</v>
      </c>
      <c r="E21" s="6" t="s">
        <v>804</v>
      </c>
      <c r="F21" s="6">
        <v>7</v>
      </c>
      <c r="G21" s="6">
        <v>919.8</v>
      </c>
      <c r="H21" s="6">
        <v>367.1</v>
      </c>
      <c r="I21" s="6">
        <f>Table8[[#This Row],[Wet Weight of 3 plants (g) ]]-55.8</f>
        <v>311.3</v>
      </c>
      <c r="J21" s="6">
        <f>(Table8[[#This Row],[Wet - Bag Weight (g) ]]/3)*Table8[[#This Row],['# of Plants]]</f>
        <v>726.36666666666667</v>
      </c>
      <c r="K21" s="6">
        <v>227.5</v>
      </c>
      <c r="L21" s="6">
        <f>Table8[[#This Row],[DRY Sample Weight (g) (3 Plants) ]]-55.8</f>
        <v>171.7</v>
      </c>
      <c r="M21" s="6">
        <f>Table8[[#This Row],[Wet weight of 1m2 of corn]]-Table8[[#This Row],[Dry Weight of 1m2 of Corn]]</f>
        <v>325.73333333333341</v>
      </c>
      <c r="N21" s="6">
        <f>(Table8[[#This Row],[DRY Sample - Bag Weight (g) ]]/3)*Table8[[#This Row],['# of Plants]]</f>
        <v>400.63333333333327</v>
      </c>
      <c r="O21" s="141">
        <f>Table8[[#This Row],[Dry Weight of 1m2 of Corn]]+J111</f>
        <v>489.33533333333327</v>
      </c>
      <c r="Q21" s="10">
        <v>2</v>
      </c>
      <c r="R21" s="10">
        <v>7</v>
      </c>
      <c r="S21" s="10" t="s">
        <v>403</v>
      </c>
      <c r="T21" s="10">
        <f>(J36+J37)/2</f>
        <v>948.73333333333335</v>
      </c>
      <c r="U21" s="10">
        <f>(O36+O37)/2</f>
        <v>642.35733333333337</v>
      </c>
      <c r="V21" s="10">
        <f>Table911[[#This Row],[Biomass Wet Weight (g/m2)]]-Table911[[#This Row],[Dry Sample Weight (g/m2) ]]</f>
        <v>306.37599999999998</v>
      </c>
      <c r="W21" s="10">
        <f>(Table911[[#This Row],[Moisture loss (g)]]/Table911[[#This Row],[Biomass Wet Weight (g/m2)]])*100</f>
        <v>32.293162813575989</v>
      </c>
      <c r="X21" s="10">
        <f>Table911[[#This Row],[Dry Sample Weight (g/m2) ]]*(10000/1000)</f>
        <v>6423.5733333333337</v>
      </c>
      <c r="Y21" s="10">
        <f>Table911[[#This Row],[Dry Yield (kg/ha)]]*1.155</f>
        <v>7419.2272000000003</v>
      </c>
      <c r="Z21" s="79">
        <f>Table911[[#This Row],[Dry Yield (kg/ha)]]/1000</f>
        <v>6.4235733333333336</v>
      </c>
      <c r="AA21" s="79">
        <f>Table911[[#This Row],[Dry Yield (tons/ha)]]*1.15</f>
        <v>7.3871093333333331</v>
      </c>
      <c r="AB21" s="79" t="s">
        <v>964</v>
      </c>
      <c r="AC21" s="79">
        <f>Table911[[#This Row],[Dry Yield (tons/ha)]]*(Table911[[#This Row],[%C  (Dry)]]/100)</f>
        <v>2.8186639786666667</v>
      </c>
      <c r="AD21" s="79" t="s">
        <v>965</v>
      </c>
      <c r="AE21" s="79">
        <f>Table911[[#This Row],[Dry Yield (tons/ha)]]*(Table911[[#This Row],[%N (Dry)]]/100)</f>
        <v>3.9826154666666669E-2</v>
      </c>
      <c r="AF21" s="79">
        <f>Table911[[#This Row],[Yield (kg/ha) Corrected to 15% M]]*(Table911[[#This Row],[%N (Dry)]]/100)</f>
        <v>45.999208639999999</v>
      </c>
      <c r="AG21" s="79"/>
      <c r="AH21" s="10" t="s">
        <v>676</v>
      </c>
      <c r="AI21" s="154">
        <f>Table911[[#This Row],[Yield (tons/ha) Corrected to 15% Moisture]]*1000</f>
        <v>7387.1093333333329</v>
      </c>
      <c r="AJ21" s="154" t="s">
        <v>964</v>
      </c>
      <c r="AK21" s="154">
        <f t="shared" si="0"/>
        <v>3241.4635754666665</v>
      </c>
      <c r="AL21" s="10" t="s">
        <v>965</v>
      </c>
      <c r="AM21" s="10">
        <f t="shared" si="1"/>
        <v>45.800077866666662</v>
      </c>
      <c r="AN21" s="15"/>
      <c r="AO21" s="10" t="s">
        <v>675</v>
      </c>
      <c r="AP21" s="10">
        <v>2.4743739888888885</v>
      </c>
      <c r="AQ21" s="10">
        <v>0.23704739536892844</v>
      </c>
      <c r="AR21" s="10">
        <v>2.1354682733333328</v>
      </c>
      <c r="AS21" s="10">
        <v>0.66402296492265278</v>
      </c>
      <c r="BG21">
        <v>3.921244444444445</v>
      </c>
      <c r="BH21">
        <v>0.55818708341611856</v>
      </c>
    </row>
    <row r="22" spans="1:60">
      <c r="A22" s="6">
        <v>2021</v>
      </c>
      <c r="B22" s="6">
        <v>292</v>
      </c>
      <c r="C22" s="6">
        <v>1</v>
      </c>
      <c r="D22" s="6">
        <v>12</v>
      </c>
      <c r="E22" s="6" t="s">
        <v>804</v>
      </c>
      <c r="F22" s="6">
        <v>6</v>
      </c>
      <c r="G22" s="6">
        <v>1081.9000000000001</v>
      </c>
      <c r="H22" s="6">
        <v>385.4</v>
      </c>
      <c r="I22" s="6">
        <f>Table8[[#This Row],[Wet Weight of 3 plants (g) ]]-55.8</f>
        <v>329.59999999999997</v>
      </c>
      <c r="J22" s="6">
        <f>(Table8[[#This Row],[Wet - Bag Weight (g) ]]/3)*Table8[[#This Row],['# of Plants]]</f>
        <v>659.19999999999993</v>
      </c>
      <c r="K22" s="6">
        <v>210.2</v>
      </c>
      <c r="L22" s="6">
        <f>Table8[[#This Row],[DRY Sample Weight (g) (3 Plants) ]]-55.8</f>
        <v>154.39999999999998</v>
      </c>
      <c r="M22" s="6">
        <f>Table8[[#This Row],[Wet weight of 1m2 of corn]]-Table8[[#This Row],[Dry Weight of 1m2 of Corn]]</f>
        <v>350.4</v>
      </c>
      <c r="N22" s="6">
        <f>(Table8[[#This Row],[DRY Sample - Bag Weight (g) ]]/3)*Table8[[#This Row],['# of Plants]]</f>
        <v>308.79999999999995</v>
      </c>
      <c r="O22" s="141">
        <f>Table8[[#This Row],[Dry Weight of 1m2 of Corn]]+J112</f>
        <v>405.18699999999995</v>
      </c>
      <c r="Q22" s="10">
        <v>2</v>
      </c>
      <c r="R22" s="10">
        <v>8</v>
      </c>
      <c r="S22" s="10" t="s">
        <v>404</v>
      </c>
      <c r="T22" s="10">
        <f>(J38+J39)/2</f>
        <v>818.88333333333333</v>
      </c>
      <c r="U22" s="10">
        <f>(O38+O39)/2</f>
        <v>641.37983333333329</v>
      </c>
      <c r="V22" s="10">
        <f>Table911[[#This Row],[Biomass Wet Weight (g/m2)]]-Table911[[#This Row],[Dry Sample Weight (g/m2) ]]</f>
        <v>177.50350000000003</v>
      </c>
      <c r="W22" s="10">
        <f>(Table911[[#This Row],[Moisture loss (g)]]/Table911[[#This Row],[Biomass Wet Weight (g/m2)]])*100</f>
        <v>21.676286813343378</v>
      </c>
      <c r="X22" s="10">
        <f>Table911[[#This Row],[Dry Sample Weight (g/m2) ]]*(10000/1000)</f>
        <v>6413.7983333333332</v>
      </c>
      <c r="Y22" s="10">
        <f>Table911[[#This Row],[Dry Yield (kg/ha)]]*1.155</f>
        <v>7407.9370749999998</v>
      </c>
      <c r="Z22" s="79">
        <f>Table911[[#This Row],[Dry Yield (kg/ha)]]/1000</f>
        <v>6.4137983333333333</v>
      </c>
      <c r="AA22" s="79">
        <f>Table911[[#This Row],[Dry Yield (tons/ha)]]*1.15</f>
        <v>7.3758680833333328</v>
      </c>
      <c r="AB22" s="79" t="s">
        <v>881</v>
      </c>
      <c r="AC22" s="79">
        <f>Table911[[#This Row],[Dry Yield (tons/ha)]]*(Table911[[#This Row],[%C  (Dry)]]/100)</f>
        <v>2.7925677943333334</v>
      </c>
      <c r="AD22" s="79" t="s">
        <v>966</v>
      </c>
      <c r="AE22" s="79">
        <f>Table911[[#This Row],[Dry Yield (tons/ha)]]*(Table911[[#This Row],[%N (Dry)]]/100)</f>
        <v>4.2331068999999999E-2</v>
      </c>
      <c r="AF22" s="79">
        <f>Table911[[#This Row],[Yield (kg/ha) Corrected to 15% M]]*(Table911[[#This Row],[%N (Dry)]]/100)</f>
        <v>48.892384694999997</v>
      </c>
      <c r="AG22" s="79"/>
      <c r="AH22" s="10" t="s">
        <v>676</v>
      </c>
      <c r="AI22" s="154">
        <f>Table911[[#This Row],[Yield (tons/ha) Corrected to 15% Moisture]]*1000</f>
        <v>7375.8680833333328</v>
      </c>
      <c r="AJ22" s="154" t="s">
        <v>881</v>
      </c>
      <c r="AK22" s="154">
        <f t="shared" si="0"/>
        <v>3211.4529634833334</v>
      </c>
      <c r="AL22" s="10" t="s">
        <v>966</v>
      </c>
      <c r="AM22" s="10">
        <f t="shared" si="1"/>
        <v>48.680729349999993</v>
      </c>
      <c r="AN22" s="15"/>
      <c r="AO22" s="10" t="s">
        <v>676</v>
      </c>
      <c r="AP22" s="10">
        <v>2.5631370604629629</v>
      </c>
      <c r="AQ22" s="10">
        <v>7.8400834786483367E-2</v>
      </c>
      <c r="AR22" s="10">
        <v>2.0813505766666665</v>
      </c>
      <c r="AS22" s="10">
        <v>0.53354558635818783</v>
      </c>
      <c r="BG22">
        <v>5.9677333333333316</v>
      </c>
      <c r="BH22">
        <v>0.41449389039358686</v>
      </c>
    </row>
    <row r="23" spans="1:60">
      <c r="A23" s="6">
        <v>2021</v>
      </c>
      <c r="B23" s="6">
        <v>292</v>
      </c>
      <c r="C23" s="6">
        <v>1</v>
      </c>
      <c r="D23" s="6">
        <v>13</v>
      </c>
      <c r="E23" s="102" t="s">
        <v>804</v>
      </c>
      <c r="F23" s="6">
        <v>8</v>
      </c>
      <c r="G23" s="6">
        <v>945.4</v>
      </c>
      <c r="H23" s="6">
        <v>491.2</v>
      </c>
      <c r="I23" s="6">
        <f>Table8[[#This Row],[Wet Weight of 3 plants (g) ]]-55.8</f>
        <v>435.4</v>
      </c>
      <c r="J23" s="6">
        <f>(Table8[[#This Row],[Wet - Bag Weight (g) ]]/3)*Table8[[#This Row],['# of Plants]]</f>
        <v>1161.0666666666666</v>
      </c>
      <c r="K23" s="6">
        <v>268.3</v>
      </c>
      <c r="L23" s="6">
        <f>Table8[[#This Row],[DRY Sample Weight (g) (3 Plants) ]]-55.8</f>
        <v>212.5</v>
      </c>
      <c r="M23" s="6">
        <f>Table8[[#This Row],[Wet weight of 1m2 of corn]]-Table8[[#This Row],[Dry Weight of 1m2 of Corn]]</f>
        <v>594.4</v>
      </c>
      <c r="N23" s="6">
        <f>(Table8[[#This Row],[DRY Sample - Bag Weight (g) ]]/3)*Table8[[#This Row],['# of Plants]]</f>
        <v>566.66666666666663</v>
      </c>
      <c r="O23" s="141">
        <f>Table8[[#This Row],[Dry Weight of 1m2 of Corn]]+J113</f>
        <v>692.75466666666659</v>
      </c>
      <c r="Q23" s="10">
        <v>2</v>
      </c>
      <c r="R23" s="10">
        <v>9</v>
      </c>
      <c r="S23" s="10" t="s">
        <v>405</v>
      </c>
      <c r="T23" s="10">
        <f>(J40+J41)/2</f>
        <v>911.16666666666652</v>
      </c>
      <c r="U23" s="10">
        <f>(O40+O41)/2</f>
        <v>666.24266666666665</v>
      </c>
      <c r="V23" s="10">
        <f>Table911[[#This Row],[Biomass Wet Weight (g/m2)]]-Table911[[#This Row],[Dry Sample Weight (g/m2) ]]</f>
        <v>244.92399999999986</v>
      </c>
      <c r="W23" s="10">
        <f>(Table911[[#This Row],[Moisture loss (g)]]/Table911[[#This Row],[Biomass Wet Weight (g/m2)]])*100</f>
        <v>26.880263398573245</v>
      </c>
      <c r="X23" s="10">
        <f>Table911[[#This Row],[Dry Sample Weight (g/m2) ]]*(10000/1000)</f>
        <v>6662.4266666666663</v>
      </c>
      <c r="Y23" s="10">
        <f>Table911[[#This Row],[Dry Yield (kg/ha)]]*1.155</f>
        <v>7695.1027999999997</v>
      </c>
      <c r="Z23" s="79">
        <f>Table911[[#This Row],[Dry Yield (kg/ha)]]/1000</f>
        <v>6.6624266666666667</v>
      </c>
      <c r="AA23" s="79">
        <f>Table911[[#This Row],[Dry Yield (tons/ha)]]*1.15</f>
        <v>7.6617906666666658</v>
      </c>
      <c r="AB23" s="79" t="s">
        <v>967</v>
      </c>
      <c r="AC23" s="79">
        <f>Table911[[#This Row],[Dry Yield (tons/ha)]]*(Table911[[#This Row],[%C  (Dry)]]/100)</f>
        <v>2.9114804533333336</v>
      </c>
      <c r="AD23" s="79" t="s">
        <v>965</v>
      </c>
      <c r="AE23" s="79">
        <f>Table911[[#This Row],[Dry Yield (tons/ha)]]*(Table911[[#This Row],[%N (Dry)]]/100)</f>
        <v>4.1307045333333334E-2</v>
      </c>
      <c r="AF23" s="79">
        <f>Table911[[#This Row],[Yield (kg/ha) Corrected to 15% M]]*(Table911[[#This Row],[%N (Dry)]]/100)</f>
        <v>47.709637359999995</v>
      </c>
      <c r="AG23" s="79"/>
      <c r="AH23" s="10" t="s">
        <v>676</v>
      </c>
      <c r="AI23" s="154">
        <f>Table911[[#This Row],[Yield (tons/ha) Corrected to 15% Moisture]]*1000</f>
        <v>7661.7906666666659</v>
      </c>
      <c r="AJ23" s="154" t="s">
        <v>967</v>
      </c>
      <c r="AK23" s="154">
        <f t="shared" si="0"/>
        <v>3348.2025213333336</v>
      </c>
      <c r="AL23" s="10" t="s">
        <v>965</v>
      </c>
      <c r="AM23" s="10">
        <f t="shared" si="1"/>
        <v>47.503102133333329</v>
      </c>
      <c r="AN23" s="15"/>
      <c r="AO23" s="10" t="s">
        <v>677</v>
      </c>
      <c r="AP23" s="10">
        <v>2.5601527572222214</v>
      </c>
      <c r="AQ23" s="10">
        <v>0.18231811467363671</v>
      </c>
      <c r="AR23" s="10">
        <v>1.657276397777778</v>
      </c>
      <c r="AS23" s="10">
        <v>0.24400342727130012</v>
      </c>
      <c r="BG23">
        <v>5.0473499999999989</v>
      </c>
      <c r="BH23">
        <v>1.0109758801661781</v>
      </c>
    </row>
    <row r="24" spans="1:60">
      <c r="A24" s="10">
        <v>2021</v>
      </c>
      <c r="B24" s="10">
        <v>293</v>
      </c>
      <c r="C24" s="10">
        <v>2</v>
      </c>
      <c r="D24" s="10">
        <v>1</v>
      </c>
      <c r="E24" s="78" t="s">
        <v>804</v>
      </c>
      <c r="F24" s="10">
        <v>7</v>
      </c>
      <c r="G24" s="10">
        <v>553.9</v>
      </c>
      <c r="H24" s="10">
        <v>379.3</v>
      </c>
      <c r="I24" s="10">
        <f>Table8[[#This Row],[Wet Weight of 3 plants (g) ]]-55.8</f>
        <v>323.5</v>
      </c>
      <c r="J24" s="10">
        <f>(Table8[[#This Row],[Wet - Bag Weight (g) ]]/3)*Table8[[#This Row],['# of Plants]]</f>
        <v>754.83333333333326</v>
      </c>
      <c r="K24" s="10">
        <v>257.5</v>
      </c>
      <c r="L24" s="10">
        <f>Table8[[#This Row],[DRY Sample Weight (g) (3 Plants) ]]-55.8</f>
        <v>201.7</v>
      </c>
      <c r="M24" s="10">
        <f>Table8[[#This Row],[Wet weight of 1m2 of corn]]-Table8[[#This Row],[Dry Weight of 1m2 of Corn]]</f>
        <v>284.19999999999993</v>
      </c>
      <c r="N24" s="10">
        <f>(Table8[[#This Row],[DRY Sample - Bag Weight (g) ]]/3)*Table8[[#This Row],['# of Plants]]</f>
        <v>470.63333333333333</v>
      </c>
      <c r="O24" s="79">
        <f>Table8[[#This Row],[Dry Weight of 1m2 of Corn]]+J114</f>
        <v>591.37433333333331</v>
      </c>
      <c r="Q24" s="6">
        <v>2</v>
      </c>
      <c r="R24" s="6">
        <v>11</v>
      </c>
      <c r="S24" s="6" t="s">
        <v>406</v>
      </c>
      <c r="T24" s="6">
        <v>987.4666666666667</v>
      </c>
      <c r="U24" s="6">
        <f>O42</f>
        <v>564.62900000000002</v>
      </c>
      <c r="V24" s="6">
        <f>Table911[[#This Row],[Biomass Wet Weight (g/m2)]]-Table911[[#This Row],[Dry Sample Weight (g/m2) ]]</f>
        <v>422.83766666666668</v>
      </c>
      <c r="W24" s="6">
        <f>(Table911[[#This Row],[Moisture loss (g)]]/Table911[[#This Row],[Biomass Wet Weight (g/m2)]])*100</f>
        <v>42.820449635430727</v>
      </c>
      <c r="X24" s="6">
        <f>Table911[[#This Row],[Dry Sample Weight (g/m2) ]]*(10000/1000)</f>
        <v>5646.29</v>
      </c>
      <c r="Y24" s="6">
        <f>Table911[[#This Row],[Dry Yield (kg/ha)]]*1.155</f>
        <v>6521.4649500000005</v>
      </c>
      <c r="Z24" s="141">
        <f>Table911[[#This Row],[Dry Yield (kg/ha)]]/1000</f>
        <v>5.6462899999999996</v>
      </c>
      <c r="AA24" s="141">
        <f>Table911[[#This Row],[Dry Yield (tons/ha)]]*1.15</f>
        <v>6.4932334999999988</v>
      </c>
      <c r="AB24" s="141" t="s">
        <v>848</v>
      </c>
      <c r="AC24" s="141">
        <f>Table911[[#This Row],[Dry Yield (tons/ha)]]*(Table911[[#This Row],[%C  (Dry)]]/100)</f>
        <v>2.3680540259999998</v>
      </c>
      <c r="AD24" s="141" t="s">
        <v>959</v>
      </c>
      <c r="AE24" s="141">
        <f>Table911[[#This Row],[Dry Yield (tons/ha)]]*(Table911[[#This Row],[%N (Dry)]]/100)</f>
        <v>3.6136255999999999E-2</v>
      </c>
      <c r="AF24" s="141">
        <f>Table911[[#This Row],[Yield (kg/ha) Corrected to 15% M]]*(Table911[[#This Row],[%N (Dry)]]/100)</f>
        <v>41.737375680000007</v>
      </c>
      <c r="AG24" s="141"/>
      <c r="AH24" s="6" t="s">
        <v>690</v>
      </c>
      <c r="AI24" s="141">
        <f>Table911[[#This Row],[Yield (tons/ha) Corrected to 15% Moisture]]*1000</f>
        <v>6493.2334999999985</v>
      </c>
      <c r="AJ24" s="141" t="s">
        <v>848</v>
      </c>
      <c r="AK24" s="141">
        <f t="shared" si="0"/>
        <v>2723.2621298999993</v>
      </c>
      <c r="AL24" s="6" t="s">
        <v>959</v>
      </c>
      <c r="AM24" s="6">
        <f t="shared" si="1"/>
        <v>41.556694399999991</v>
      </c>
      <c r="AN24" s="15"/>
      <c r="AO24" s="10" t="s">
        <v>678</v>
      </c>
      <c r="AP24" s="10">
        <v>2.590889884814815</v>
      </c>
      <c r="AQ24" s="10">
        <v>0.17648328218469103</v>
      </c>
      <c r="AR24" s="10">
        <v>2.186892785</v>
      </c>
      <c r="AS24" s="10">
        <v>0.4782954122643891</v>
      </c>
    </row>
    <row r="25" spans="1:60">
      <c r="A25" s="10">
        <v>2021</v>
      </c>
      <c r="B25" s="10">
        <v>293</v>
      </c>
      <c r="C25" s="10">
        <v>2</v>
      </c>
      <c r="D25" s="10">
        <v>1</v>
      </c>
      <c r="E25" s="10" t="s">
        <v>807</v>
      </c>
      <c r="F25" s="10">
        <v>7</v>
      </c>
      <c r="G25" s="10">
        <v>725.4</v>
      </c>
      <c r="H25" s="10">
        <v>514.9</v>
      </c>
      <c r="I25" s="10">
        <f>Table8[[#This Row],[Wet Weight of 3 plants (g) ]]-55.8</f>
        <v>459.09999999999997</v>
      </c>
      <c r="J25" s="10">
        <f>(Table8[[#This Row],[Wet - Bag Weight (g) ]]/3)*Table8[[#This Row],['# of Plants]]</f>
        <v>1071.2333333333333</v>
      </c>
      <c r="K25" s="10">
        <v>282.3</v>
      </c>
      <c r="L25" s="10">
        <f>Table8[[#This Row],[DRY Sample Weight (g) (3 Plants) ]]-55.8</f>
        <v>226.5</v>
      </c>
      <c r="M25" s="10">
        <f>Table8[[#This Row],[Wet weight of 1m2 of corn]]-Table8[[#This Row],[Dry Weight of 1m2 of Corn]]</f>
        <v>542.73333333333335</v>
      </c>
      <c r="N25" s="10">
        <f>(Table8[[#This Row],[DRY Sample - Bag Weight (g) ]]/3)*Table8[[#This Row],['# of Plants]]</f>
        <v>528.5</v>
      </c>
      <c r="O25" s="79">
        <f>Table8[[#This Row],[Dry Weight of 1m2 of Corn]]+J115</f>
        <v>657.87799999999993</v>
      </c>
      <c r="Q25" s="6">
        <v>2</v>
      </c>
      <c r="R25" s="6">
        <v>12</v>
      </c>
      <c r="S25" s="6" t="s">
        <v>407</v>
      </c>
      <c r="T25" s="6">
        <v>1426.4</v>
      </c>
      <c r="U25" s="6">
        <f>O43</f>
        <v>608.46699999999987</v>
      </c>
      <c r="V25" s="6">
        <f>Table911[[#This Row],[Biomass Wet Weight (g/m2)]]-Table911[[#This Row],[Dry Sample Weight (g/m2) ]]</f>
        <v>817.93300000000022</v>
      </c>
      <c r="W25" s="6">
        <f>(Table911[[#This Row],[Moisture loss (g)]]/Table911[[#This Row],[Biomass Wet Weight (g/m2)]])*100</f>
        <v>57.342470555243985</v>
      </c>
      <c r="X25" s="6">
        <f>Table911[[#This Row],[Dry Sample Weight (g/m2) ]]*(10000/1000)</f>
        <v>6084.6699999999983</v>
      </c>
      <c r="Y25" s="6">
        <f>Table911[[#This Row],[Dry Yield (kg/ha)]]*1.155</f>
        <v>7027.7938499999982</v>
      </c>
      <c r="Z25" s="141">
        <f>Table911[[#This Row],[Dry Yield (kg/ha)]]/1000</f>
        <v>6.0846699999999982</v>
      </c>
      <c r="AA25" s="141">
        <f>Table911[[#This Row],[Dry Yield (tons/ha)]]*1.15</f>
        <v>6.9973704999999971</v>
      </c>
      <c r="AB25" s="141" t="s">
        <v>968</v>
      </c>
      <c r="AC25" s="141">
        <f>Table911[[#This Row],[Dry Yield (tons/ha)]]*(Table911[[#This Row],[%C  (Dry)]]/100)</f>
        <v>2.651090718999999</v>
      </c>
      <c r="AD25" s="141" t="s">
        <v>945</v>
      </c>
      <c r="AE25" s="141">
        <f>Table911[[#This Row],[Dry Yield (tons/ha)]]*(Table911[[#This Row],[%N (Dry)]]/100)</f>
        <v>3.9550354999999995E-2</v>
      </c>
      <c r="AF25" s="141">
        <f>Table911[[#This Row],[Yield (kg/ha) Corrected to 15% M]]*(Table911[[#This Row],[%N (Dry)]]/100)</f>
        <v>45.680660024999995</v>
      </c>
      <c r="AG25" s="141"/>
      <c r="AH25" s="6" t="s">
        <v>690</v>
      </c>
      <c r="AI25" s="141">
        <f>Table911[[#This Row],[Yield (tons/ha) Corrected to 15% Moisture]]*1000</f>
        <v>6997.3704999999973</v>
      </c>
      <c r="AJ25" s="141" t="s">
        <v>968</v>
      </c>
      <c r="AK25" s="141">
        <f t="shared" si="0"/>
        <v>3048.7543268499985</v>
      </c>
      <c r="AL25" s="6" t="s">
        <v>945</v>
      </c>
      <c r="AM25" s="6">
        <f t="shared" si="1"/>
        <v>45.482908249999987</v>
      </c>
      <c r="AN25" s="15"/>
    </row>
    <row r="26" spans="1:60">
      <c r="A26" s="10">
        <v>2021</v>
      </c>
      <c r="B26" s="10">
        <v>293</v>
      </c>
      <c r="C26" s="10">
        <v>2</v>
      </c>
      <c r="D26" s="10">
        <v>2</v>
      </c>
      <c r="E26" s="10" t="s">
        <v>804</v>
      </c>
      <c r="F26" s="10">
        <v>7</v>
      </c>
      <c r="G26" s="10">
        <v>473.2</v>
      </c>
      <c r="H26" s="10">
        <v>454.3</v>
      </c>
      <c r="I26" s="10">
        <f>Table8[[#This Row],[Wet Weight of 3 plants (g) ]]-55.8</f>
        <v>398.5</v>
      </c>
      <c r="J26" s="10">
        <f>(Table8[[#This Row],[Wet - Bag Weight (g) ]]/3)*Table8[[#This Row],['# of Plants]]</f>
        <v>929.83333333333337</v>
      </c>
      <c r="K26" s="10">
        <v>275.8</v>
      </c>
      <c r="L26" s="10">
        <f>Table8[[#This Row],[DRY Sample Weight (g) (3 Plants) ]]-55.8</f>
        <v>220</v>
      </c>
      <c r="M26" s="10">
        <f>Table8[[#This Row],[Wet weight of 1m2 of corn]]-Table8[[#This Row],[Dry Weight of 1m2 of Corn]]</f>
        <v>416.50000000000011</v>
      </c>
      <c r="N26" s="10">
        <f>(Table8[[#This Row],[DRY Sample - Bag Weight (g) ]]/3)*Table8[[#This Row],['# of Plants]]</f>
        <v>513.33333333333326</v>
      </c>
      <c r="O26" s="79">
        <f>Table8[[#This Row],[Dry Weight of 1m2 of Corn]]+J116</f>
        <v>649.32333333333327</v>
      </c>
      <c r="Q26" s="6">
        <v>2</v>
      </c>
      <c r="R26" s="6">
        <v>13</v>
      </c>
      <c r="S26" s="6" t="s">
        <v>408</v>
      </c>
      <c r="T26" s="6">
        <v>635</v>
      </c>
      <c r="U26" s="6">
        <f>O44</f>
        <v>369.88099999999997</v>
      </c>
      <c r="V26" s="6">
        <f>Table911[[#This Row],[Biomass Wet Weight (g/m2)]]-Table911[[#This Row],[Dry Sample Weight (g/m2) ]]</f>
        <v>265.11900000000003</v>
      </c>
      <c r="W26" s="6">
        <f>(Table911[[#This Row],[Moisture loss (g)]]/Table911[[#This Row],[Biomass Wet Weight (g/m2)]])*100</f>
        <v>41.751023622047249</v>
      </c>
      <c r="X26" s="6">
        <f>Table911[[#This Row],[Dry Sample Weight (g/m2) ]]*(10000/1000)</f>
        <v>3698.8099999999995</v>
      </c>
      <c r="Y26" s="6">
        <f>Table911[[#This Row],[Dry Yield (kg/ha)]]*1.155</f>
        <v>4272.1255499999997</v>
      </c>
      <c r="Z26" s="141">
        <f>Table911[[#This Row],[Dry Yield (kg/ha)]]/1000</f>
        <v>3.6988099999999995</v>
      </c>
      <c r="AA26" s="141">
        <f>Table911[[#This Row],[Dry Yield (tons/ha)]]*1.15</f>
        <v>4.2536314999999991</v>
      </c>
      <c r="AB26" s="141" t="s">
        <v>969</v>
      </c>
      <c r="AC26" s="141">
        <f>Table911[[#This Row],[Dry Yield (tons/ha)]]*(Table911[[#This Row],[%C  (Dry)]]/100)</f>
        <v>1.5923377049999998</v>
      </c>
      <c r="AD26" s="141" t="s">
        <v>965</v>
      </c>
      <c r="AE26" s="141">
        <f>Table911[[#This Row],[Dry Yield (tons/ha)]]*(Table911[[#This Row],[%N (Dry)]]/100)</f>
        <v>2.2932621999999996E-2</v>
      </c>
      <c r="AF26" s="141">
        <f>Table911[[#This Row],[Yield (kg/ha) Corrected to 15% M]]*(Table911[[#This Row],[%N (Dry)]]/100)</f>
        <v>26.487178409999999</v>
      </c>
      <c r="AG26" s="141"/>
      <c r="AH26" s="6" t="s">
        <v>690</v>
      </c>
      <c r="AI26" s="141">
        <f>Table911[[#This Row],[Yield (tons/ha) Corrected to 15% Moisture]]*1000</f>
        <v>4253.6314999999995</v>
      </c>
      <c r="AJ26" s="141" t="s">
        <v>969</v>
      </c>
      <c r="AK26" s="141">
        <f t="shared" si="0"/>
        <v>1831.1883607499997</v>
      </c>
      <c r="AL26" s="6" t="s">
        <v>965</v>
      </c>
      <c r="AM26" s="6">
        <f t="shared" si="1"/>
        <v>26.372515299999996</v>
      </c>
      <c r="AN26" s="180" t="s">
        <v>970</v>
      </c>
      <c r="AO26" s="76" t="s">
        <v>921</v>
      </c>
      <c r="AP26" s="76" t="s">
        <v>971</v>
      </c>
      <c r="AQ26" s="76" t="s">
        <v>586</v>
      </c>
      <c r="AR26" s="76" t="s">
        <v>972</v>
      </c>
      <c r="AS26" s="76" t="s">
        <v>586</v>
      </c>
    </row>
    <row r="27" spans="1:60">
      <c r="A27" s="10">
        <v>2021</v>
      </c>
      <c r="B27" s="10">
        <v>293</v>
      </c>
      <c r="C27" s="10">
        <v>2</v>
      </c>
      <c r="D27" s="10">
        <v>2</v>
      </c>
      <c r="E27" s="10" t="s">
        <v>807</v>
      </c>
      <c r="F27" s="10">
        <v>7</v>
      </c>
      <c r="G27" s="10">
        <v>754.2</v>
      </c>
      <c r="H27" s="10">
        <v>433.1</v>
      </c>
      <c r="I27" s="10">
        <f>Table8[[#This Row],[Wet Weight of 3 plants (g) ]]-55.8</f>
        <v>377.3</v>
      </c>
      <c r="J27" s="10">
        <f>(Table8[[#This Row],[Wet - Bag Weight (g) ]]/3)*Table8[[#This Row],['# of Plants]]</f>
        <v>880.36666666666667</v>
      </c>
      <c r="K27" s="10">
        <v>286.39999999999998</v>
      </c>
      <c r="L27" s="10">
        <f>Table8[[#This Row],[DRY Sample Weight (g) (3 Plants) ]]-55.8</f>
        <v>230.59999999999997</v>
      </c>
      <c r="M27" s="10">
        <f>Table8[[#This Row],[Wet weight of 1m2 of corn]]-Table8[[#This Row],[Dry Weight of 1m2 of Corn]]</f>
        <v>342.30000000000007</v>
      </c>
      <c r="N27" s="10">
        <f>(Table8[[#This Row],[DRY Sample - Bag Weight (g) ]]/3)*Table8[[#This Row],['# of Plants]]</f>
        <v>538.06666666666661</v>
      </c>
      <c r="O27" s="79">
        <f>Table8[[#This Row],[Dry Weight of 1m2 of Corn]]+J117</f>
        <v>685.96966666666663</v>
      </c>
      <c r="Q27" s="10">
        <v>3</v>
      </c>
      <c r="R27" s="10">
        <v>1</v>
      </c>
      <c r="S27" s="10" t="s">
        <v>409</v>
      </c>
      <c r="T27" s="10">
        <f>(J46+J47)/2</f>
        <v>731.69999999999993</v>
      </c>
      <c r="U27" s="10">
        <f>(O46+O47)/2</f>
        <v>668.66433333333339</v>
      </c>
      <c r="V27" s="10">
        <f>Table911[[#This Row],[Biomass Wet Weight (g/m2)]]-Table911[[#This Row],[Dry Sample Weight (g/m2) ]]</f>
        <v>63.035666666666543</v>
      </c>
      <c r="W27" s="10">
        <f>(Table911[[#This Row],[Moisture loss (g)]]/Table911[[#This Row],[Biomass Wet Weight (g/m2)]])*100</f>
        <v>8.6149605940503697</v>
      </c>
      <c r="X27" s="10">
        <f>Table911[[#This Row],[Dry Sample Weight (g/m2) ]]*(10000/1000)</f>
        <v>6686.6433333333334</v>
      </c>
      <c r="Y27" s="10">
        <f>Table911[[#This Row],[Dry Yield (kg/ha)]]*1.155</f>
        <v>7723.07305</v>
      </c>
      <c r="Z27" s="79">
        <f>Table911[[#This Row],[Dry Yield (kg/ha)]]/1000</f>
        <v>6.6866433333333335</v>
      </c>
      <c r="AA27" s="79">
        <f>Table911[[#This Row],[Dry Yield (tons/ha)]]*1.15</f>
        <v>7.6896398333333327</v>
      </c>
      <c r="AB27" s="79" t="s">
        <v>881</v>
      </c>
      <c r="AC27" s="79">
        <f>Table911[[#This Row],[Dry Yield (tons/ha)]]*(Table911[[#This Row],[%C  (Dry)]]/100)</f>
        <v>2.9113645073333334</v>
      </c>
      <c r="AD27" s="79" t="s">
        <v>933</v>
      </c>
      <c r="AE27" s="79">
        <f>Table911[[#This Row],[Dry Yield (tons/ha)]]*(Table911[[#This Row],[%N (Dry)]]/100)</f>
        <v>5.0818489333333335E-2</v>
      </c>
      <c r="AF27" s="79">
        <f>Table911[[#This Row],[Yield (kg/ha) Corrected to 15% M]]*(Table911[[#This Row],[%N (Dry)]]/100)</f>
        <v>58.69535518</v>
      </c>
      <c r="AG27" s="79">
        <f>AVERAGE(AF27:AF35)</f>
        <v>56.958719488611109</v>
      </c>
      <c r="AH27" s="10" t="s">
        <v>677</v>
      </c>
      <c r="AI27" s="154">
        <f>Table911[[#This Row],[Yield (tons/ha) Corrected to 15% Moisture]]*1000</f>
        <v>7689.6398333333327</v>
      </c>
      <c r="AJ27" s="154" t="s">
        <v>881</v>
      </c>
      <c r="AK27" s="154">
        <f t="shared" si="0"/>
        <v>3348.0691834333329</v>
      </c>
      <c r="AL27" s="10" t="s">
        <v>933</v>
      </c>
      <c r="AM27" s="10">
        <f t="shared" si="1"/>
        <v>58.441262733333332</v>
      </c>
      <c r="AO27" s="10" t="s">
        <v>675</v>
      </c>
      <c r="AP27" s="10">
        <v>4.5228390462962974E-2</v>
      </c>
      <c r="AQ27" s="10">
        <v>6.2336194497834303E-3</v>
      </c>
      <c r="AR27" s="10">
        <v>2.7144561666666664E-2</v>
      </c>
      <c r="AS27" s="10">
        <v>3.5207667237987131E-3</v>
      </c>
    </row>
    <row r="28" spans="1:60">
      <c r="A28" s="10">
        <v>2021</v>
      </c>
      <c r="B28" s="10">
        <v>293</v>
      </c>
      <c r="C28" s="10">
        <v>2</v>
      </c>
      <c r="D28" s="10">
        <v>3</v>
      </c>
      <c r="E28" s="78" t="s">
        <v>804</v>
      </c>
      <c r="F28" s="10">
        <v>7</v>
      </c>
      <c r="G28" s="10">
        <v>597.20000000000005</v>
      </c>
      <c r="H28" s="10">
        <v>350.1</v>
      </c>
      <c r="I28" s="10">
        <f>Table8[[#This Row],[Wet Weight of 3 plants (g) ]]-55.8</f>
        <v>294.3</v>
      </c>
      <c r="J28" s="10">
        <f>(Table8[[#This Row],[Wet - Bag Weight (g) ]]/3)*Table8[[#This Row],['# of Plants]]</f>
        <v>686.7</v>
      </c>
      <c r="K28" s="10">
        <v>262.7</v>
      </c>
      <c r="L28" s="10">
        <f>Table8[[#This Row],[DRY Sample Weight (g) (3 Plants) ]]-55.8</f>
        <v>206.89999999999998</v>
      </c>
      <c r="M28" s="10">
        <f>Table8[[#This Row],[Wet weight of 1m2 of corn]]-Table8[[#This Row],[Dry Weight of 1m2 of Corn]]</f>
        <v>203.93333333333345</v>
      </c>
      <c r="N28" s="10">
        <f>(Table8[[#This Row],[DRY Sample - Bag Weight (g) ]]/3)*Table8[[#This Row],['# of Plants]]</f>
        <v>482.76666666666659</v>
      </c>
      <c r="O28" s="79">
        <f>Table8[[#This Row],[Dry Weight of 1m2 of Corn]]+J118</f>
        <v>621.28666666666663</v>
      </c>
      <c r="Q28" s="10">
        <v>3</v>
      </c>
      <c r="R28" s="10">
        <v>2</v>
      </c>
      <c r="S28" s="10" t="s">
        <v>410</v>
      </c>
      <c r="T28" s="10">
        <f>(J48+J49)/2</f>
        <v>883.96666666666658</v>
      </c>
      <c r="U28" s="10">
        <f>(O48+O49)/2</f>
        <v>649.50299999999993</v>
      </c>
      <c r="V28" s="10">
        <f>Table911[[#This Row],[Biomass Wet Weight (g/m2)]]-Table911[[#This Row],[Dry Sample Weight (g/m2) ]]</f>
        <v>234.46366666666665</v>
      </c>
      <c r="W28" s="10">
        <f>(Table911[[#This Row],[Moisture loss (g)]]/Table911[[#This Row],[Biomass Wet Weight (g/m2)]])*100</f>
        <v>26.524039368000302</v>
      </c>
      <c r="X28" s="10">
        <f>Table911[[#This Row],[Dry Sample Weight (g/m2) ]]*(10000/1000)</f>
        <v>6495.0299999999988</v>
      </c>
      <c r="Y28" s="10">
        <f>Table911[[#This Row],[Dry Yield (kg/ha)]]*1.155</f>
        <v>7501.7596499999991</v>
      </c>
      <c r="Z28" s="79">
        <f>Table911[[#This Row],[Dry Yield (kg/ha)]]/1000</f>
        <v>6.495029999999999</v>
      </c>
      <c r="AA28" s="79">
        <f>Table911[[#This Row],[Dry Yield (tons/ha)]]*1.15</f>
        <v>7.4692844999999979</v>
      </c>
      <c r="AB28" s="79" t="s">
        <v>855</v>
      </c>
      <c r="AC28" s="79">
        <f>Table911[[#This Row],[Dry Yield (tons/ha)]]*(Table911[[#This Row],[%C  (Dry)]]/100)</f>
        <v>2.8337815889999995</v>
      </c>
      <c r="AD28" s="79" t="s">
        <v>973</v>
      </c>
      <c r="AE28" s="79">
        <f>Table911[[#This Row],[Dry Yield (tons/ha)]]*(Table911[[#This Row],[%N (Dry)]]/100)</f>
        <v>5.1310736999999995E-2</v>
      </c>
      <c r="AF28" s="79">
        <f>Table911[[#This Row],[Yield (kg/ha) Corrected to 15% M]]*(Table911[[#This Row],[%N (Dry)]]/100)</f>
        <v>59.263901234999999</v>
      </c>
      <c r="AG28" s="79"/>
      <c r="AH28" s="10" t="s">
        <v>677</v>
      </c>
      <c r="AI28" s="154">
        <f>Table911[[#This Row],[Yield (tons/ha) Corrected to 15% Moisture]]*1000</f>
        <v>7469.2844999999979</v>
      </c>
      <c r="AJ28" s="154" t="s">
        <v>855</v>
      </c>
      <c r="AK28" s="154">
        <f t="shared" si="0"/>
        <v>3258.8488273499993</v>
      </c>
      <c r="AL28" s="10" t="s">
        <v>973</v>
      </c>
      <c r="AM28" s="10">
        <f t="shared" si="1"/>
        <v>59.007347549999992</v>
      </c>
      <c r="AO28" s="10" t="s">
        <v>676</v>
      </c>
      <c r="AP28" s="10">
        <v>3.9322693240740739E-2</v>
      </c>
      <c r="AQ28" s="10">
        <v>4.7896233031274552E-3</v>
      </c>
      <c r="AR28" s="10">
        <v>3.1050919999999992E-2</v>
      </c>
      <c r="AS28" s="10">
        <v>8.5259137891724006E-3</v>
      </c>
    </row>
    <row r="29" spans="1:60">
      <c r="A29" s="10">
        <v>2021</v>
      </c>
      <c r="B29" s="10">
        <v>293</v>
      </c>
      <c r="C29" s="10">
        <v>2</v>
      </c>
      <c r="D29" s="10">
        <v>3</v>
      </c>
      <c r="E29" s="10" t="s">
        <v>807</v>
      </c>
      <c r="F29" s="10">
        <v>8</v>
      </c>
      <c r="G29" s="10">
        <v>997</v>
      </c>
      <c r="H29" s="10">
        <v>469.1</v>
      </c>
      <c r="I29" s="10">
        <f>Table8[[#This Row],[Wet Weight of 3 plants (g) ]]-55.8</f>
        <v>413.3</v>
      </c>
      <c r="J29" s="10">
        <f>(Table8[[#This Row],[Wet - Bag Weight (g) ]]/3)*Table8[[#This Row],['# of Plants]]</f>
        <v>1102.1333333333334</v>
      </c>
      <c r="K29" s="10">
        <v>266.3</v>
      </c>
      <c r="L29" s="10">
        <f>Table8[[#This Row],[DRY Sample Weight (g) (3 Plants) ]]-55.8</f>
        <v>210.5</v>
      </c>
      <c r="M29" s="10">
        <f>Table8[[#This Row],[Wet weight of 1m2 of corn]]-Table8[[#This Row],[Dry Weight of 1m2 of Corn]]</f>
        <v>540.80000000000007</v>
      </c>
      <c r="N29" s="10">
        <f>(Table8[[#This Row],[DRY Sample - Bag Weight (g) ]]/3)*Table8[[#This Row],['# of Plants]]</f>
        <v>561.33333333333337</v>
      </c>
      <c r="O29" s="79">
        <f>Table8[[#This Row],[Dry Weight of 1m2 of Corn]]+J119</f>
        <v>682.99533333333341</v>
      </c>
      <c r="Q29" s="10">
        <v>3</v>
      </c>
      <c r="R29" s="10">
        <v>3</v>
      </c>
      <c r="S29" s="10" t="s">
        <v>411</v>
      </c>
      <c r="T29" s="10">
        <f>(J50+J51)/2</f>
        <v>1029.7</v>
      </c>
      <c r="U29" s="10">
        <f>(O50+O51)/2</f>
        <v>647.06150000000002</v>
      </c>
      <c r="V29" s="10">
        <f>Table911[[#This Row],[Biomass Wet Weight (g/m2)]]-Table911[[#This Row],[Dry Sample Weight (g/m2) ]]</f>
        <v>382.63850000000002</v>
      </c>
      <c r="W29" s="10">
        <f>(Table911[[#This Row],[Moisture loss (g)]]/Table911[[#This Row],[Biomass Wet Weight (g/m2)]])*100</f>
        <v>37.160192289016223</v>
      </c>
      <c r="X29" s="10">
        <f>Table911[[#This Row],[Dry Sample Weight (g/m2) ]]*(10000/1000)</f>
        <v>6470.6149999999998</v>
      </c>
      <c r="Y29" s="10">
        <f>Table911[[#This Row],[Dry Yield (kg/ha)]]*1.155</f>
        <v>7473.5603249999995</v>
      </c>
      <c r="Z29" s="79">
        <f>Table911[[#This Row],[Dry Yield (kg/ha)]]/1000</f>
        <v>6.4706149999999996</v>
      </c>
      <c r="AA29" s="79">
        <f>Table911[[#This Row],[Dry Yield (tons/ha)]]*1.15</f>
        <v>7.4412072499999988</v>
      </c>
      <c r="AB29" s="79" t="s">
        <v>974</v>
      </c>
      <c r="AC29" s="79">
        <f>Table911[[#This Row],[Dry Yield (tons/ha)]]*(Table911[[#This Row],[%C  (Dry)]]/100)</f>
        <v>2.8063057254999997</v>
      </c>
      <c r="AD29" s="79" t="s">
        <v>975</v>
      </c>
      <c r="AE29" s="79">
        <f>Table911[[#This Row],[Dry Yield (tons/ha)]]*(Table911[[#This Row],[%N (Dry)]]/100)</f>
        <v>5.3059042999999986E-2</v>
      </c>
      <c r="AF29" s="79">
        <f>Table911[[#This Row],[Yield (kg/ha) Corrected to 15% M]]*(Table911[[#This Row],[%N (Dry)]]/100)</f>
        <v>61.283194664999989</v>
      </c>
      <c r="AG29" s="79"/>
      <c r="AH29" s="10" t="s">
        <v>677</v>
      </c>
      <c r="AI29" s="154">
        <f>Table911[[#This Row],[Yield (tons/ha) Corrected to 15% Moisture]]*1000</f>
        <v>7441.2072499999986</v>
      </c>
      <c r="AJ29" s="154" t="s">
        <v>974</v>
      </c>
      <c r="AK29" s="154">
        <f t="shared" si="0"/>
        <v>3227.2515843249994</v>
      </c>
      <c r="AL29" s="10" t="s">
        <v>975</v>
      </c>
      <c r="AM29" s="10">
        <f t="shared" si="1"/>
        <v>61.01789944999998</v>
      </c>
      <c r="AO29" s="10" t="s">
        <v>677</v>
      </c>
      <c r="AP29" s="10">
        <v>4.5474479814814811E-2</v>
      </c>
      <c r="AQ29" s="10">
        <v>9.4864836868392803E-3</v>
      </c>
      <c r="AR29" s="10">
        <v>2.3341958888888893E-2</v>
      </c>
      <c r="AS29" s="10">
        <v>4.3697079138326888E-3</v>
      </c>
    </row>
    <row r="30" spans="1:60">
      <c r="A30" s="10">
        <v>2021</v>
      </c>
      <c r="B30" s="10">
        <v>293</v>
      </c>
      <c r="C30" s="10">
        <v>2</v>
      </c>
      <c r="D30" s="10">
        <v>4</v>
      </c>
      <c r="E30" s="10" t="s">
        <v>804</v>
      </c>
      <c r="F30" s="10">
        <v>7</v>
      </c>
      <c r="G30" s="10">
        <v>560.20000000000005</v>
      </c>
      <c r="H30" s="10">
        <v>350.1</v>
      </c>
      <c r="I30" s="10">
        <f>Table8[[#This Row],[Wet Weight of 3 plants (g) ]]-55.8</f>
        <v>294.3</v>
      </c>
      <c r="J30" s="10">
        <f>(Table8[[#This Row],[Wet - Bag Weight (g) ]]/3)*Table8[[#This Row],['# of Plants]]</f>
        <v>686.7</v>
      </c>
      <c r="K30" s="10">
        <v>259.89999999999998</v>
      </c>
      <c r="L30" s="10">
        <f>Table8[[#This Row],[DRY Sample Weight (g) (3 Plants) ]]-55.8</f>
        <v>204.09999999999997</v>
      </c>
      <c r="M30" s="10">
        <f>Table8[[#This Row],[Wet weight of 1m2 of corn]]-Table8[[#This Row],[Dry Weight of 1m2 of Corn]]</f>
        <v>210.46666666666681</v>
      </c>
      <c r="N30" s="10">
        <f>(Table8[[#This Row],[DRY Sample - Bag Weight (g) ]]/3)*Table8[[#This Row],['# of Plants]]</f>
        <v>476.23333333333323</v>
      </c>
      <c r="O30" s="79">
        <f>Table8[[#This Row],[Dry Weight of 1m2 of Corn]]+J120</f>
        <v>610.39533333333327</v>
      </c>
      <c r="Q30" s="10">
        <v>3</v>
      </c>
      <c r="R30" s="10">
        <v>4</v>
      </c>
      <c r="S30" s="10" t="s">
        <v>412</v>
      </c>
      <c r="T30" s="10">
        <f>(J52+J53)/2</f>
        <v>1388.5333333333333</v>
      </c>
      <c r="U30" s="10">
        <f>(O52+O53)/2</f>
        <v>703.97399999999993</v>
      </c>
      <c r="V30" s="10">
        <f>Table911[[#This Row],[Biomass Wet Weight (g/m2)]]-Table911[[#This Row],[Dry Sample Weight (g/m2) ]]</f>
        <v>684.55933333333337</v>
      </c>
      <c r="W30" s="10">
        <f>(Table911[[#This Row],[Moisture loss (g)]]/Table911[[#This Row],[Biomass Wet Weight (g/m2)]])*100</f>
        <v>49.300893028615327</v>
      </c>
      <c r="X30" s="10">
        <f>Table911[[#This Row],[Dry Sample Weight (g/m2) ]]*(10000/1000)</f>
        <v>7039.74</v>
      </c>
      <c r="Y30" s="10">
        <f>Table911[[#This Row],[Dry Yield (kg/ha)]]*1.155</f>
        <v>8130.8996999999999</v>
      </c>
      <c r="Z30" s="79">
        <f>Table911[[#This Row],[Dry Yield (kg/ha)]]/1000</f>
        <v>7.0397400000000001</v>
      </c>
      <c r="AA30" s="79">
        <f>Table911[[#This Row],[Dry Yield (tons/ha)]]*1.15</f>
        <v>8.095701</v>
      </c>
      <c r="AB30" s="79" t="s">
        <v>968</v>
      </c>
      <c r="AC30" s="79">
        <f>Table911[[#This Row],[Dry Yield (tons/ha)]]*(Table911[[#This Row],[%C  (Dry)]]/100)</f>
        <v>3.0672147179999998</v>
      </c>
      <c r="AD30" s="79" t="s">
        <v>976</v>
      </c>
      <c r="AE30" s="79">
        <f>Table911[[#This Row],[Dry Yield (tons/ha)]]*(Table911[[#This Row],[%N (Dry)]]/100)</f>
        <v>3.6606647999999999E-2</v>
      </c>
      <c r="AF30" s="79">
        <f>Table911[[#This Row],[Yield (kg/ha) Corrected to 15% M]]*(Table911[[#This Row],[%N (Dry)]]/100)</f>
        <v>42.280678439999996</v>
      </c>
      <c r="AG30" s="79"/>
      <c r="AH30" s="10" t="s">
        <v>677</v>
      </c>
      <c r="AI30" s="154">
        <f>Table911[[#This Row],[Yield (tons/ha) Corrected to 15% Moisture]]*1000</f>
        <v>8095.701</v>
      </c>
      <c r="AJ30" s="154" t="s">
        <v>968</v>
      </c>
      <c r="AK30" s="154">
        <f t="shared" si="0"/>
        <v>3527.2969257</v>
      </c>
      <c r="AL30" s="10" t="s">
        <v>976</v>
      </c>
      <c r="AM30" s="10">
        <f t="shared" si="1"/>
        <v>42.097645199999995</v>
      </c>
      <c r="AO30" s="10" t="s">
        <v>678</v>
      </c>
      <c r="AP30" s="10">
        <v>4.1042548055555544E-2</v>
      </c>
      <c r="AQ30" s="10">
        <v>9.4873107228499558E-3</v>
      </c>
      <c r="AR30" s="10">
        <v>2.6353195555555552E-2</v>
      </c>
      <c r="AS30" s="10">
        <v>2.3330900737251518E-3</v>
      </c>
    </row>
    <row r="31" spans="1:60">
      <c r="A31" s="10">
        <v>2021</v>
      </c>
      <c r="B31" s="10">
        <v>293</v>
      </c>
      <c r="C31" s="10">
        <v>2</v>
      </c>
      <c r="D31" s="10">
        <v>4</v>
      </c>
      <c r="E31" s="10" t="s">
        <v>807</v>
      </c>
      <c r="F31" s="10">
        <v>7</v>
      </c>
      <c r="G31" s="10">
        <v>518.6</v>
      </c>
      <c r="H31" s="10">
        <v>409.9</v>
      </c>
      <c r="I31" s="10">
        <f>Table8[[#This Row],[Wet Weight of 3 plants (g) ]]-55.8</f>
        <v>354.09999999999997</v>
      </c>
      <c r="J31" s="10">
        <f>(Table8[[#This Row],[Wet - Bag Weight (g) ]]/3)*Table8[[#This Row],['# of Plants]]</f>
        <v>826.23333333333323</v>
      </c>
      <c r="K31" s="10">
        <v>279.7</v>
      </c>
      <c r="L31" s="10">
        <f>Table8[[#This Row],[DRY Sample Weight (g) (3 Plants) ]]-55.8</f>
        <v>223.89999999999998</v>
      </c>
      <c r="M31" s="10">
        <f>Table8[[#This Row],[Wet weight of 1m2 of corn]]-Table8[[#This Row],[Dry Weight of 1m2 of Corn]]</f>
        <v>303.79999999999995</v>
      </c>
      <c r="N31" s="10">
        <f>(Table8[[#This Row],[DRY Sample - Bag Weight (g) ]]/3)*Table8[[#This Row],['# of Plants]]</f>
        <v>522.43333333333328</v>
      </c>
      <c r="O31" s="79">
        <f>Table8[[#This Row],[Dry Weight of 1m2 of Corn]]+J121</f>
        <v>650.92333333333329</v>
      </c>
      <c r="Q31" s="10">
        <v>3</v>
      </c>
      <c r="R31" s="10">
        <v>5</v>
      </c>
      <c r="S31" s="10" t="s">
        <v>413</v>
      </c>
      <c r="T31" s="10">
        <f>(J54+J55)/2</f>
        <v>1284.5666666666668</v>
      </c>
      <c r="U31" s="10">
        <f>(O54+O55)/2</f>
        <v>670.053</v>
      </c>
      <c r="V31" s="10">
        <f>Table911[[#This Row],[Biomass Wet Weight (g/m2)]]-Table911[[#This Row],[Dry Sample Weight (g/m2) ]]</f>
        <v>614.51366666666684</v>
      </c>
      <c r="W31" s="10">
        <f>(Table911[[#This Row],[Moisture loss (g)]]/Table911[[#This Row],[Biomass Wet Weight (g/m2)]])*100</f>
        <v>47.838207437008592</v>
      </c>
      <c r="X31" s="10">
        <f>Table911[[#This Row],[Dry Sample Weight (g/m2) ]]*(10000/1000)</f>
        <v>6700.53</v>
      </c>
      <c r="Y31" s="10">
        <f>Table911[[#This Row],[Dry Yield (kg/ha)]]*1.155</f>
        <v>7739.1121499999999</v>
      </c>
      <c r="Z31" s="79">
        <f>Table911[[#This Row],[Dry Yield (kg/ha)]]/1000</f>
        <v>6.7005299999999997</v>
      </c>
      <c r="AA31" s="79">
        <f>Table911[[#This Row],[Dry Yield (tons/ha)]]*1.15</f>
        <v>7.7056094999999987</v>
      </c>
      <c r="AB31" s="79" t="s">
        <v>977</v>
      </c>
      <c r="AC31" s="79">
        <f>Table911[[#This Row],[Dry Yield (tons/ha)]]*(Table911[[#This Row],[%C  (Dry)]]/100)</f>
        <v>2.9254513979999999</v>
      </c>
      <c r="AD31" s="79" t="s">
        <v>978</v>
      </c>
      <c r="AE31" s="79">
        <f>Table911[[#This Row],[Dry Yield (tons/ha)]]*(Table911[[#This Row],[%N (Dry)]]/100)</f>
        <v>3.5512808999999999E-2</v>
      </c>
      <c r="AF31" s="79">
        <f>Table911[[#This Row],[Yield (kg/ha) Corrected to 15% M]]*(Table911[[#This Row],[%N (Dry)]]/100)</f>
        <v>41.017294395</v>
      </c>
      <c r="AG31" s="79"/>
      <c r="AH31" s="10" t="s">
        <v>677</v>
      </c>
      <c r="AI31" s="154">
        <f>Table911[[#This Row],[Yield (tons/ha) Corrected to 15% Moisture]]*1000</f>
        <v>7705.6094999999987</v>
      </c>
      <c r="AJ31" s="154" t="s">
        <v>977</v>
      </c>
      <c r="AK31" s="154">
        <f t="shared" si="0"/>
        <v>3364.2691076999995</v>
      </c>
      <c r="AL31" s="10" t="s">
        <v>978</v>
      </c>
      <c r="AM31" s="10">
        <f t="shared" si="1"/>
        <v>40.839730349999996</v>
      </c>
    </row>
    <row r="32" spans="1:60">
      <c r="A32" s="10">
        <v>2021</v>
      </c>
      <c r="B32" s="10">
        <v>293</v>
      </c>
      <c r="C32" s="10">
        <v>2</v>
      </c>
      <c r="D32" s="10">
        <v>5</v>
      </c>
      <c r="E32" s="78" t="s">
        <v>804</v>
      </c>
      <c r="F32" s="10">
        <v>7</v>
      </c>
      <c r="G32" s="10">
        <v>643.1</v>
      </c>
      <c r="H32" s="10">
        <v>385.7</v>
      </c>
      <c r="I32" s="10">
        <f>Table8[[#This Row],[Wet Weight of 3 plants (g) ]]-55.8</f>
        <v>329.9</v>
      </c>
      <c r="J32" s="10">
        <f>(Table8[[#This Row],[Wet - Bag Weight (g) ]]/3)*Table8[[#This Row],['# of Plants]]</f>
        <v>769.76666666666654</v>
      </c>
      <c r="K32" s="10">
        <v>269.3</v>
      </c>
      <c r="L32" s="10">
        <f>Table8[[#This Row],[DRY Sample Weight (g) (3 Plants) ]]-55.8</f>
        <v>213.5</v>
      </c>
      <c r="M32" s="10">
        <f>Table8[[#This Row],[Wet weight of 1m2 of corn]]-Table8[[#This Row],[Dry Weight of 1m2 of Corn]]</f>
        <v>271.59999999999985</v>
      </c>
      <c r="N32" s="10">
        <f>(Table8[[#This Row],[DRY Sample - Bag Weight (g) ]]/3)*Table8[[#This Row],['# of Plants]]</f>
        <v>498.16666666666669</v>
      </c>
      <c r="O32" s="79">
        <f>Table8[[#This Row],[Dry Weight of 1m2 of Corn]]+J122</f>
        <v>635.56366666666668</v>
      </c>
      <c r="Q32" s="10">
        <v>3</v>
      </c>
      <c r="R32" s="10">
        <v>6</v>
      </c>
      <c r="S32" s="10" t="s">
        <v>414</v>
      </c>
      <c r="T32" s="10">
        <f>(J56+J57)/2</f>
        <v>1020.0166666666665</v>
      </c>
      <c r="U32" s="10">
        <f>(O56+O57)/2</f>
        <v>645.2831666666666</v>
      </c>
      <c r="V32" s="10">
        <f>Table911[[#This Row],[Biomass Wet Weight (g/m2)]]-Table911[[#This Row],[Dry Sample Weight (g/m2) ]]</f>
        <v>374.73349999999994</v>
      </c>
      <c r="W32" s="10">
        <f>(Table911[[#This Row],[Moisture loss (g)]]/Table911[[#This Row],[Biomass Wet Weight (g/m2)]])*100</f>
        <v>36.737978137612124</v>
      </c>
      <c r="X32" s="10">
        <f>Table911[[#This Row],[Dry Sample Weight (g/m2) ]]*(10000/1000)</f>
        <v>6452.831666666666</v>
      </c>
      <c r="Y32" s="10">
        <f>Table911[[#This Row],[Dry Yield (kg/ha)]]*1.155</f>
        <v>7453.0205749999996</v>
      </c>
      <c r="Z32" s="79">
        <f>Table911[[#This Row],[Dry Yield (kg/ha)]]/1000</f>
        <v>6.4528316666666656</v>
      </c>
      <c r="AA32" s="79">
        <f>Table911[[#This Row],[Dry Yield (tons/ha)]]*1.15</f>
        <v>7.4207564166666646</v>
      </c>
      <c r="AB32" s="79" t="s">
        <v>979</v>
      </c>
      <c r="AC32" s="79">
        <f>Table911[[#This Row],[Dry Yield (tons/ha)]]*(Table911[[#This Row],[%C  (Dry)]]/100)</f>
        <v>2.7740723334999995</v>
      </c>
      <c r="AD32" s="79" t="s">
        <v>980</v>
      </c>
      <c r="AE32" s="79">
        <f>Table911[[#This Row],[Dry Yield (tons/ha)]]*(Table911[[#This Row],[%N (Dry)]]/100)</f>
        <v>7.162643149999999E-2</v>
      </c>
      <c r="AF32" s="79">
        <f>Table911[[#This Row],[Yield (kg/ha) Corrected to 15% M]]*(Table911[[#This Row],[%N (Dry)]]/100)</f>
        <v>82.728528382500002</v>
      </c>
      <c r="AG32" s="79"/>
      <c r="AH32" s="10" t="s">
        <v>677</v>
      </c>
      <c r="AI32" s="154">
        <f>Table911[[#This Row],[Yield (tons/ha) Corrected to 15% Moisture]]*1000</f>
        <v>7420.7564166666643</v>
      </c>
      <c r="AJ32" s="154" t="s">
        <v>979</v>
      </c>
      <c r="AK32" s="154">
        <f t="shared" si="0"/>
        <v>3190.1831835249991</v>
      </c>
      <c r="AL32" s="10" t="s">
        <v>980</v>
      </c>
      <c r="AM32" s="10">
        <f t="shared" si="1"/>
        <v>82.370396224999979</v>
      </c>
      <c r="AO32" s="76" t="s">
        <v>921</v>
      </c>
      <c r="AP32" s="3" t="s">
        <v>981</v>
      </c>
      <c r="AQ32" s="3" t="s">
        <v>586</v>
      </c>
    </row>
    <row r="33" spans="1:43">
      <c r="A33" s="10">
        <v>2021</v>
      </c>
      <c r="B33" s="10">
        <v>293</v>
      </c>
      <c r="C33" s="10">
        <v>2</v>
      </c>
      <c r="D33" s="10">
        <v>5</v>
      </c>
      <c r="E33" s="10" t="s">
        <v>807</v>
      </c>
      <c r="F33" s="10">
        <v>7</v>
      </c>
      <c r="G33" s="10">
        <v>727.4</v>
      </c>
      <c r="H33" s="10">
        <v>356.8</v>
      </c>
      <c r="I33" s="10">
        <f>Table8[[#This Row],[Wet Weight of 3 plants (g) ]]-55.8</f>
        <v>301</v>
      </c>
      <c r="J33" s="10">
        <f>(Table8[[#This Row],[Wet - Bag Weight (g) ]]/3)*Table8[[#This Row],['# of Plants]]</f>
        <v>702.33333333333326</v>
      </c>
      <c r="K33" s="10">
        <v>260.60000000000002</v>
      </c>
      <c r="L33" s="10">
        <f>Table8[[#This Row],[DRY Sample Weight (g) (3 Plants) ]]-55.8</f>
        <v>204.8</v>
      </c>
      <c r="M33" s="10">
        <f>Table8[[#This Row],[Wet weight of 1m2 of corn]]-Table8[[#This Row],[Dry Weight of 1m2 of Corn]]</f>
        <v>224.46666666666658</v>
      </c>
      <c r="N33" s="10">
        <f>(Table8[[#This Row],[DRY Sample - Bag Weight (g) ]]/3)*Table8[[#This Row],['# of Plants]]</f>
        <v>477.86666666666667</v>
      </c>
      <c r="O33" s="79">
        <f>Table8[[#This Row],[Dry Weight of 1m2 of Corn]]+J123</f>
        <v>595.36866666666663</v>
      </c>
      <c r="Q33" s="10">
        <v>3</v>
      </c>
      <c r="R33" s="10">
        <v>7</v>
      </c>
      <c r="S33" s="10" t="s">
        <v>415</v>
      </c>
      <c r="T33" s="10">
        <f>(J58+J59)/2</f>
        <v>892.85</v>
      </c>
      <c r="U33" s="10">
        <f>(O58+O59)/2</f>
        <v>604.75599999999986</v>
      </c>
      <c r="V33" s="10">
        <f>Table911[[#This Row],[Biomass Wet Weight (g/m2)]]-Table911[[#This Row],[Dry Sample Weight (g/m2) ]]</f>
        <v>288.09400000000016</v>
      </c>
      <c r="W33" s="10">
        <f>(Table911[[#This Row],[Moisture loss (g)]]/Table911[[#This Row],[Biomass Wet Weight (g/m2)]])*100</f>
        <v>32.266786134289092</v>
      </c>
      <c r="X33" s="10">
        <f>Table911[[#This Row],[Dry Sample Weight (g/m2) ]]*(10000/1000)</f>
        <v>6047.5599999999986</v>
      </c>
      <c r="Y33" s="10">
        <f>Table911[[#This Row],[Dry Yield (kg/ha)]]*1.155</f>
        <v>6984.9317999999985</v>
      </c>
      <c r="Z33" s="79">
        <f>Table911[[#This Row],[Dry Yield (kg/ha)]]/1000</f>
        <v>6.0475599999999989</v>
      </c>
      <c r="AA33" s="79">
        <f>Table911[[#This Row],[Dry Yield (tons/ha)]]*1.15</f>
        <v>6.9546939999999982</v>
      </c>
      <c r="AB33" s="79" t="s">
        <v>982</v>
      </c>
      <c r="AC33" s="79">
        <f>Table911[[#This Row],[Dry Yield (tons/ha)]]*(Table911[[#This Row],[%C  (Dry)]]/100)</f>
        <v>2.5774700719999992</v>
      </c>
      <c r="AD33" s="79" t="s">
        <v>983</v>
      </c>
      <c r="AE33" s="79">
        <f>Table911[[#This Row],[Dry Yield (tons/ha)]]*(Table911[[#This Row],[%N (Dry)]]/100)</f>
        <v>5.3218527999999994E-2</v>
      </c>
      <c r="AF33" s="79">
        <f>Table911[[#This Row],[Yield (kg/ha) Corrected to 15% M]]*(Table911[[#This Row],[%N (Dry)]]/100)</f>
        <v>61.467399839999992</v>
      </c>
      <c r="AG33" s="79"/>
      <c r="AH33" s="10" t="s">
        <v>677</v>
      </c>
      <c r="AI33" s="154">
        <f>Table911[[#This Row],[Yield (tons/ha) Corrected to 15% Moisture]]*1000</f>
        <v>6954.6939999999986</v>
      </c>
      <c r="AJ33" s="154" t="s">
        <v>982</v>
      </c>
      <c r="AK33" s="154">
        <f t="shared" si="0"/>
        <v>2964.0905827999991</v>
      </c>
      <c r="AL33" s="10" t="s">
        <v>983</v>
      </c>
      <c r="AM33" s="10">
        <f t="shared" si="1"/>
        <v>61.201307199999988</v>
      </c>
      <c r="AO33" s="10" t="s">
        <v>675</v>
      </c>
      <c r="AP33" s="7">
        <f>AVERAGE(AA3:AA11)</f>
        <v>7.198834314814814</v>
      </c>
      <c r="AQ33" s="7">
        <f>STDEV(AA3:AA11)</f>
        <v>0.68321924122488253</v>
      </c>
    </row>
    <row r="34" spans="1:43">
      <c r="A34" s="10">
        <v>2021</v>
      </c>
      <c r="B34" s="10">
        <v>293</v>
      </c>
      <c r="C34" s="10">
        <v>2</v>
      </c>
      <c r="D34" s="10">
        <v>6</v>
      </c>
      <c r="E34" s="10" t="s">
        <v>804</v>
      </c>
      <c r="F34" s="10">
        <v>7</v>
      </c>
      <c r="G34" s="10">
        <v>592.29999999999995</v>
      </c>
      <c r="H34" s="10">
        <v>427.7</v>
      </c>
      <c r="I34" s="10">
        <f>Table8[[#This Row],[Wet Weight of 3 plants (g) ]]-55.8</f>
        <v>371.9</v>
      </c>
      <c r="J34" s="10">
        <f>(Table8[[#This Row],[Wet - Bag Weight (g) ]]/3)*Table8[[#This Row],['# of Plants]]</f>
        <v>867.76666666666654</v>
      </c>
      <c r="K34" s="10">
        <v>286.2</v>
      </c>
      <c r="L34" s="10">
        <f>Table8[[#This Row],[DRY Sample Weight (g) (3 Plants) ]]-55.8</f>
        <v>230.39999999999998</v>
      </c>
      <c r="M34" s="10">
        <f>Table8[[#This Row],[Wet weight of 1m2 of corn]]-Table8[[#This Row],[Dry Weight of 1m2 of Corn]]</f>
        <v>330.16666666666652</v>
      </c>
      <c r="N34" s="10">
        <f>(Table8[[#This Row],[DRY Sample - Bag Weight (g) ]]/3)*Table8[[#This Row],['# of Plants]]</f>
        <v>537.6</v>
      </c>
      <c r="O34" s="79">
        <f>Table8[[#This Row],[Dry Weight of 1m2 of Corn]]+J124</f>
        <v>669.67600000000004</v>
      </c>
      <c r="Q34" s="10">
        <v>3</v>
      </c>
      <c r="R34" s="10">
        <v>8</v>
      </c>
      <c r="S34" s="10" t="s">
        <v>416</v>
      </c>
      <c r="T34" s="10">
        <f>(J60+J61)/2</f>
        <v>965.84999999999991</v>
      </c>
      <c r="U34" s="10">
        <f>(O60+O61)/2</f>
        <v>602.6101666666666</v>
      </c>
      <c r="V34" s="10">
        <f>Table911[[#This Row],[Biomass Wet Weight (g/m2)]]-Table911[[#This Row],[Dry Sample Weight (g/m2) ]]</f>
        <v>363.23983333333331</v>
      </c>
      <c r="W34" s="10">
        <f>(Table911[[#This Row],[Moisture loss (g)]]/Table911[[#This Row],[Biomass Wet Weight (g/m2)]])*100</f>
        <v>37.608307017997966</v>
      </c>
      <c r="X34" s="10">
        <f>Table911[[#This Row],[Dry Sample Weight (g/m2) ]]*(10000/1000)</f>
        <v>6026.1016666666656</v>
      </c>
      <c r="Y34" s="10">
        <f>Table911[[#This Row],[Dry Yield (kg/ha)]]*1.155</f>
        <v>6960.1474249999992</v>
      </c>
      <c r="Z34" s="79">
        <f>Table911[[#This Row],[Dry Yield (kg/ha)]]/1000</f>
        <v>6.0261016666666656</v>
      </c>
      <c r="AA34" s="79">
        <f>Table911[[#This Row],[Dry Yield (tons/ha)]]*1.15</f>
        <v>6.9300169166666645</v>
      </c>
      <c r="AB34" s="79" t="s">
        <v>984</v>
      </c>
      <c r="AC34" s="79">
        <f>Table911[[#This Row],[Dry Yield (tons/ha)]]*(Table911[[#This Row],[%C  (Dry)]]/100)</f>
        <v>2.6460612418333329</v>
      </c>
      <c r="AD34" s="79" t="s">
        <v>933</v>
      </c>
      <c r="AE34" s="79">
        <f>Table911[[#This Row],[Dry Yield (tons/ha)]]*(Table911[[#This Row],[%N (Dry)]]/100)</f>
        <v>4.5798372666666656E-2</v>
      </c>
      <c r="AF34" s="79">
        <f>Table911[[#This Row],[Yield (kg/ha) Corrected to 15% M]]*(Table911[[#This Row],[%N (Dry)]]/100)</f>
        <v>52.897120429999994</v>
      </c>
      <c r="AG34" s="79"/>
      <c r="AH34" s="10" t="s">
        <v>677</v>
      </c>
      <c r="AI34" s="154">
        <f>Table911[[#This Row],[Yield (tons/ha) Corrected to 15% Moisture]]*1000</f>
        <v>6930.0169166666647</v>
      </c>
      <c r="AJ34" s="154" t="s">
        <v>984</v>
      </c>
      <c r="AK34" s="154">
        <f t="shared" si="0"/>
        <v>3042.9704281083323</v>
      </c>
      <c r="AL34" s="10" t="s">
        <v>933</v>
      </c>
      <c r="AM34" s="10">
        <f t="shared" si="1"/>
        <v>52.668128566666653</v>
      </c>
      <c r="AO34" s="10" t="s">
        <v>943</v>
      </c>
      <c r="AP34" s="7">
        <f>AVERAGE(AA12:AA14)</f>
        <v>6.084561833333332</v>
      </c>
      <c r="AQ34" s="7">
        <f>STDEV(AA12:AA14)</f>
        <v>1.7002607081575352</v>
      </c>
    </row>
    <row r="35" spans="1:43">
      <c r="A35" s="10">
        <v>2021</v>
      </c>
      <c r="B35" s="10">
        <v>293</v>
      </c>
      <c r="C35" s="10">
        <v>2</v>
      </c>
      <c r="D35" s="10">
        <v>6</v>
      </c>
      <c r="E35" s="10" t="s">
        <v>807</v>
      </c>
      <c r="F35" s="10">
        <v>7</v>
      </c>
      <c r="G35" s="10">
        <v>435.5</v>
      </c>
      <c r="H35" s="10">
        <v>304.3</v>
      </c>
      <c r="I35" s="10">
        <f>Table8[[#This Row],[Wet Weight of 3 plants (g) ]]-55.8</f>
        <v>248.5</v>
      </c>
      <c r="J35" s="10">
        <f>(Table8[[#This Row],[Wet - Bag Weight (g) ]]/3)*Table8[[#This Row],['# of Plants]]</f>
        <v>579.83333333333326</v>
      </c>
      <c r="K35" s="10">
        <v>257.8</v>
      </c>
      <c r="L35" s="10">
        <f>Table8[[#This Row],[DRY Sample Weight (g) (3 Plants) ]]-55.8</f>
        <v>202</v>
      </c>
      <c r="M35" s="10">
        <f>Table8[[#This Row],[Wet weight of 1m2 of corn]]-Table8[[#This Row],[Dry Weight of 1m2 of Corn]]</f>
        <v>108.49999999999994</v>
      </c>
      <c r="N35" s="10">
        <f>(Table8[[#This Row],[DRY Sample - Bag Weight (g) ]]/3)*Table8[[#This Row],['# of Plants]]</f>
        <v>471.33333333333331</v>
      </c>
      <c r="O35" s="79">
        <f>Table8[[#This Row],[Dry Weight of 1m2 of Corn]]+J125</f>
        <v>594.19833333333327</v>
      </c>
      <c r="Q35" s="10">
        <v>3</v>
      </c>
      <c r="R35" s="10">
        <v>9</v>
      </c>
      <c r="S35" s="10" t="s">
        <v>417</v>
      </c>
      <c r="T35" s="10">
        <f>(J62+J63)/2</f>
        <v>867.06666666666661</v>
      </c>
      <c r="U35" s="10">
        <f>(O62+O63)/2</f>
        <v>552.80866666666668</v>
      </c>
      <c r="V35" s="10">
        <f>Table911[[#This Row],[Biomass Wet Weight (g/m2)]]-Table911[[#This Row],[Dry Sample Weight (g/m2) ]]</f>
        <v>314.25799999999992</v>
      </c>
      <c r="W35" s="10">
        <f>(Table911[[#This Row],[Moisture loss (g)]]/Table911[[#This Row],[Biomass Wet Weight (g/m2)]])*100</f>
        <v>36.243810548977393</v>
      </c>
      <c r="X35" s="10">
        <f>Table911[[#This Row],[Dry Sample Weight (g/m2) ]]*(10000/1000)</f>
        <v>5528.086666666667</v>
      </c>
      <c r="Y35" s="10">
        <f>Table911[[#This Row],[Dry Yield (kg/ha)]]*1.155</f>
        <v>6384.9401000000007</v>
      </c>
      <c r="Z35" s="79">
        <f>Table911[[#This Row],[Dry Yield (kg/ha)]]/1000</f>
        <v>5.5280866666666668</v>
      </c>
      <c r="AA35" s="79">
        <f>Table911[[#This Row],[Dry Yield (tons/ha)]]*1.15</f>
        <v>6.3572996666666661</v>
      </c>
      <c r="AB35" s="79" t="s">
        <v>834</v>
      </c>
      <c r="AC35" s="79">
        <f>Table911[[#This Row],[Dry Yield (tons/ha)]]*(Table911[[#This Row],[%C  (Dry)]]/100)</f>
        <v>2.4141154473333337</v>
      </c>
      <c r="AD35" s="79" t="s">
        <v>936</v>
      </c>
      <c r="AE35" s="79">
        <f>Table911[[#This Row],[Dry Yield (tons/ha)]]*(Table911[[#This Row],[%N (Dry)]]/100)</f>
        <v>4.5883119333333333E-2</v>
      </c>
      <c r="AF35" s="79">
        <f>Table911[[#This Row],[Yield (kg/ha) Corrected to 15% M]]*(Table911[[#This Row],[%N (Dry)]]/100)</f>
        <v>52.995002830000004</v>
      </c>
      <c r="AG35" s="79"/>
      <c r="AH35" s="10" t="s">
        <v>677</v>
      </c>
      <c r="AI35" s="154">
        <f>Table911[[#This Row],[Yield (tons/ha) Corrected to 15% Moisture]]*1000</f>
        <v>6357.2996666666659</v>
      </c>
      <c r="AJ35" s="154" t="s">
        <v>834</v>
      </c>
      <c r="AK35" s="154">
        <f t="shared" si="0"/>
        <v>2776.2327644333332</v>
      </c>
      <c r="AL35" s="10" t="s">
        <v>936</v>
      </c>
      <c r="AM35" s="10">
        <f t="shared" si="1"/>
        <v>52.765587233333328</v>
      </c>
      <c r="AO35" s="10" t="s">
        <v>676</v>
      </c>
      <c r="AP35" s="7">
        <f>AVERAGE(AA15:AA23)</f>
        <v>7.3759162129629612</v>
      </c>
      <c r="AQ35" s="7">
        <f>STDEV(AA15:AA23)</f>
        <v>0.20656641344172832</v>
      </c>
    </row>
    <row r="36" spans="1:43">
      <c r="A36" s="10">
        <v>2021</v>
      </c>
      <c r="B36" s="10">
        <v>293</v>
      </c>
      <c r="C36" s="10">
        <v>2</v>
      </c>
      <c r="D36" s="10">
        <v>7</v>
      </c>
      <c r="E36" s="78" t="s">
        <v>804</v>
      </c>
      <c r="F36" s="10">
        <v>8</v>
      </c>
      <c r="G36" s="10">
        <v>477.6</v>
      </c>
      <c r="H36" s="10">
        <v>477.9</v>
      </c>
      <c r="I36" s="10">
        <f>Table8[[#This Row],[Wet Weight of 3 plants (g) ]]-55.8</f>
        <v>422.09999999999997</v>
      </c>
      <c r="J36" s="10">
        <f>(Table8[[#This Row],[Wet - Bag Weight (g) ]]/3)*Table8[[#This Row],['# of Plants]]</f>
        <v>1125.5999999999999</v>
      </c>
      <c r="K36" s="10">
        <v>272.89999999999998</v>
      </c>
      <c r="L36" s="10">
        <f>Table8[[#This Row],[DRY Sample Weight (g) (3 Plants) ]]-55.8</f>
        <v>217.09999999999997</v>
      </c>
      <c r="M36" s="10">
        <f>Table8[[#This Row],[Wet weight of 1m2 of corn]]-Table8[[#This Row],[Dry Weight of 1m2 of Corn]]</f>
        <v>546.66666666666663</v>
      </c>
      <c r="N36" s="10">
        <f>(Table8[[#This Row],[DRY Sample - Bag Weight (g) ]]/3)*Table8[[#This Row],['# of Plants]]</f>
        <v>578.93333333333328</v>
      </c>
      <c r="O36" s="79">
        <f>Table8[[#This Row],[Dry Weight of 1m2 of Corn]]+J126</f>
        <v>701.63333333333333</v>
      </c>
      <c r="Q36" s="6">
        <v>3</v>
      </c>
      <c r="R36" s="6">
        <v>11</v>
      </c>
      <c r="S36" s="6" t="s">
        <v>418</v>
      </c>
      <c r="T36" s="6">
        <v>941.26666666666665</v>
      </c>
      <c r="U36" s="6">
        <f>O63</f>
        <v>449.1880000000001</v>
      </c>
      <c r="V36" s="6">
        <f>Table911[[#This Row],[Biomass Wet Weight (g/m2)]]-Table911[[#This Row],[Dry Sample Weight (g/m2) ]]</f>
        <v>492.07866666666655</v>
      </c>
      <c r="W36" s="6">
        <f>(Table911[[#This Row],[Moisture loss (g)]]/Table911[[#This Row],[Biomass Wet Weight (g/m2)]])*100</f>
        <v>52.278348324952184</v>
      </c>
      <c r="X36" s="6">
        <f>Table911[[#This Row],[Dry Sample Weight (g/m2) ]]*(10000/1000)</f>
        <v>4491.880000000001</v>
      </c>
      <c r="Y36" s="6">
        <f>Table911[[#This Row],[Dry Yield (kg/ha)]]*1.155</f>
        <v>5188.1214000000009</v>
      </c>
      <c r="Z36" s="141">
        <f>Table911[[#This Row],[Dry Yield (kg/ha)]]/1000</f>
        <v>4.491880000000001</v>
      </c>
      <c r="AA36" s="141">
        <f>Table911[[#This Row],[Dry Yield (tons/ha)]]*1.15</f>
        <v>5.1656620000000011</v>
      </c>
      <c r="AB36" s="141" t="s">
        <v>985</v>
      </c>
      <c r="AC36" s="141">
        <f>Table911[[#This Row],[Dry Yield (tons/ha)]]*(Table911[[#This Row],[%C  (Dry)]]/100)</f>
        <v>1.9041079320000005</v>
      </c>
      <c r="AD36" s="141" t="s">
        <v>942</v>
      </c>
      <c r="AE36" s="141">
        <f>Table911[[#This Row],[Dry Yield (tons/ha)]]*(Table911[[#This Row],[%N (Dry)]]/100)</f>
        <v>2.8298844000000007E-2</v>
      </c>
      <c r="AF36" s="141">
        <f>Table911[[#This Row],[Yield (kg/ha) Corrected to 15% M]]*(Table911[[#This Row],[%N (Dry)]]/100)</f>
        <v>32.685164820000004</v>
      </c>
      <c r="AG36" s="141"/>
      <c r="AH36" s="6" t="s">
        <v>695</v>
      </c>
      <c r="AI36" s="141">
        <f>Table911[[#This Row],[Yield (tons/ha) Corrected to 15% Moisture]]*1000</f>
        <v>5165.6620000000012</v>
      </c>
      <c r="AJ36" s="141" t="s">
        <v>985</v>
      </c>
      <c r="AK36" s="141">
        <f t="shared" si="0"/>
        <v>2189.7241218000004</v>
      </c>
      <c r="AL36" s="6" t="s">
        <v>942</v>
      </c>
      <c r="AM36" s="6">
        <f t="shared" si="1"/>
        <v>32.543670600000006</v>
      </c>
      <c r="AO36" s="10" t="s">
        <v>948</v>
      </c>
      <c r="AP36" s="7">
        <f>AVERAGE(AA24:AA26)</f>
        <v>5.9147451666666653</v>
      </c>
      <c r="AQ36" s="7">
        <f>STDEV(AA24:AA26)</f>
        <v>1.4604836489609629</v>
      </c>
    </row>
    <row r="37" spans="1:43">
      <c r="A37" s="10">
        <v>2021</v>
      </c>
      <c r="B37" s="10">
        <v>293</v>
      </c>
      <c r="C37" s="10">
        <v>2</v>
      </c>
      <c r="D37" s="10">
        <v>7</v>
      </c>
      <c r="E37" s="10" t="s">
        <v>807</v>
      </c>
      <c r="F37" s="10">
        <v>7</v>
      </c>
      <c r="G37" s="10">
        <v>426.5</v>
      </c>
      <c r="H37" s="10">
        <v>386.6</v>
      </c>
      <c r="I37" s="10">
        <f>Table8[[#This Row],[Wet Weight of 3 plants (g) ]]-55.8</f>
        <v>330.8</v>
      </c>
      <c r="J37" s="10">
        <f>(Table8[[#This Row],[Wet - Bag Weight (g) ]]/3)*Table8[[#This Row],['# of Plants]]</f>
        <v>771.86666666666667</v>
      </c>
      <c r="K37" s="10">
        <v>254.5</v>
      </c>
      <c r="L37" s="10">
        <f>Table8[[#This Row],[DRY Sample Weight (g) (3 Plants) ]]-55.8</f>
        <v>198.7</v>
      </c>
      <c r="M37" s="10">
        <f>Table8[[#This Row],[Wet weight of 1m2 of corn]]-Table8[[#This Row],[Dry Weight of 1m2 of Corn]]</f>
        <v>308.23333333333335</v>
      </c>
      <c r="N37" s="10">
        <f>(Table8[[#This Row],[DRY Sample - Bag Weight (g) ]]/3)*Table8[[#This Row],['# of Plants]]</f>
        <v>463.63333333333333</v>
      </c>
      <c r="O37" s="79">
        <f>Table8[[#This Row],[Dry Weight of 1m2 of Corn]]+J127</f>
        <v>583.0813333333333</v>
      </c>
      <c r="Q37" s="6">
        <v>3</v>
      </c>
      <c r="R37" s="6">
        <v>12</v>
      </c>
      <c r="S37" s="6" t="s">
        <v>419</v>
      </c>
      <c r="T37" s="6">
        <v>677.83333333333326</v>
      </c>
      <c r="U37" s="6">
        <f>O64</f>
        <v>348.21033333333338</v>
      </c>
      <c r="V37" s="6">
        <f>Table911[[#This Row],[Biomass Wet Weight (g/m2)]]-Table911[[#This Row],[Dry Sample Weight (g/m2) ]]</f>
        <v>329.62299999999988</v>
      </c>
      <c r="W37" s="6">
        <f>(Table911[[#This Row],[Moisture loss (g)]]/Table911[[#This Row],[Biomass Wet Weight (g/m2)]])*100</f>
        <v>48.628915662650591</v>
      </c>
      <c r="X37" s="6">
        <f>Table911[[#This Row],[Dry Sample Weight (g/m2) ]]*(10000/1000)</f>
        <v>3482.1033333333339</v>
      </c>
      <c r="Y37" s="6">
        <f>Table911[[#This Row],[Dry Yield (kg/ha)]]*1.155</f>
        <v>4021.8293500000009</v>
      </c>
      <c r="Z37" s="141">
        <f>Table911[[#This Row],[Dry Yield (kg/ha)]]/1000</f>
        <v>3.4821033333333338</v>
      </c>
      <c r="AA37" s="141">
        <f>Table911[[#This Row],[Dry Yield (tons/ha)]]*1.15</f>
        <v>4.0044188333333333</v>
      </c>
      <c r="AB37" s="141" t="s">
        <v>680</v>
      </c>
      <c r="AC37" s="141">
        <f>Table911[[#This Row],[Dry Yield (tons/ha)]]*(Table911[[#This Row],[%C  (Dry)]]/100)</f>
        <v>1.4607423483333337</v>
      </c>
      <c r="AD37" s="141" t="s">
        <v>956</v>
      </c>
      <c r="AE37" s="141">
        <f>Table911[[#This Row],[Dry Yield (tons/ha)]]*(Table911[[#This Row],[%N (Dry)]]/100)</f>
        <v>2.0544409666666669E-2</v>
      </c>
      <c r="AF37" s="141">
        <f>Table911[[#This Row],[Yield (kg/ha) Corrected to 15% M]]*(Table911[[#This Row],[%N (Dry)]]/100)</f>
        <v>23.728793165000006</v>
      </c>
      <c r="AG37" s="141"/>
      <c r="AH37" s="6" t="s">
        <v>695</v>
      </c>
      <c r="AI37" s="141">
        <f>Table911[[#This Row],[Yield (tons/ha) Corrected to 15% Moisture]]*1000</f>
        <v>4004.4188333333332</v>
      </c>
      <c r="AJ37" s="141" t="s">
        <v>680</v>
      </c>
      <c r="AK37" s="141">
        <f t="shared" si="0"/>
        <v>1679.8537005833334</v>
      </c>
      <c r="AL37" s="6" t="s">
        <v>956</v>
      </c>
      <c r="AM37" s="6">
        <f t="shared" si="1"/>
        <v>23.626071116666665</v>
      </c>
      <c r="AO37" s="10" t="s">
        <v>677</v>
      </c>
      <c r="AP37" s="7">
        <f>AVERAGE(AA27:AA35)</f>
        <v>7.3404676759259253</v>
      </c>
      <c r="AQ37" s="7">
        <f>STDEV(AA27:AA35)</f>
        <v>0.51753334772653437</v>
      </c>
    </row>
    <row r="38" spans="1:43">
      <c r="A38" s="10">
        <v>2021</v>
      </c>
      <c r="B38" s="10">
        <v>293</v>
      </c>
      <c r="C38" s="10">
        <v>2</v>
      </c>
      <c r="D38" s="10">
        <v>8</v>
      </c>
      <c r="E38" s="10" t="s">
        <v>804</v>
      </c>
      <c r="F38" s="10">
        <v>7</v>
      </c>
      <c r="G38" s="10">
        <v>550</v>
      </c>
      <c r="H38" s="10">
        <v>336.1</v>
      </c>
      <c r="I38" s="10">
        <f>Table8[[#This Row],[Wet Weight of 3 plants (g) ]]-55.8</f>
        <v>280.3</v>
      </c>
      <c r="J38" s="10">
        <f>(Table8[[#This Row],[Wet - Bag Weight (g) ]]/3)*Table8[[#This Row],['# of Plants]]</f>
        <v>654.0333333333333</v>
      </c>
      <c r="K38" s="10">
        <v>254.5</v>
      </c>
      <c r="L38" s="10">
        <f>Table8[[#This Row],[DRY Sample Weight (g) (3 Plants) ]]-55.8</f>
        <v>198.7</v>
      </c>
      <c r="M38" s="10">
        <f>Table8[[#This Row],[Wet weight of 1m2 of corn]]-Table8[[#This Row],[Dry Weight of 1m2 of Corn]]</f>
        <v>190.39999999999998</v>
      </c>
      <c r="N38" s="10">
        <f>(Table8[[#This Row],[DRY Sample - Bag Weight (g) ]]/3)*Table8[[#This Row],['# of Plants]]</f>
        <v>463.63333333333333</v>
      </c>
      <c r="O38" s="79">
        <f>Table8[[#This Row],[Dry Weight of 1m2 of Corn]]+J128</f>
        <v>586.94333333333338</v>
      </c>
      <c r="Q38" s="6">
        <v>3</v>
      </c>
      <c r="R38" s="6">
        <v>13</v>
      </c>
      <c r="S38" s="6" t="s">
        <v>420</v>
      </c>
      <c r="T38" s="6">
        <v>873.8</v>
      </c>
      <c r="U38" s="6">
        <f>O65</f>
        <v>401.69200000000006</v>
      </c>
      <c r="V38" s="6">
        <f>Table911[[#This Row],[Biomass Wet Weight (g/m2)]]-Table911[[#This Row],[Dry Sample Weight (g/m2) ]]</f>
        <v>472.10799999999989</v>
      </c>
      <c r="W38" s="6">
        <f>(Table911[[#This Row],[Moisture loss (g)]]/Table911[[#This Row],[Biomass Wet Weight (g/m2)]])*100</f>
        <v>54.02929732204165</v>
      </c>
      <c r="X38" s="6">
        <f>Table911[[#This Row],[Dry Sample Weight (g/m2) ]]*(10000/1000)</f>
        <v>4016.9200000000005</v>
      </c>
      <c r="Y38" s="6">
        <f>Table911[[#This Row],[Dry Yield (kg/ha)]]*1.155</f>
        <v>4639.5426000000007</v>
      </c>
      <c r="Z38" s="141">
        <f>Table911[[#This Row],[Dry Yield (kg/ha)]]/1000</f>
        <v>4.0169200000000007</v>
      </c>
      <c r="AA38" s="141">
        <f>Table911[[#This Row],[Dry Yield (tons/ha)]]*1.15</f>
        <v>4.6194580000000007</v>
      </c>
      <c r="AB38" s="141" t="s">
        <v>985</v>
      </c>
      <c r="AC38" s="141">
        <f>Table911[[#This Row],[Dry Yield (tons/ha)]]*(Table911[[#This Row],[%C  (Dry)]]/100)</f>
        <v>1.7027723880000003</v>
      </c>
      <c r="AD38" s="141" t="s">
        <v>986</v>
      </c>
      <c r="AE38" s="141">
        <f>Table911[[#This Row],[Dry Yield (tons/ha)]]*(Table911[[#This Row],[%N (Dry)]]/100)</f>
        <v>2.2494752000000007E-2</v>
      </c>
      <c r="AF38" s="141">
        <f>Table911[[#This Row],[Yield (kg/ha) Corrected to 15% M]]*(Table911[[#This Row],[%N (Dry)]]/100)</f>
        <v>25.981438560000008</v>
      </c>
      <c r="AG38" s="141"/>
      <c r="AH38" s="6" t="s">
        <v>695</v>
      </c>
      <c r="AI38" s="141">
        <f>Table911[[#This Row],[Yield (tons/ha) Corrected to 15% Moisture]]*1000</f>
        <v>4619.4580000000005</v>
      </c>
      <c r="AJ38" s="141" t="s">
        <v>985</v>
      </c>
      <c r="AK38" s="141">
        <f t="shared" si="0"/>
        <v>1958.1882462000003</v>
      </c>
      <c r="AL38" s="6" t="s">
        <v>986</v>
      </c>
      <c r="AM38" s="6">
        <f t="shared" si="1"/>
        <v>25.868964800000008</v>
      </c>
      <c r="AO38" s="10" t="s">
        <v>952</v>
      </c>
      <c r="AP38" s="7">
        <f>AVERAGE(AA36:AA38)</f>
        <v>4.596512944444445</v>
      </c>
      <c r="AQ38" s="7">
        <f>STDEV(AA36:AA38)</f>
        <v>0.58096151310852018</v>
      </c>
    </row>
    <row r="39" spans="1:43">
      <c r="A39" s="10">
        <v>2021</v>
      </c>
      <c r="B39" s="10">
        <v>293</v>
      </c>
      <c r="C39" s="10">
        <v>2</v>
      </c>
      <c r="D39" s="10">
        <v>8</v>
      </c>
      <c r="E39" s="10" t="s">
        <v>807</v>
      </c>
      <c r="F39" s="10">
        <v>7</v>
      </c>
      <c r="G39" s="10">
        <v>716.1</v>
      </c>
      <c r="H39" s="10">
        <v>477.4</v>
      </c>
      <c r="I39" s="10">
        <f>Table8[[#This Row],[Wet Weight of 3 plants (g) ]]-55.8</f>
        <v>421.59999999999997</v>
      </c>
      <c r="J39" s="10">
        <f>(Table8[[#This Row],[Wet - Bag Weight (g) ]]/3)*Table8[[#This Row],['# of Plants]]</f>
        <v>983.73333333333335</v>
      </c>
      <c r="K39" s="10">
        <v>293.8</v>
      </c>
      <c r="L39" s="10">
        <f>Table8[[#This Row],[DRY Sample Weight (g) (3 Plants) ]]-55.8</f>
        <v>238</v>
      </c>
      <c r="M39" s="10">
        <f>Table8[[#This Row],[Wet weight of 1m2 of corn]]-Table8[[#This Row],[Dry Weight of 1m2 of Corn]]</f>
        <v>428.40000000000009</v>
      </c>
      <c r="N39" s="10">
        <f>(Table8[[#This Row],[DRY Sample - Bag Weight (g) ]]/3)*Table8[[#This Row],['# of Plants]]</f>
        <v>555.33333333333326</v>
      </c>
      <c r="O39" s="79">
        <f>Table8[[#This Row],[Dry Weight of 1m2 of Corn]]+J129</f>
        <v>695.8163333333332</v>
      </c>
      <c r="Q39" s="10">
        <v>4</v>
      </c>
      <c r="R39" s="10">
        <v>1</v>
      </c>
      <c r="S39" s="10" t="s">
        <v>421</v>
      </c>
      <c r="T39" s="10">
        <f>(J66+J67)/2</f>
        <v>1111.1833333333332</v>
      </c>
      <c r="U39" s="10">
        <f>(O66+O67)/2</f>
        <v>576.89883333333341</v>
      </c>
      <c r="V39" s="10">
        <f>Table911[[#This Row],[Biomass Wet Weight (g/m2)]]-Table911[[#This Row],[Dry Sample Weight (g/m2) ]]</f>
        <v>534.28449999999975</v>
      </c>
      <c r="W39" s="10">
        <f>(Table911[[#This Row],[Moisture loss (g)]]/Table911[[#This Row],[Biomass Wet Weight (g/m2)]])*100</f>
        <v>48.082479638823457</v>
      </c>
      <c r="X39" s="10">
        <f>Table911[[#This Row],[Dry Sample Weight (g/m2) ]]*(10000/1000)</f>
        <v>5768.9883333333346</v>
      </c>
      <c r="Y39" s="10">
        <f>Table911[[#This Row],[Dry Yield (kg/ha)]]*1.155</f>
        <v>6663.1815250000018</v>
      </c>
      <c r="Z39" s="79">
        <f>Table911[[#This Row],[Dry Yield (kg/ha)]]/1000</f>
        <v>5.7689883333333345</v>
      </c>
      <c r="AA39" s="79">
        <f>Table911[[#This Row],[Dry Yield (tons/ha)]]*1.15</f>
        <v>6.6343365833333339</v>
      </c>
      <c r="AB39" s="79" t="s">
        <v>987</v>
      </c>
      <c r="AC39" s="79">
        <f>Table911[[#This Row],[Dry Yield (tons/ha)]]*(Table911[[#This Row],[%C  (Dry)]]/100)</f>
        <v>2.523932395833334</v>
      </c>
      <c r="AD39" s="79" t="s">
        <v>988</v>
      </c>
      <c r="AE39" s="79">
        <f>Table911[[#This Row],[Dry Yield (tons/ha)]]*(Table911[[#This Row],[%N (Dry)]]/100)</f>
        <v>2.8844941666666672E-2</v>
      </c>
      <c r="AF39" s="79">
        <f>Table911[[#This Row],[Yield (kg/ha) Corrected to 15% M]]*(Table911[[#This Row],[%N (Dry)]]/100)</f>
        <v>33.315907625000008</v>
      </c>
      <c r="AG39" s="79">
        <f>AVERAGE(AF39:AF47)</f>
        <v>51.557565546666666</v>
      </c>
      <c r="AH39" s="10" t="s">
        <v>678</v>
      </c>
      <c r="AI39" s="154">
        <f>Table911[[#This Row],[Yield (tons/ha) Corrected to 15% Moisture]]*1000</f>
        <v>6634.3365833333337</v>
      </c>
      <c r="AJ39" s="154" t="s">
        <v>987</v>
      </c>
      <c r="AK39" s="154">
        <f t="shared" si="0"/>
        <v>2902.5222552083333</v>
      </c>
      <c r="AL39" s="10" t="s">
        <v>988</v>
      </c>
      <c r="AM39" s="10">
        <f t="shared" si="1"/>
        <v>33.171682916666668</v>
      </c>
      <c r="AO39" s="10" t="s">
        <v>678</v>
      </c>
      <c r="AP39" s="7">
        <f>AVERAGE(AA39:AA47)</f>
        <v>7.4638993055555538</v>
      </c>
      <c r="AQ39" s="7">
        <f>AVERAGE(AA39:AA47)</f>
        <v>7.4638993055555538</v>
      </c>
    </row>
    <row r="40" spans="1:43">
      <c r="A40" s="10">
        <v>2021</v>
      </c>
      <c r="B40" s="10">
        <v>293</v>
      </c>
      <c r="C40" s="10">
        <v>2</v>
      </c>
      <c r="D40" s="10">
        <v>9</v>
      </c>
      <c r="E40" s="78" t="s">
        <v>804</v>
      </c>
      <c r="F40" s="10">
        <v>7</v>
      </c>
      <c r="G40" s="10">
        <v>526.9</v>
      </c>
      <c r="H40" s="10">
        <v>436.9</v>
      </c>
      <c r="I40" s="10">
        <f>Table8[[#This Row],[Wet Weight of 3 plants (g) ]]-55.8</f>
        <v>381.09999999999997</v>
      </c>
      <c r="J40" s="10">
        <f>(Table8[[#This Row],[Wet - Bag Weight (g) ]]/3)*Table8[[#This Row],['# of Plants]]</f>
        <v>889.23333333333323</v>
      </c>
      <c r="K40" s="10">
        <v>286.3</v>
      </c>
      <c r="L40" s="10">
        <f>Table8[[#This Row],[DRY Sample Weight (g) (3 Plants) ]]-55.8</f>
        <v>230.5</v>
      </c>
      <c r="M40" s="10">
        <f>Table8[[#This Row],[Wet weight of 1m2 of corn]]-Table8[[#This Row],[Dry Weight of 1m2 of Corn]]</f>
        <v>351.4</v>
      </c>
      <c r="N40" s="10">
        <f>(Table8[[#This Row],[DRY Sample - Bag Weight (g) ]]/3)*Table8[[#This Row],['# of Plants]]</f>
        <v>537.83333333333326</v>
      </c>
      <c r="O40" s="79">
        <f>Table8[[#This Row],[Dry Weight of 1m2 of Corn]]+J130</f>
        <v>670.03433333333328</v>
      </c>
      <c r="Q40" s="10">
        <v>4</v>
      </c>
      <c r="R40" s="10">
        <v>2</v>
      </c>
      <c r="S40" s="10" t="s">
        <v>422</v>
      </c>
      <c r="T40" s="10">
        <f>(J68+J69)/2</f>
        <v>1195.8333333333335</v>
      </c>
      <c r="U40" s="10">
        <f>(O68+O69)/2</f>
        <v>667.92933333333326</v>
      </c>
      <c r="V40" s="10">
        <f>Table911[[#This Row],[Biomass Wet Weight (g/m2)]]-Table911[[#This Row],[Dry Sample Weight (g/m2) ]]</f>
        <v>527.90400000000022</v>
      </c>
      <c r="W40" s="10">
        <f>(Table911[[#This Row],[Moisture loss (g)]]/Table911[[#This Row],[Biomass Wet Weight (g/m2)]])*100</f>
        <v>44.145282229965169</v>
      </c>
      <c r="X40" s="10">
        <f>Table911[[#This Row],[Dry Sample Weight (g/m2) ]]*(10000/1000)</f>
        <v>6679.2933333333331</v>
      </c>
      <c r="Y40" s="10">
        <f>Table911[[#This Row],[Dry Yield (kg/ha)]]*1.155</f>
        <v>7714.5837999999994</v>
      </c>
      <c r="Z40" s="79">
        <f>Table911[[#This Row],[Dry Yield (kg/ha)]]/1000</f>
        <v>6.6792933333333329</v>
      </c>
      <c r="AA40" s="79">
        <f>Table911[[#This Row],[Dry Yield (tons/ha)]]*1.15</f>
        <v>7.681187333333332</v>
      </c>
      <c r="AB40" s="79" t="s">
        <v>924</v>
      </c>
      <c r="AC40" s="79">
        <f>Table911[[#This Row],[Dry Yield (tons/ha)]]*(Table911[[#This Row],[%C  (Dry)]]/100)</f>
        <v>2.9135077519999997</v>
      </c>
      <c r="AD40" s="79" t="s">
        <v>989</v>
      </c>
      <c r="AE40" s="79">
        <f>Table911[[#This Row],[Dry Yield (tons/ha)]]*(Table911[[#This Row],[%N (Dry)]]/100)</f>
        <v>4.5419194666666669E-2</v>
      </c>
      <c r="AF40" s="79">
        <f>Table911[[#This Row],[Yield (kg/ha) Corrected to 15% M]]*(Table911[[#This Row],[%N (Dry)]]/100)</f>
        <v>52.459169840000001</v>
      </c>
      <c r="AG40" s="79"/>
      <c r="AH40" s="10" t="s">
        <v>678</v>
      </c>
      <c r="AI40" s="154">
        <f>Table911[[#This Row],[Yield (tons/ha) Corrected to 15% Moisture]]*1000</f>
        <v>7681.1873333333324</v>
      </c>
      <c r="AJ40" s="154" t="s">
        <v>924</v>
      </c>
      <c r="AK40" s="154">
        <f t="shared" si="0"/>
        <v>3350.5339147999994</v>
      </c>
      <c r="AL40" s="10" t="s">
        <v>989</v>
      </c>
      <c r="AM40" s="10">
        <f t="shared" si="1"/>
        <v>52.232073866666667</v>
      </c>
      <c r="AO40" s="10" t="s">
        <v>957</v>
      </c>
      <c r="AP40" s="7">
        <f>AVERAGE(AA48:AA50)</f>
        <v>6.0453161666666659</v>
      </c>
      <c r="AQ40" s="7">
        <f>STDEV(AA48:AA50)</f>
        <v>1.4048722493560661</v>
      </c>
    </row>
    <row r="41" spans="1:43">
      <c r="A41" s="10">
        <v>2021</v>
      </c>
      <c r="B41" s="10">
        <v>293</v>
      </c>
      <c r="C41" s="10">
        <v>2</v>
      </c>
      <c r="D41" s="10">
        <v>9</v>
      </c>
      <c r="E41" s="10" t="s">
        <v>807</v>
      </c>
      <c r="F41" s="10">
        <v>7</v>
      </c>
      <c r="G41" s="10">
        <v>532.20000000000005</v>
      </c>
      <c r="H41" s="10">
        <v>455.7</v>
      </c>
      <c r="I41" s="10">
        <f>Table8[[#This Row],[Wet Weight of 3 plants (g) ]]-55.8</f>
        <v>399.9</v>
      </c>
      <c r="J41" s="10">
        <f>(Table8[[#This Row],[Wet - Bag Weight (g) ]]/3)*Table8[[#This Row],['# of Plants]]</f>
        <v>933.09999999999991</v>
      </c>
      <c r="K41" s="10">
        <v>283.2</v>
      </c>
      <c r="L41" s="10">
        <f>Table8[[#This Row],[DRY Sample Weight (g) (3 Plants) ]]-55.8</f>
        <v>227.39999999999998</v>
      </c>
      <c r="M41" s="10">
        <f>Table8[[#This Row],[Wet weight of 1m2 of corn]]-Table8[[#This Row],[Dry Weight of 1m2 of Corn]]</f>
        <v>402.49999999999989</v>
      </c>
      <c r="N41" s="10">
        <f>(Table8[[#This Row],[DRY Sample - Bag Weight (g) ]]/3)*Table8[[#This Row],['# of Plants]]</f>
        <v>530.6</v>
      </c>
      <c r="O41" s="79">
        <f>Table8[[#This Row],[Dry Weight of 1m2 of Corn]]+J131</f>
        <v>662.45100000000002</v>
      </c>
      <c r="Q41" s="10">
        <v>4</v>
      </c>
      <c r="R41" s="10">
        <v>3</v>
      </c>
      <c r="S41" s="10" t="s">
        <v>423</v>
      </c>
      <c r="T41" s="10">
        <f>(J70+J71)/2</f>
        <v>1067.9833333333333</v>
      </c>
      <c r="U41" s="10">
        <f>(O70+O71)/2</f>
        <v>585.37216666666666</v>
      </c>
      <c r="V41" s="10">
        <f>Table911[[#This Row],[Biomass Wet Weight (g/m2)]]-Table911[[#This Row],[Dry Sample Weight (g/m2) ]]</f>
        <v>482.61116666666669</v>
      </c>
      <c r="W41" s="10">
        <f>(Table911[[#This Row],[Moisture loss (g)]]/Table911[[#This Row],[Biomass Wet Weight (g/m2)]])*100</f>
        <v>45.189016682532504</v>
      </c>
      <c r="X41" s="10">
        <f>Table911[[#This Row],[Dry Sample Weight (g/m2) ]]*(10000/1000)</f>
        <v>5853.7216666666664</v>
      </c>
      <c r="Y41" s="10">
        <f>Table911[[#This Row],[Dry Yield (kg/ha)]]*1.155</f>
        <v>6761.0485250000002</v>
      </c>
      <c r="Z41" s="79">
        <f>Table911[[#This Row],[Dry Yield (kg/ha)]]/1000</f>
        <v>5.853721666666666</v>
      </c>
      <c r="AA41" s="79">
        <f>Table911[[#This Row],[Dry Yield (tons/ha)]]*1.15</f>
        <v>6.7317799166666656</v>
      </c>
      <c r="AB41" s="79" t="s">
        <v>846</v>
      </c>
      <c r="AC41" s="79">
        <f>Table911[[#This Row],[Dry Yield (tons/ha)]]*(Table911[[#This Row],[%C  (Dry)]]/100)</f>
        <v>2.5188564331666665</v>
      </c>
      <c r="AD41" s="79" t="s">
        <v>951</v>
      </c>
      <c r="AE41" s="79">
        <f>Table911[[#This Row],[Dry Yield (tons/ha)]]*(Table911[[#This Row],[%N (Dry)]]/100)</f>
        <v>4.3317540333333328E-2</v>
      </c>
      <c r="AF41" s="79">
        <f>Table911[[#This Row],[Yield (kg/ha) Corrected to 15% M]]*(Table911[[#This Row],[%N (Dry)]]/100)</f>
        <v>50.031759085000004</v>
      </c>
      <c r="AG41" s="79"/>
      <c r="AH41" s="10" t="s">
        <v>678</v>
      </c>
      <c r="AI41" s="154">
        <f>Table911[[#This Row],[Yield (tons/ha) Corrected to 15% Moisture]]*1000</f>
        <v>6731.7799166666655</v>
      </c>
      <c r="AJ41" s="154" t="s">
        <v>846</v>
      </c>
      <c r="AK41" s="154">
        <f t="shared" si="0"/>
        <v>2896.6848981416661</v>
      </c>
      <c r="AL41" s="10" t="s">
        <v>951</v>
      </c>
      <c r="AM41" s="10">
        <f t="shared" si="1"/>
        <v>49.815171383333329</v>
      </c>
    </row>
    <row r="42" spans="1:43">
      <c r="A42" s="6">
        <v>2021</v>
      </c>
      <c r="B42" s="6">
        <v>292</v>
      </c>
      <c r="C42" s="6">
        <v>2</v>
      </c>
      <c r="D42" s="6">
        <v>11</v>
      </c>
      <c r="E42" s="6" t="s">
        <v>804</v>
      </c>
      <c r="F42" s="6">
        <v>7</v>
      </c>
      <c r="G42" s="6">
        <v>1096</v>
      </c>
      <c r="H42" s="6">
        <v>479</v>
      </c>
      <c r="I42" s="6">
        <f>Table8[[#This Row],[Wet Weight of 3 plants (g) ]]-55.8</f>
        <v>423.2</v>
      </c>
      <c r="J42" s="6">
        <f>(Table8[[#This Row],[Wet - Bag Weight (g) ]]/3)*Table8[[#This Row],['# of Plants]]</f>
        <v>987.4666666666667</v>
      </c>
      <c r="K42" s="6">
        <v>255.6</v>
      </c>
      <c r="L42" s="6">
        <f>Table8[[#This Row],[DRY Sample Weight (g) (3 Plants) ]]-55.8</f>
        <v>199.8</v>
      </c>
      <c r="M42" s="6">
        <f>Table8[[#This Row],[Wet weight of 1m2 of corn]]-Table8[[#This Row],[Dry Weight of 1m2 of Corn]]</f>
        <v>521.26666666666665</v>
      </c>
      <c r="N42" s="6">
        <f>(Table8[[#This Row],[DRY Sample - Bag Weight (g) ]]/3)*Table8[[#This Row],['# of Plants]]</f>
        <v>466.20000000000005</v>
      </c>
      <c r="O42" s="141">
        <f>Table8[[#This Row],[Dry Weight of 1m2 of Corn]]+J132</f>
        <v>564.62900000000002</v>
      </c>
      <c r="Q42" s="10">
        <v>4</v>
      </c>
      <c r="R42" s="10">
        <v>4</v>
      </c>
      <c r="S42" s="10" t="s">
        <v>424</v>
      </c>
      <c r="T42" s="10">
        <f>(J72+J73)/2</f>
        <v>1360.4499999999998</v>
      </c>
      <c r="U42" s="10">
        <f>(O72+O73)/2</f>
        <v>702.02333333333331</v>
      </c>
      <c r="V42" s="10">
        <f>Table911[[#This Row],[Biomass Wet Weight (g/m2)]]-Table911[[#This Row],[Dry Sample Weight (g/m2) ]]</f>
        <v>658.42666666666651</v>
      </c>
      <c r="W42" s="10">
        <f>(Table911[[#This Row],[Moisture loss (g)]]/Table911[[#This Row],[Biomass Wet Weight (g/m2)]])*100</f>
        <v>48.397711541524245</v>
      </c>
      <c r="X42" s="10">
        <f>Table911[[#This Row],[Dry Sample Weight (g/m2) ]]*(10000/1000)</f>
        <v>7020.2333333333336</v>
      </c>
      <c r="Y42" s="10">
        <f>Table911[[#This Row],[Dry Yield (kg/ha)]]*1.155</f>
        <v>8108.3695000000007</v>
      </c>
      <c r="Z42" s="79">
        <f>Table911[[#This Row],[Dry Yield (kg/ha)]]/1000</f>
        <v>7.0202333333333335</v>
      </c>
      <c r="AA42" s="79">
        <f>Table911[[#This Row],[Dry Yield (tons/ha)]]*1.15</f>
        <v>8.073268333333333</v>
      </c>
      <c r="AB42" s="79" t="s">
        <v>990</v>
      </c>
      <c r="AC42" s="79">
        <f>Table911[[#This Row],[Dry Yield (tons/ha)]]*(Table911[[#This Row],[%C  (Dry)]]/100)</f>
        <v>3.0509934066666666</v>
      </c>
      <c r="AD42" s="79" t="s">
        <v>991</v>
      </c>
      <c r="AE42" s="79">
        <f>Table911[[#This Row],[Dry Yield (tons/ha)]]*(Table911[[#This Row],[%N (Dry)]]/100)</f>
        <v>4.2121400000000003E-2</v>
      </c>
      <c r="AF42" s="79">
        <f>Table911[[#This Row],[Yield (kg/ha) Corrected to 15% M]]*(Table911[[#This Row],[%N (Dry)]]/100)</f>
        <v>48.650217000000005</v>
      </c>
      <c r="AG42" s="79"/>
      <c r="AH42" s="10" t="s">
        <v>678</v>
      </c>
      <c r="AI42" s="154">
        <f>Table911[[#This Row],[Yield (tons/ha) Corrected to 15% Moisture]]*1000</f>
        <v>8073.2683333333334</v>
      </c>
      <c r="AJ42" s="154" t="s">
        <v>990</v>
      </c>
      <c r="AK42" s="154">
        <f t="shared" si="0"/>
        <v>3508.6424176666665</v>
      </c>
      <c r="AL42" s="10" t="s">
        <v>991</v>
      </c>
      <c r="AM42" s="10">
        <f t="shared" si="1"/>
        <v>48.439610000000002</v>
      </c>
    </row>
    <row r="43" spans="1:43">
      <c r="A43" s="6">
        <v>2021</v>
      </c>
      <c r="B43" s="6">
        <v>292</v>
      </c>
      <c r="C43" s="6">
        <v>2</v>
      </c>
      <c r="D43" s="6">
        <v>12</v>
      </c>
      <c r="E43" s="6" t="s">
        <v>804</v>
      </c>
      <c r="F43" s="6">
        <v>6</v>
      </c>
      <c r="G43" s="6">
        <v>1287.5</v>
      </c>
      <c r="H43" s="6">
        <v>769</v>
      </c>
      <c r="I43" s="6">
        <f>Table8[[#This Row],[Wet Weight of 3 plants (g) ]]-55.8</f>
        <v>713.2</v>
      </c>
      <c r="J43" s="6">
        <f>(Table8[[#This Row],[Wet - Bag Weight (g) ]]/3)*Table8[[#This Row],['# of Plants]]</f>
        <v>1426.4</v>
      </c>
      <c r="K43" s="6">
        <v>306.39999999999998</v>
      </c>
      <c r="L43" s="6">
        <f>Table8[[#This Row],[DRY Sample Weight (g) (3 Plants) ]]-55.8</f>
        <v>250.59999999999997</v>
      </c>
      <c r="M43" s="6">
        <f>Table8[[#This Row],[Wet weight of 1m2 of corn]]-Table8[[#This Row],[Dry Weight of 1m2 of Corn]]</f>
        <v>925.20000000000016</v>
      </c>
      <c r="N43" s="6">
        <f>(Table8[[#This Row],[DRY Sample - Bag Weight (g) ]]/3)*Table8[[#This Row],['# of Plants]]</f>
        <v>501.19999999999993</v>
      </c>
      <c r="O43" s="141">
        <f>Table8[[#This Row],[Dry Weight of 1m2 of Corn]]+J133</f>
        <v>608.46699999999987</v>
      </c>
      <c r="Q43" s="10">
        <v>4</v>
      </c>
      <c r="R43" s="10">
        <v>5</v>
      </c>
      <c r="S43" s="10" t="s">
        <v>425</v>
      </c>
      <c r="T43" s="10">
        <f>(J74+J75)/2</f>
        <v>1085.1166666666668</v>
      </c>
      <c r="U43" s="10">
        <f>(O74+O75)/2</f>
        <v>668.94283333333328</v>
      </c>
      <c r="V43" s="10">
        <f>Table911[[#This Row],[Biomass Wet Weight (g/m2)]]-Table911[[#This Row],[Dry Sample Weight (g/m2) ]]</f>
        <v>416.1738333333335</v>
      </c>
      <c r="W43" s="10">
        <f>(Table911[[#This Row],[Moisture loss (g)]]/Table911[[#This Row],[Biomass Wet Weight (g/m2)]])*100</f>
        <v>38.352911361297572</v>
      </c>
      <c r="X43" s="10">
        <f>Table911[[#This Row],[Dry Sample Weight (g/m2) ]]*(10000/1000)</f>
        <v>6689.4283333333333</v>
      </c>
      <c r="Y43" s="10">
        <f>Table911[[#This Row],[Dry Yield (kg/ha)]]*1.155</f>
        <v>7726.2897250000005</v>
      </c>
      <c r="Z43" s="79">
        <f>Table911[[#This Row],[Dry Yield (kg/ha)]]/1000</f>
        <v>6.6894283333333329</v>
      </c>
      <c r="AA43" s="79">
        <f>Table911[[#This Row],[Dry Yield (tons/ha)]]*1.15</f>
        <v>7.6928425833333325</v>
      </c>
      <c r="AB43" s="79" t="s">
        <v>992</v>
      </c>
      <c r="AC43" s="79">
        <f>Table911[[#This Row],[Dry Yield (tons/ha)]]*(Table911[[#This Row],[%C  (Dry)]]/100)</f>
        <v>2.8891640971666663</v>
      </c>
      <c r="AD43" s="79" t="s">
        <v>973</v>
      </c>
      <c r="AE43" s="79">
        <f>Table911[[#This Row],[Dry Yield (tons/ha)]]*(Table911[[#This Row],[%N (Dry)]]/100)</f>
        <v>5.2846483833333333E-2</v>
      </c>
      <c r="AF43" s="79">
        <f>Table911[[#This Row],[Yield (kg/ha) Corrected to 15% M]]*(Table911[[#This Row],[%N (Dry)]]/100)</f>
        <v>61.037688827500013</v>
      </c>
      <c r="AG43" s="79"/>
      <c r="AH43" s="10" t="s">
        <v>678</v>
      </c>
      <c r="AI43" s="154">
        <f>Table911[[#This Row],[Yield (tons/ha) Corrected to 15% Moisture]]*1000</f>
        <v>7692.8425833333322</v>
      </c>
      <c r="AJ43" s="154" t="s">
        <v>992</v>
      </c>
      <c r="AK43" s="154">
        <f t="shared" si="0"/>
        <v>3322.5387117416658</v>
      </c>
      <c r="AL43" s="10" t="s">
        <v>973</v>
      </c>
      <c r="AM43" s="10">
        <f t="shared" si="1"/>
        <v>60.773456408333331</v>
      </c>
      <c r="AO43" s="76" t="s">
        <v>921</v>
      </c>
      <c r="AP43" s="76" t="s">
        <v>993</v>
      </c>
      <c r="AQ43" s="76" t="s">
        <v>994</v>
      </c>
    </row>
    <row r="44" spans="1:43">
      <c r="A44" s="6">
        <v>2021</v>
      </c>
      <c r="B44" s="6">
        <v>292</v>
      </c>
      <c r="C44" s="6">
        <v>2</v>
      </c>
      <c r="D44" s="6">
        <v>13</v>
      </c>
      <c r="E44" s="102" t="s">
        <v>804</v>
      </c>
      <c r="F44" s="6">
        <v>6</v>
      </c>
      <c r="G44" s="6">
        <v>816.3</v>
      </c>
      <c r="H44" s="6">
        <v>373.3</v>
      </c>
      <c r="I44" s="6">
        <f>Table8[[#This Row],[Wet Weight of 3 plants (g) ]]-55.8</f>
        <v>317.5</v>
      </c>
      <c r="J44" s="6">
        <f>(Table8[[#This Row],[Wet - Bag Weight (g) ]]/3)*Table8[[#This Row],['# of Plants]]</f>
        <v>635</v>
      </c>
      <c r="K44" s="6">
        <v>205.7</v>
      </c>
      <c r="L44" s="6">
        <f>Table8[[#This Row],[DRY Sample Weight (g) (3 Plants) ]]-55.8</f>
        <v>149.89999999999998</v>
      </c>
      <c r="M44" s="6">
        <f>Table8[[#This Row],[Wet weight of 1m2 of corn]]-Table8[[#This Row],[Dry Weight of 1m2 of Corn]]</f>
        <v>335.20000000000005</v>
      </c>
      <c r="N44" s="6">
        <f>(Table8[[#This Row],[DRY Sample - Bag Weight (g) ]]/3)*Table8[[#This Row],['# of Plants]]</f>
        <v>299.79999999999995</v>
      </c>
      <c r="O44" s="141">
        <f>Table8[[#This Row],[Dry Weight of 1m2 of Corn]]+J134</f>
        <v>369.88099999999997</v>
      </c>
      <c r="Q44" s="10">
        <v>4</v>
      </c>
      <c r="R44" s="10">
        <v>6</v>
      </c>
      <c r="S44" s="10" t="s">
        <v>426</v>
      </c>
      <c r="T44" s="10">
        <f>(J76+J77)/2</f>
        <v>1063.6500000000001</v>
      </c>
      <c r="U44" s="10">
        <f>(O76+O77)/2</f>
        <v>642.32099999999991</v>
      </c>
      <c r="V44" s="10">
        <f>Table911[[#This Row],[Biomass Wet Weight (g/m2)]]-Table911[[#This Row],[Dry Sample Weight (g/m2) ]]</f>
        <v>421.32900000000018</v>
      </c>
      <c r="W44" s="10">
        <f>(Table911[[#This Row],[Moisture loss (g)]]/Table911[[#This Row],[Biomass Wet Weight (g/m2)]])*100</f>
        <v>39.611620363841503</v>
      </c>
      <c r="X44" s="10">
        <f>Table911[[#This Row],[Dry Sample Weight (g/m2) ]]*(10000/1000)</f>
        <v>6423.2099999999991</v>
      </c>
      <c r="Y44" s="10">
        <f>Table911[[#This Row],[Dry Yield (kg/ha)]]*1.155</f>
        <v>7418.8075499999995</v>
      </c>
      <c r="Z44" s="79">
        <f>Table911[[#This Row],[Dry Yield (kg/ha)]]/1000</f>
        <v>6.4232099999999992</v>
      </c>
      <c r="AA44" s="79">
        <f>Table911[[#This Row],[Dry Yield (tons/ha)]]*1.15</f>
        <v>7.3866914999999986</v>
      </c>
      <c r="AB44" s="79" t="s">
        <v>872</v>
      </c>
      <c r="AC44" s="79">
        <f>Table911[[#This Row],[Dry Yield (tons/ha)]]*(Table911[[#This Row],[%C  (Dry)]]/100)</f>
        <v>2.8030888439999999</v>
      </c>
      <c r="AD44" s="79" t="s">
        <v>995</v>
      </c>
      <c r="AE44" s="79">
        <f>Table911[[#This Row],[Dry Yield (tons/ha)]]*(Table911[[#This Row],[%N (Dry)]]/100)</f>
        <v>3.9181580999999993E-2</v>
      </c>
      <c r="AF44" s="79">
        <f>Table911[[#This Row],[Yield (kg/ha) Corrected to 15% M]]*(Table911[[#This Row],[%N (Dry)]]/100)</f>
        <v>45.254726054999992</v>
      </c>
      <c r="AG44" s="79"/>
      <c r="AH44" s="10" t="s">
        <v>678</v>
      </c>
      <c r="AI44" s="154">
        <f>Table911[[#This Row],[Yield (tons/ha) Corrected to 15% Moisture]]*1000</f>
        <v>7386.691499999999</v>
      </c>
      <c r="AJ44" s="154" t="s">
        <v>872</v>
      </c>
      <c r="AK44" s="154">
        <f t="shared" si="0"/>
        <v>3223.5521705999995</v>
      </c>
      <c r="AL44" s="10" t="s">
        <v>995</v>
      </c>
      <c r="AM44" s="10">
        <f t="shared" si="1"/>
        <v>45.058818149999993</v>
      </c>
      <c r="AO44" s="10" t="s">
        <v>675</v>
      </c>
      <c r="AP44" s="10">
        <f>AP3*1000</f>
        <v>7198834.3148148153</v>
      </c>
      <c r="AQ44" s="10"/>
    </row>
    <row r="45" spans="1:43">
      <c r="A45" s="10">
        <v>2021</v>
      </c>
      <c r="B45" s="10">
        <v>293</v>
      </c>
      <c r="C45" s="10">
        <v>3</v>
      </c>
      <c r="D45" s="10">
        <v>1</v>
      </c>
      <c r="E45" s="78" t="s">
        <v>804</v>
      </c>
      <c r="F45" s="10">
        <v>7</v>
      </c>
      <c r="G45" s="10">
        <v>572.70000000000005</v>
      </c>
      <c r="H45" s="10">
        <v>469</v>
      </c>
      <c r="I45" s="10">
        <f>Table8[[#This Row],[Wet Weight of 3 plants (g) ]]-55.8</f>
        <v>413.2</v>
      </c>
      <c r="J45" s="10">
        <f>(Table8[[#This Row],[Wet - Bag Weight (g) ]]/3)*Table8[[#This Row],['# of Plants]]</f>
        <v>964.13333333333321</v>
      </c>
      <c r="K45" s="10">
        <v>299.10000000000002</v>
      </c>
      <c r="L45" s="10">
        <f>Table8[[#This Row],[DRY Sample Weight (g) (3 Plants) ]]-55.8</f>
        <v>243.3</v>
      </c>
      <c r="M45" s="10">
        <f>Table8[[#This Row],[Wet weight of 1m2 of corn]]-Table8[[#This Row],[Dry Weight of 1m2 of Corn]]</f>
        <v>396.43333333333317</v>
      </c>
      <c r="N45" s="10">
        <f>(Table8[[#This Row],[DRY Sample - Bag Weight (g) ]]/3)*Table8[[#This Row],['# of Plants]]</f>
        <v>567.70000000000005</v>
      </c>
      <c r="O45" s="79">
        <f>Table8[[#This Row],[Dry Weight of 1m2 of Corn]]+J135</f>
        <v>700.76600000000008</v>
      </c>
      <c r="Q45" s="10">
        <v>4</v>
      </c>
      <c r="R45" s="10">
        <v>7</v>
      </c>
      <c r="S45" s="10" t="s">
        <v>427</v>
      </c>
      <c r="T45" s="10">
        <f>(J78+J79)/2</f>
        <v>1139.3666666666668</v>
      </c>
      <c r="U45" s="10">
        <f>(O78+O79)/2</f>
        <v>619.48249999999996</v>
      </c>
      <c r="V45" s="10">
        <f>Table911[[#This Row],[Biomass Wet Weight (g/m2)]]-Table911[[#This Row],[Dry Sample Weight (g/m2) ]]</f>
        <v>519.88416666666683</v>
      </c>
      <c r="W45" s="10">
        <f>(Table911[[#This Row],[Moisture loss (g)]]/Table911[[#This Row],[Biomass Wet Weight (g/m2)]])*100</f>
        <v>45.629223837804638</v>
      </c>
      <c r="X45" s="10">
        <f>Table911[[#This Row],[Dry Sample Weight (g/m2) ]]*(10000/1000)</f>
        <v>6194.8249999999998</v>
      </c>
      <c r="Y45" s="10">
        <f>Table911[[#This Row],[Dry Yield (kg/ha)]]*1.155</f>
        <v>7155.0228749999997</v>
      </c>
      <c r="Z45" s="79">
        <f>Table911[[#This Row],[Dry Yield (kg/ha)]]/1000</f>
        <v>6.1948249999999998</v>
      </c>
      <c r="AA45" s="79">
        <f>Table911[[#This Row],[Dry Yield (tons/ha)]]*1.15</f>
        <v>7.1240487499999992</v>
      </c>
      <c r="AB45" s="79" t="s">
        <v>834</v>
      </c>
      <c r="AC45" s="79">
        <f>Table911[[#This Row],[Dry Yield (tons/ha)]]*(Table911[[#This Row],[%C  (Dry)]]/100)</f>
        <v>2.7052800775000003</v>
      </c>
      <c r="AD45" s="79" t="s">
        <v>996</v>
      </c>
      <c r="AE45" s="79">
        <f>Table911[[#This Row],[Dry Yield (tons/ha)]]*(Table911[[#This Row],[%N (Dry)]]/100)</f>
        <v>3.5929984999999998E-2</v>
      </c>
      <c r="AF45" s="79">
        <f>Table911[[#This Row],[Yield (kg/ha) Corrected to 15% M]]*(Table911[[#This Row],[%N (Dry)]]/100)</f>
        <v>41.499132674999998</v>
      </c>
      <c r="AG45" s="79"/>
      <c r="AH45" s="10" t="s">
        <v>678</v>
      </c>
      <c r="AI45" s="154">
        <f>Table911[[#This Row],[Yield (tons/ha) Corrected to 15% Moisture]]*1000</f>
        <v>7124.048749999999</v>
      </c>
      <c r="AJ45" s="154" t="s">
        <v>834</v>
      </c>
      <c r="AK45" s="154">
        <f t="shared" si="0"/>
        <v>3111.0720891249998</v>
      </c>
      <c r="AL45" s="10" t="s">
        <v>996</v>
      </c>
      <c r="AM45" s="10">
        <f t="shared" si="1"/>
        <v>41.319482749999992</v>
      </c>
      <c r="AO45" s="10" t="s">
        <v>676</v>
      </c>
      <c r="AP45" s="10">
        <f t="shared" ref="AP45:AP47" si="2">AP4*1000</f>
        <v>7375916.2129629627</v>
      </c>
      <c r="AQ45" s="10"/>
    </row>
    <row r="46" spans="1:43">
      <c r="A46" s="10">
        <v>2021</v>
      </c>
      <c r="B46" s="10">
        <v>293</v>
      </c>
      <c r="C46" s="10">
        <v>3</v>
      </c>
      <c r="D46" s="10">
        <v>1</v>
      </c>
      <c r="E46" s="10" t="s">
        <v>807</v>
      </c>
      <c r="F46" s="10">
        <v>7</v>
      </c>
      <c r="G46" s="10">
        <v>452.7</v>
      </c>
      <c r="H46" s="10">
        <v>378</v>
      </c>
      <c r="I46" s="10">
        <f>Table8[[#This Row],[Wet Weight of 3 plants (g) ]]-55.8</f>
        <v>322.2</v>
      </c>
      <c r="J46" s="10">
        <f>(Table8[[#This Row],[Wet - Bag Weight (g) ]]/3)*Table8[[#This Row],['# of Plants]]</f>
        <v>751.8</v>
      </c>
      <c r="K46" s="10">
        <v>262.7</v>
      </c>
      <c r="L46" s="10">
        <f>Table8[[#This Row],[DRY Sample Weight (g) (3 Plants) ]]-55.8</f>
        <v>206.89999999999998</v>
      </c>
      <c r="M46" s="10">
        <f>Table8[[#This Row],[Wet weight of 1m2 of corn]]-Table8[[#This Row],[Dry Weight of 1m2 of Corn]]</f>
        <v>269.03333333333336</v>
      </c>
      <c r="N46" s="10">
        <f>(Table8[[#This Row],[DRY Sample - Bag Weight (g) ]]/3)*Table8[[#This Row],['# of Plants]]</f>
        <v>482.76666666666659</v>
      </c>
      <c r="O46" s="79">
        <f>Table8[[#This Row],[Dry Weight of 1m2 of Corn]]+J136</f>
        <v>602.23466666666661</v>
      </c>
      <c r="Q46" s="10">
        <v>4</v>
      </c>
      <c r="R46" s="10">
        <v>8</v>
      </c>
      <c r="S46" s="10" t="s">
        <v>428</v>
      </c>
      <c r="T46" s="10">
        <f>(J80+J81)/2</f>
        <v>1308.4000000000001</v>
      </c>
      <c r="U46" s="10">
        <f>(O80+O81)/2</f>
        <v>675.99250000000006</v>
      </c>
      <c r="V46" s="10">
        <f>Table911[[#This Row],[Biomass Wet Weight (g/m2)]]-Table911[[#This Row],[Dry Sample Weight (g/m2) ]]</f>
        <v>632.40750000000003</v>
      </c>
      <c r="W46" s="10">
        <f>(Table911[[#This Row],[Moisture loss (g)]]/Table911[[#This Row],[Biomass Wet Weight (g/m2)]])*100</f>
        <v>48.334416080709261</v>
      </c>
      <c r="X46" s="10">
        <f>Table911[[#This Row],[Dry Sample Weight (g/m2) ]]*(10000/1000)</f>
        <v>6759.9250000000011</v>
      </c>
      <c r="Y46" s="10">
        <f>Table911[[#This Row],[Dry Yield (kg/ha)]]*1.155</f>
        <v>7807.7133750000012</v>
      </c>
      <c r="Z46" s="79">
        <f>Table911[[#This Row],[Dry Yield (kg/ha)]]/1000</f>
        <v>6.7599250000000008</v>
      </c>
      <c r="AA46" s="79">
        <f>Table911[[#This Row],[Dry Yield (tons/ha)]]*1.15</f>
        <v>7.7739137500000002</v>
      </c>
      <c r="AB46" s="79" t="s">
        <v>944</v>
      </c>
      <c r="AC46" s="79">
        <f>Table911[[#This Row],[Dry Yield (tons/ha)]]*(Table911[[#This Row],[%C  (Dry)]]/100)</f>
        <v>2.9277235175000005</v>
      </c>
      <c r="AD46" s="79" t="s">
        <v>997</v>
      </c>
      <c r="AE46" s="79">
        <f>Table911[[#This Row],[Dry Yield (tons/ha)]]*(Table911[[#This Row],[%N (Dry)]]/100)</f>
        <v>6.42192875E-2</v>
      </c>
      <c r="AF46" s="79">
        <f>Table911[[#This Row],[Yield (kg/ha) Corrected to 15% M]]*(Table911[[#This Row],[%N (Dry)]]/100)</f>
        <v>74.173277062500006</v>
      </c>
      <c r="AG46" s="79"/>
      <c r="AH46" s="10" t="s">
        <v>678</v>
      </c>
      <c r="AI46" s="154">
        <f>Table911[[#This Row],[Yield (tons/ha) Corrected to 15% Moisture]]*1000</f>
        <v>7773.9137500000006</v>
      </c>
      <c r="AJ46" s="154" t="s">
        <v>944</v>
      </c>
      <c r="AK46" s="154">
        <f t="shared" si="0"/>
        <v>3366.8820451250008</v>
      </c>
      <c r="AL46" s="10" t="s">
        <v>997</v>
      </c>
      <c r="AM46" s="10">
        <f t="shared" si="1"/>
        <v>73.852180625000003</v>
      </c>
      <c r="AO46" s="10" t="s">
        <v>677</v>
      </c>
      <c r="AP46" s="10">
        <f t="shared" si="2"/>
        <v>7340467.6759259244</v>
      </c>
      <c r="AQ46" s="10"/>
    </row>
    <row r="47" spans="1:43">
      <c r="A47" s="10">
        <v>2021</v>
      </c>
      <c r="B47" s="10">
        <v>293</v>
      </c>
      <c r="C47" s="10">
        <v>3</v>
      </c>
      <c r="D47" s="10">
        <v>2</v>
      </c>
      <c r="E47" s="10" t="s">
        <v>804</v>
      </c>
      <c r="F47" s="10">
        <v>9</v>
      </c>
      <c r="G47" s="10">
        <v>458.5</v>
      </c>
      <c r="H47" s="10">
        <v>293</v>
      </c>
      <c r="I47" s="10">
        <f>Table8[[#This Row],[Wet Weight of 3 plants (g) ]]-55.8</f>
        <v>237.2</v>
      </c>
      <c r="J47" s="10">
        <f>(Table8[[#This Row],[Wet - Bag Weight (g) ]]/3)*Table8[[#This Row],['# of Plants]]</f>
        <v>711.59999999999991</v>
      </c>
      <c r="K47" s="10">
        <v>253.6</v>
      </c>
      <c r="L47" s="10">
        <f>Table8[[#This Row],[DRY Sample Weight (g) (3 Plants) ]]-55.8</f>
        <v>197.8</v>
      </c>
      <c r="M47" s="10">
        <f>Table8[[#This Row],[Wet weight of 1m2 of corn]]-Table8[[#This Row],[Dry Weight of 1m2 of Corn]]</f>
        <v>118.19999999999982</v>
      </c>
      <c r="N47" s="10">
        <f>(Table8[[#This Row],[DRY Sample - Bag Weight (g) ]]/3)*Table8[[#This Row],['# of Plants]]</f>
        <v>593.40000000000009</v>
      </c>
      <c r="O47" s="79">
        <f>Table8[[#This Row],[Dry Weight of 1m2 of Corn]]+J137</f>
        <v>735.09400000000005</v>
      </c>
      <c r="Q47" s="10">
        <v>4</v>
      </c>
      <c r="R47" s="10">
        <v>9</v>
      </c>
      <c r="S47" s="10" t="s">
        <v>429</v>
      </c>
      <c r="T47" s="10">
        <f>(J82+J83)/2</f>
        <v>966.05</v>
      </c>
      <c r="U47" s="10">
        <f>(O82+O83)/2</f>
        <v>702.34999999999991</v>
      </c>
      <c r="V47" s="10">
        <f>Table911[[#This Row],[Biomass Wet Weight (g/m2)]]-Table911[[#This Row],[Dry Sample Weight (g/m2) ]]</f>
        <v>263.70000000000005</v>
      </c>
      <c r="W47" s="10">
        <f>(Table911[[#This Row],[Moisture loss (g)]]/Table911[[#This Row],[Biomass Wet Weight (g/m2)]])*100</f>
        <v>27.296723772061494</v>
      </c>
      <c r="X47" s="10">
        <f>Table911[[#This Row],[Dry Sample Weight (g/m2) ]]*(10000/1000)</f>
        <v>7023.4999999999991</v>
      </c>
      <c r="Y47" s="10">
        <f>Table911[[#This Row],[Dry Yield (kg/ha)]]*1.155</f>
        <v>8112.142499999999</v>
      </c>
      <c r="Z47" s="79">
        <f>Table911[[#This Row],[Dry Yield (kg/ha)]]/1000</f>
        <v>7.0234999999999994</v>
      </c>
      <c r="AA47" s="79">
        <f>Table911[[#This Row],[Dry Yield (tons/ha)]]*1.15</f>
        <v>8.077024999999999</v>
      </c>
      <c r="AB47" s="79" t="s">
        <v>949</v>
      </c>
      <c r="AC47" s="79">
        <f>Table911[[#This Row],[Dry Yield (tons/ha)]]*(Table911[[#This Row],[%C  (Dry)]]/100)</f>
        <v>3.0271284999999999</v>
      </c>
      <c r="AD47" s="79" t="s">
        <v>998</v>
      </c>
      <c r="AE47" s="79">
        <f>Table911[[#This Row],[Dry Yield (tons/ha)]]*(Table911[[#This Row],[%N (Dry)]]/100)</f>
        <v>4.986684999999999E-2</v>
      </c>
      <c r="AF47" s="79">
        <f>Table911[[#This Row],[Yield (kg/ha) Corrected to 15% M]]*(Table911[[#This Row],[%N (Dry)]]/100)</f>
        <v>57.596211749999988</v>
      </c>
      <c r="AG47" s="79"/>
      <c r="AH47" s="10" t="s">
        <v>678</v>
      </c>
      <c r="AI47" s="154">
        <f>Table911[[#This Row],[Yield (tons/ha) Corrected to 15% Moisture]]*1000</f>
        <v>8077.0249999999987</v>
      </c>
      <c r="AJ47" s="154" t="s">
        <v>949</v>
      </c>
      <c r="AK47" s="154">
        <f t="shared" si="0"/>
        <v>3481.1977749999992</v>
      </c>
      <c r="AL47" s="10" t="s">
        <v>998</v>
      </c>
      <c r="AM47" s="10">
        <f t="shared" si="1"/>
        <v>57.346877499999984</v>
      </c>
      <c r="AO47" s="10" t="s">
        <v>678</v>
      </c>
      <c r="AP47" s="10">
        <f t="shared" si="2"/>
        <v>7463899.305555556</v>
      </c>
      <c r="AQ47" s="10"/>
    </row>
    <row r="48" spans="1:43">
      <c r="A48" s="10">
        <v>2021</v>
      </c>
      <c r="B48" s="10">
        <v>293</v>
      </c>
      <c r="C48" s="10">
        <v>3</v>
      </c>
      <c r="D48" s="10">
        <v>2</v>
      </c>
      <c r="E48" s="10" t="s">
        <v>807</v>
      </c>
      <c r="F48" s="10">
        <v>8</v>
      </c>
      <c r="G48" s="10">
        <v>475</v>
      </c>
      <c r="H48" s="10">
        <v>367.9</v>
      </c>
      <c r="I48" s="10">
        <f>Table8[[#This Row],[Wet Weight of 3 plants (g) ]]-55.8</f>
        <v>312.09999999999997</v>
      </c>
      <c r="J48" s="10">
        <f>(Table8[[#This Row],[Wet - Bag Weight (g) ]]/3)*Table8[[#This Row],['# of Plants]]</f>
        <v>832.26666666666654</v>
      </c>
      <c r="K48" s="10">
        <v>249.2</v>
      </c>
      <c r="L48" s="10">
        <f>Table8[[#This Row],[DRY Sample Weight (g) (3 Plants) ]]-55.8</f>
        <v>193.39999999999998</v>
      </c>
      <c r="M48" s="10">
        <f>Table8[[#This Row],[Wet weight of 1m2 of corn]]-Table8[[#This Row],[Dry Weight of 1m2 of Corn]]</f>
        <v>316.5333333333333</v>
      </c>
      <c r="N48" s="10">
        <f>(Table8[[#This Row],[DRY Sample - Bag Weight (g) ]]/3)*Table8[[#This Row],['# of Plants]]</f>
        <v>515.73333333333323</v>
      </c>
      <c r="O48" s="79">
        <f>Table8[[#This Row],[Dry Weight of 1m2 of Corn]]+J138</f>
        <v>643.84933333333322</v>
      </c>
      <c r="Q48" s="256">
        <v>4</v>
      </c>
      <c r="R48" s="256">
        <v>11</v>
      </c>
      <c r="S48" s="256" t="s">
        <v>430</v>
      </c>
      <c r="T48" s="256">
        <v>1871.8000000000002</v>
      </c>
      <c r="U48" s="256">
        <f>O84</f>
        <v>662.40033333333326</v>
      </c>
      <c r="V48" s="256">
        <f>Table911[[#This Row],[Biomass Wet Weight (g/m2)]]-Table911[[#This Row],[Dry Sample Weight (g/m2) ]]</f>
        <v>1209.3996666666669</v>
      </c>
      <c r="W48" s="256">
        <f>(Table911[[#This Row],[Moisture loss (g)]]/Table911[[#This Row],[Biomass Wet Weight (g/m2)]])*100</f>
        <v>64.611585995654821</v>
      </c>
      <c r="X48" s="256">
        <f>Table911[[#This Row],[Dry Sample Weight (g/m2) ]]*(10000/1000)</f>
        <v>6624.0033333333322</v>
      </c>
      <c r="Y48" s="256">
        <f>Table911[[#This Row],[Dry Yield (kg/ha)]]*1.155</f>
        <v>7650.7238499999985</v>
      </c>
      <c r="Z48" s="257">
        <f>Table911[[#This Row],[Dry Yield (kg/ha)]]/1000</f>
        <v>6.6240033333333326</v>
      </c>
      <c r="AA48" s="257">
        <f>Table911[[#This Row],[Dry Yield (tons/ha)]]*1.15</f>
        <v>7.617603833333332</v>
      </c>
      <c r="AB48" s="257" t="s">
        <v>999</v>
      </c>
      <c r="AC48" s="257">
        <f>Table911[[#This Row],[Dry Yield (tons/ha)]]*(Table911[[#This Row],[%C  (Dry)]]/100)</f>
        <v>2.9165486676666665</v>
      </c>
      <c r="AD48" s="257" t="s">
        <v>1000</v>
      </c>
      <c r="AE48" s="257">
        <f>Table911[[#This Row],[Dry Yield (tons/ha)]]*(Table911[[#This Row],[%N (Dry)]]/100)</f>
        <v>3.047041533333333E-2</v>
      </c>
      <c r="AF48" s="257">
        <f>Table911[[#This Row],[Yield (kg/ha) Corrected to 15% M]]*(Table911[[#This Row],[%N (Dry)]]/100)</f>
        <v>35.193329709999993</v>
      </c>
      <c r="AG48" s="257"/>
      <c r="AH48" s="256" t="s">
        <v>700</v>
      </c>
      <c r="AI48" s="259">
        <f>Table911[[#This Row],[Yield (tons/ha) Corrected to 15% Moisture]]*1000</f>
        <v>7617.6038333333317</v>
      </c>
      <c r="AJ48" s="257" t="s">
        <v>999</v>
      </c>
      <c r="AK48" s="257">
        <f t="shared" si="0"/>
        <v>3354.0309678166664</v>
      </c>
      <c r="AL48" s="256" t="s">
        <v>1000</v>
      </c>
      <c r="AM48" s="256">
        <f t="shared" si="1"/>
        <v>35.040977633333327</v>
      </c>
    </row>
    <row r="49" spans="1:44">
      <c r="A49" s="10">
        <v>2021</v>
      </c>
      <c r="B49" s="10">
        <v>293</v>
      </c>
      <c r="C49" s="10">
        <v>3</v>
      </c>
      <c r="D49" s="10">
        <v>3</v>
      </c>
      <c r="E49" s="78" t="s">
        <v>804</v>
      </c>
      <c r="F49" s="10">
        <v>7</v>
      </c>
      <c r="G49" s="10">
        <v>414.6</v>
      </c>
      <c r="H49" s="10">
        <v>456.8</v>
      </c>
      <c r="I49" s="10">
        <f>Table8[[#This Row],[Wet Weight of 3 plants (g) ]]-55.8</f>
        <v>401</v>
      </c>
      <c r="J49" s="10">
        <f>(Table8[[#This Row],[Wet - Bag Weight (g) ]]/3)*Table8[[#This Row],['# of Plants]]</f>
        <v>935.66666666666663</v>
      </c>
      <c r="K49" s="10">
        <v>284</v>
      </c>
      <c r="L49" s="10">
        <f>Table8[[#This Row],[DRY Sample Weight (g) (3 Plants) ]]-55.8</f>
        <v>228.2</v>
      </c>
      <c r="M49" s="10">
        <f>Table8[[#This Row],[Wet weight of 1m2 of corn]]-Table8[[#This Row],[Dry Weight of 1m2 of Corn]]</f>
        <v>403.19999999999993</v>
      </c>
      <c r="N49" s="10">
        <f>(Table8[[#This Row],[DRY Sample - Bag Weight (g) ]]/3)*Table8[[#This Row],['# of Plants]]</f>
        <v>532.4666666666667</v>
      </c>
      <c r="O49" s="79">
        <f>Table8[[#This Row],[Dry Weight of 1m2 of Corn]]+J139</f>
        <v>655.15666666666675</v>
      </c>
      <c r="Q49" s="6">
        <v>4</v>
      </c>
      <c r="R49" s="6">
        <v>12</v>
      </c>
      <c r="S49" s="6" t="s">
        <v>431</v>
      </c>
      <c r="T49" s="6">
        <v>1274.7000000000003</v>
      </c>
      <c r="U49" s="6">
        <f>O85</f>
        <v>487.39166666666671</v>
      </c>
      <c r="V49" s="6">
        <f>Table911[[#This Row],[Biomass Wet Weight (g/m2)]]-Table911[[#This Row],[Dry Sample Weight (g/m2) ]]</f>
        <v>787.30833333333362</v>
      </c>
      <c r="W49" s="6">
        <f>(Table911[[#This Row],[Moisture loss (g)]]/Table911[[#This Row],[Biomass Wet Weight (g/m2)]])*100</f>
        <v>61.764205956957198</v>
      </c>
      <c r="X49" s="6">
        <f>Table911[[#This Row],[Dry Sample Weight (g/m2) ]]*(10000/1000)</f>
        <v>4873.916666666667</v>
      </c>
      <c r="Y49" s="6">
        <f>Table911[[#This Row],[Dry Yield (kg/ha)]]*1.155</f>
        <v>5629.3737500000007</v>
      </c>
      <c r="Z49" s="141">
        <f>Table911[[#This Row],[Dry Yield (kg/ha)]]/1000</f>
        <v>4.8739166666666671</v>
      </c>
      <c r="AA49" s="141">
        <f>Table911[[#This Row],[Dry Yield (tons/ha)]]*1.15</f>
        <v>5.6050041666666663</v>
      </c>
      <c r="AB49" s="141" t="s">
        <v>992</v>
      </c>
      <c r="AC49" s="141">
        <f>Table911[[#This Row],[Dry Yield (tons/ha)]]*(Table911[[#This Row],[%C  (Dry)]]/100)</f>
        <v>2.1050446083333334</v>
      </c>
      <c r="AD49" s="141" t="s">
        <v>986</v>
      </c>
      <c r="AE49" s="141">
        <f>Table911[[#This Row],[Dry Yield (tons/ha)]]*(Table911[[#This Row],[%N (Dry)]]/100)</f>
        <v>2.7293933333333339E-2</v>
      </c>
      <c r="AF49" s="141">
        <f>Table911[[#This Row],[Yield (kg/ha) Corrected to 15% M]]*(Table911[[#This Row],[%N (Dry)]]/100)</f>
        <v>31.524493000000007</v>
      </c>
      <c r="AG49" s="141"/>
      <c r="AH49" s="6" t="s">
        <v>700</v>
      </c>
      <c r="AI49" s="141">
        <f>Table911[[#This Row],[Yield (tons/ha) Corrected to 15% Moisture]]*1000</f>
        <v>5605.0041666666666</v>
      </c>
      <c r="AJ49" s="141" t="s">
        <v>992</v>
      </c>
      <c r="AK49" s="141">
        <f t="shared" si="0"/>
        <v>2420.8012995833328</v>
      </c>
      <c r="AL49" s="6" t="s">
        <v>986</v>
      </c>
      <c r="AM49" s="6">
        <f t="shared" si="1"/>
        <v>31.388023333333336</v>
      </c>
    </row>
    <row r="50" spans="1:44">
      <c r="A50" s="10">
        <v>2021</v>
      </c>
      <c r="B50" s="10">
        <v>293</v>
      </c>
      <c r="C50" s="10">
        <v>3</v>
      </c>
      <c r="D50" s="10">
        <v>3</v>
      </c>
      <c r="E50" s="10" t="s">
        <v>807</v>
      </c>
      <c r="F50" s="10">
        <v>7</v>
      </c>
      <c r="G50" s="10">
        <v>789.9</v>
      </c>
      <c r="H50" s="10">
        <v>548.1</v>
      </c>
      <c r="I50" s="10">
        <f>Table8[[#This Row],[Wet Weight of 3 plants (g) ]]-55.8</f>
        <v>492.3</v>
      </c>
      <c r="J50" s="10">
        <f>(Table8[[#This Row],[Wet - Bag Weight (g) ]]/3)*Table8[[#This Row],['# of Plants]]</f>
        <v>1148.7</v>
      </c>
      <c r="K50" s="10">
        <v>270.39999999999998</v>
      </c>
      <c r="L50" s="10">
        <f>Table8[[#This Row],[DRY Sample Weight (g) (3 Plants) ]]-55.8</f>
        <v>214.59999999999997</v>
      </c>
      <c r="M50" s="10">
        <f>Table8[[#This Row],[Wet weight of 1m2 of corn]]-Table8[[#This Row],[Dry Weight of 1m2 of Corn]]</f>
        <v>647.96666666666681</v>
      </c>
      <c r="N50" s="10">
        <f>(Table8[[#This Row],[DRY Sample - Bag Weight (g) ]]/3)*Table8[[#This Row],['# of Plants]]</f>
        <v>500.73333333333323</v>
      </c>
      <c r="O50" s="79">
        <f>Table8[[#This Row],[Dry Weight of 1m2 of Corn]]+J140</f>
        <v>643.96433333333323</v>
      </c>
      <c r="Q50" s="6">
        <v>4</v>
      </c>
      <c r="R50" s="6">
        <v>13</v>
      </c>
      <c r="S50" s="6" t="s">
        <v>432</v>
      </c>
      <c r="T50" s="6">
        <v>1192.5666666666666</v>
      </c>
      <c r="U50" s="6">
        <f>O86</f>
        <v>427.2469999999999</v>
      </c>
      <c r="V50" s="6">
        <f>Table911[[#This Row],[Biomass Wet Weight (g/m2)]]-Table911[[#This Row],[Dry Sample Weight (g/m2) ]]</f>
        <v>765.31966666666676</v>
      </c>
      <c r="W50" s="6">
        <f>(Table911[[#This Row],[Moisture loss (g)]]/Table911[[#This Row],[Biomass Wet Weight (g/m2)]])*100</f>
        <v>64.174162171227337</v>
      </c>
      <c r="X50" s="6">
        <f>Table911[[#This Row],[Dry Sample Weight (g/m2) ]]*(10000/1000)</f>
        <v>4272.4699999999993</v>
      </c>
      <c r="Y50" s="6">
        <f>Table911[[#This Row],[Dry Yield (kg/ha)]]*1.155</f>
        <v>4934.7028499999997</v>
      </c>
      <c r="Z50" s="141">
        <f>Table911[[#This Row],[Dry Yield (kg/ha)]]/1000</f>
        <v>4.2724699999999993</v>
      </c>
      <c r="AA50" s="141">
        <f>Table911[[#This Row],[Dry Yield (tons/ha)]]*1.15</f>
        <v>4.9133404999999986</v>
      </c>
      <c r="AB50" s="141" t="s">
        <v>1001</v>
      </c>
      <c r="AC50" s="141">
        <f>Table911[[#This Row],[Dry Yield (tons/ha)]]*(Table911[[#This Row],[%C  (Dry)]]/100)</f>
        <v>1.813663515</v>
      </c>
      <c r="AD50" s="141" t="s">
        <v>954</v>
      </c>
      <c r="AE50" s="141">
        <f>Table911[[#This Row],[Dry Yield (tons/ha)]]*(Table911[[#This Row],[%N (Dry)]]/100)</f>
        <v>2.4353078999999993E-2</v>
      </c>
      <c r="AF50" s="141">
        <f>Table911[[#This Row],[Yield (kg/ha) Corrected to 15% M]]*(Table911[[#This Row],[%N (Dry)]]/100)</f>
        <v>28.127806244999995</v>
      </c>
      <c r="AG50" s="141"/>
      <c r="AH50" s="6" t="s">
        <v>700</v>
      </c>
      <c r="AI50" s="141">
        <f>Table911[[#This Row],[Yield (tons/ha) Corrected to 15% Moisture]]*1000</f>
        <v>4913.3404999999984</v>
      </c>
      <c r="AJ50" s="141" t="s">
        <v>1001</v>
      </c>
      <c r="AK50" s="141">
        <f t="shared" si="0"/>
        <v>2085.7130422499995</v>
      </c>
      <c r="AL50" s="6" t="s">
        <v>954</v>
      </c>
      <c r="AM50" s="6">
        <f t="shared" si="1"/>
        <v>28.006040849999987</v>
      </c>
      <c r="AN50" t="s">
        <v>921</v>
      </c>
      <c r="AO50" t="s">
        <v>981</v>
      </c>
      <c r="AP50" t="s">
        <v>586</v>
      </c>
      <c r="AQ50" t="s">
        <v>938</v>
      </c>
      <c r="AR50" t="s">
        <v>586</v>
      </c>
    </row>
    <row r="51" spans="1:44">
      <c r="A51" s="10">
        <v>2021</v>
      </c>
      <c r="B51" s="10">
        <v>293</v>
      </c>
      <c r="C51" s="10">
        <v>3</v>
      </c>
      <c r="D51" s="10">
        <v>4</v>
      </c>
      <c r="E51" s="10" t="s">
        <v>804</v>
      </c>
      <c r="F51" s="10">
        <v>7</v>
      </c>
      <c r="G51" s="10">
        <v>587.70000000000005</v>
      </c>
      <c r="H51" s="10">
        <v>446.1</v>
      </c>
      <c r="I51" s="10">
        <f>Table8[[#This Row],[Wet Weight of 3 plants (g) ]]-55.8</f>
        <v>390.3</v>
      </c>
      <c r="J51" s="10">
        <f>(Table8[[#This Row],[Wet - Bag Weight (g) ]]/3)*Table8[[#This Row],['# of Plants]]</f>
        <v>910.69999999999993</v>
      </c>
      <c r="K51" s="10">
        <v>276.5</v>
      </c>
      <c r="L51" s="10">
        <f>Table8[[#This Row],[DRY Sample Weight (g) (3 Plants) ]]-55.8</f>
        <v>220.7</v>
      </c>
      <c r="M51" s="10">
        <f>Table8[[#This Row],[Wet weight of 1m2 of corn]]-Table8[[#This Row],[Dry Weight of 1m2 of Corn]]</f>
        <v>395.73333333333323</v>
      </c>
      <c r="N51" s="10">
        <f>(Table8[[#This Row],[DRY Sample - Bag Weight (g) ]]/3)*Table8[[#This Row],['# of Plants]]</f>
        <v>514.9666666666667</v>
      </c>
      <c r="O51" s="79">
        <f>Table8[[#This Row],[Dry Weight of 1m2 of Corn]]+J141</f>
        <v>650.1586666666667</v>
      </c>
      <c r="P51" s="14"/>
      <c r="Q51" s="14"/>
      <c r="R51" s="14"/>
      <c r="S51" s="14"/>
      <c r="T51" s="14"/>
      <c r="U51" s="14"/>
      <c r="AN51" t="s">
        <v>675</v>
      </c>
      <c r="AO51">
        <v>7.198834314814814</v>
      </c>
      <c r="AP51">
        <v>0.68321924122488253</v>
      </c>
      <c r="AQ51">
        <v>56.817630654629625</v>
      </c>
      <c r="AR51">
        <v>8.0239572995727553</v>
      </c>
    </row>
    <row r="52" spans="1:44">
      <c r="A52" s="10">
        <v>2021</v>
      </c>
      <c r="B52" s="10">
        <v>293</v>
      </c>
      <c r="C52" s="10">
        <v>3</v>
      </c>
      <c r="D52" s="10">
        <v>4</v>
      </c>
      <c r="E52" s="10" t="s">
        <v>807</v>
      </c>
      <c r="F52" s="10">
        <v>8</v>
      </c>
      <c r="G52" s="10">
        <v>694.2</v>
      </c>
      <c r="H52" s="10">
        <v>599.4</v>
      </c>
      <c r="I52" s="10">
        <f>Table8[[#This Row],[Wet Weight of 3 plants (g) ]]-55.8</f>
        <v>543.6</v>
      </c>
      <c r="J52" s="10">
        <f>(Table8[[#This Row],[Wet - Bag Weight (g) ]]/3)*Table8[[#This Row],['# of Plants]]</f>
        <v>1449.6000000000001</v>
      </c>
      <c r="K52" s="10">
        <v>280.7</v>
      </c>
      <c r="L52" s="10">
        <f>Table8[[#This Row],[DRY Sample Weight (g) (3 Plants) ]]-55.8</f>
        <v>224.89999999999998</v>
      </c>
      <c r="M52" s="10">
        <f>Table8[[#This Row],[Wet weight of 1m2 of corn]]-Table8[[#This Row],[Dry Weight of 1m2 of Corn]]</f>
        <v>849.8666666666669</v>
      </c>
      <c r="N52" s="10">
        <f>(Table8[[#This Row],[DRY Sample - Bag Weight (g) ]]/3)*Table8[[#This Row],['# of Plants]]</f>
        <v>599.73333333333323</v>
      </c>
      <c r="O52" s="79">
        <f>Table8[[#This Row],[Dry Weight of 1m2 of Corn]]+J142</f>
        <v>730.20233333333317</v>
      </c>
      <c r="P52" s="14"/>
      <c r="Q52" s="14"/>
      <c r="R52" s="14"/>
      <c r="S52" s="14"/>
      <c r="T52" s="14"/>
      <c r="U52" s="14"/>
      <c r="AN52" t="s">
        <v>943</v>
      </c>
      <c r="AO52">
        <v>6.084561833333332</v>
      </c>
      <c r="AP52">
        <v>1.7002607081575352</v>
      </c>
      <c r="AQ52">
        <v>33.86337571666666</v>
      </c>
      <c r="AR52">
        <v>3.1029798962393436</v>
      </c>
    </row>
    <row r="53" spans="1:44">
      <c r="A53" s="10">
        <v>2021</v>
      </c>
      <c r="B53" s="10">
        <v>293</v>
      </c>
      <c r="C53" s="10">
        <v>3</v>
      </c>
      <c r="D53" s="10">
        <v>5</v>
      </c>
      <c r="E53" s="78" t="s">
        <v>804</v>
      </c>
      <c r="F53" s="10">
        <v>8</v>
      </c>
      <c r="G53" s="10">
        <v>678.4</v>
      </c>
      <c r="H53" s="10">
        <v>553.6</v>
      </c>
      <c r="I53" s="10">
        <f>Table8[[#This Row],[Wet Weight of 3 plants (g) ]]-55.8</f>
        <v>497.8</v>
      </c>
      <c r="J53" s="10">
        <f>(Table8[[#This Row],[Wet - Bag Weight (g) ]]/3)*Table8[[#This Row],['# of Plants]]</f>
        <v>1327.4666666666667</v>
      </c>
      <c r="K53" s="10">
        <v>256.3</v>
      </c>
      <c r="L53" s="10">
        <f>Table8[[#This Row],[DRY Sample Weight (g) (3 Plants) ]]-55.8</f>
        <v>200.5</v>
      </c>
      <c r="M53" s="10">
        <f>Table8[[#This Row],[Wet weight of 1m2 of corn]]-Table8[[#This Row],[Dry Weight of 1m2 of Corn]]</f>
        <v>792.80000000000007</v>
      </c>
      <c r="N53" s="10">
        <f>(Table8[[#This Row],[DRY Sample - Bag Weight (g) ]]/3)*Table8[[#This Row],['# of Plants]]</f>
        <v>534.66666666666663</v>
      </c>
      <c r="O53" s="79">
        <f>Table8[[#This Row],[Dry Weight of 1m2 of Corn]]+J143</f>
        <v>677.74566666666669</v>
      </c>
      <c r="P53" s="14"/>
      <c r="Q53" t="s">
        <v>607</v>
      </c>
      <c r="S53" t="s">
        <v>608</v>
      </c>
      <c r="T53" s="14"/>
      <c r="U53" s="14"/>
      <c r="AN53" t="s">
        <v>676</v>
      </c>
      <c r="AO53">
        <v>7.3759162129629612</v>
      </c>
      <c r="AP53">
        <v>0.20656641344172832</v>
      </c>
      <c r="AQ53">
        <v>49.311577907407404</v>
      </c>
      <c r="AR53">
        <v>6.0938089970323901</v>
      </c>
    </row>
    <row r="54" spans="1:44">
      <c r="A54" s="10">
        <v>2021</v>
      </c>
      <c r="B54" s="10">
        <v>293</v>
      </c>
      <c r="C54" s="10">
        <v>3</v>
      </c>
      <c r="D54" s="10">
        <v>5</v>
      </c>
      <c r="E54" s="10" t="s">
        <v>807</v>
      </c>
      <c r="F54" s="10">
        <v>6</v>
      </c>
      <c r="G54" s="10">
        <v>550</v>
      </c>
      <c r="H54" s="10">
        <v>675.6</v>
      </c>
      <c r="I54" s="10">
        <f>Table8[[#This Row],[Wet Weight of 3 plants (g) ]]-55.8</f>
        <v>619.80000000000007</v>
      </c>
      <c r="J54" s="10">
        <f>(Table8[[#This Row],[Wet - Bag Weight (g) ]]/3)*Table8[[#This Row],['# of Plants]]</f>
        <v>1239.6000000000001</v>
      </c>
      <c r="K54" s="10">
        <v>312.2</v>
      </c>
      <c r="L54" s="10">
        <f>Table8[[#This Row],[DRY Sample Weight (g) (3 Plants) ]]-55.8</f>
        <v>256.39999999999998</v>
      </c>
      <c r="M54" s="10">
        <f>Table8[[#This Row],[Wet weight of 1m2 of corn]]-Table8[[#This Row],[Dry Weight of 1m2 of Corn]]</f>
        <v>726.80000000000018</v>
      </c>
      <c r="N54" s="10">
        <f>(Table8[[#This Row],[DRY Sample - Bag Weight (g) ]]/3)*Table8[[#This Row],['# of Plants]]</f>
        <v>512.79999999999995</v>
      </c>
      <c r="O54" s="79">
        <f>Table8[[#This Row],[Dry Weight of 1m2 of Corn]]+J144</f>
        <v>633.971</v>
      </c>
      <c r="P54" s="14"/>
      <c r="Q54" s="14"/>
      <c r="S54" t="s">
        <v>610</v>
      </c>
      <c r="T54" s="14"/>
      <c r="U54" s="14"/>
      <c r="AN54" t="s">
        <v>948</v>
      </c>
      <c r="AO54">
        <v>5.9147451666666653</v>
      </c>
      <c r="AP54">
        <v>1.4604836489609629</v>
      </c>
      <c r="AQ54">
        <v>37.80403931666666</v>
      </c>
      <c r="AR54">
        <v>10.092749615773821</v>
      </c>
    </row>
    <row r="55" spans="1:44">
      <c r="A55" s="10">
        <v>2021</v>
      </c>
      <c r="B55" s="10">
        <v>293</v>
      </c>
      <c r="C55" s="10">
        <v>3</v>
      </c>
      <c r="D55" s="10">
        <v>6</v>
      </c>
      <c r="E55" s="10" t="s">
        <v>804</v>
      </c>
      <c r="F55" s="10">
        <v>7</v>
      </c>
      <c r="G55" s="10">
        <v>577.79999999999995</v>
      </c>
      <c r="H55" s="10">
        <v>625.6</v>
      </c>
      <c r="I55" s="10">
        <f>Table8[[#This Row],[Wet Weight of 3 plants (g) ]]-55.8</f>
        <v>569.80000000000007</v>
      </c>
      <c r="J55" s="10">
        <f>(Table8[[#This Row],[Wet - Bag Weight (g) ]]/3)*Table8[[#This Row],['# of Plants]]</f>
        <v>1329.5333333333335</v>
      </c>
      <c r="K55" s="10">
        <v>302.7</v>
      </c>
      <c r="L55" s="10">
        <f>Table8[[#This Row],[DRY Sample Weight (g) (3 Plants) ]]-55.8</f>
        <v>246.89999999999998</v>
      </c>
      <c r="M55" s="10">
        <f>Table8[[#This Row],[Wet weight of 1m2 of corn]]-Table8[[#This Row],[Dry Weight of 1m2 of Corn]]</f>
        <v>753.43333333333351</v>
      </c>
      <c r="N55" s="10">
        <f>(Table8[[#This Row],[DRY Sample - Bag Weight (g) ]]/3)*Table8[[#This Row],['# of Plants]]</f>
        <v>576.1</v>
      </c>
      <c r="O55" s="79">
        <f>Table8[[#This Row],[Dry Weight of 1m2 of Corn]]+J145</f>
        <v>706.13499999999999</v>
      </c>
      <c r="P55" s="14"/>
      <c r="Q55" s="14"/>
      <c r="T55" s="14"/>
      <c r="U55" s="14"/>
      <c r="AN55" t="s">
        <v>677</v>
      </c>
      <c r="AO55">
        <v>7.3404676759259253</v>
      </c>
      <c r="AP55">
        <v>0.51753334772653437</v>
      </c>
      <c r="AQ55">
        <v>56.712144945370362</v>
      </c>
      <c r="AR55">
        <v>12.261434947593369</v>
      </c>
    </row>
    <row r="56" spans="1:44">
      <c r="A56" s="10">
        <v>2021</v>
      </c>
      <c r="B56" s="10">
        <v>293</v>
      </c>
      <c r="C56" s="10">
        <v>3</v>
      </c>
      <c r="D56" s="10">
        <v>6</v>
      </c>
      <c r="E56" s="10" t="s">
        <v>807</v>
      </c>
      <c r="F56" s="10">
        <v>7</v>
      </c>
      <c r="G56" s="10">
        <v>489.5</v>
      </c>
      <c r="H56" s="10">
        <v>488.4</v>
      </c>
      <c r="I56" s="10">
        <f>Table8[[#This Row],[Wet Weight of 3 plants (g) ]]-55.8</f>
        <v>432.59999999999997</v>
      </c>
      <c r="J56" s="10">
        <f>(Table8[[#This Row],[Wet - Bag Weight (g) ]]/3)*Table8[[#This Row],['# of Plants]]</f>
        <v>1009.3999999999999</v>
      </c>
      <c r="K56" s="10">
        <v>284.89999999999998</v>
      </c>
      <c r="L56" s="10">
        <f>Table8[[#This Row],[DRY Sample Weight (g) (3 Plants) ]]-55.8</f>
        <v>229.09999999999997</v>
      </c>
      <c r="M56" s="10">
        <f>Table8[[#This Row],[Wet weight of 1m2 of corn]]-Table8[[#This Row],[Dry Weight of 1m2 of Corn]]</f>
        <v>474.83333333333326</v>
      </c>
      <c r="N56" s="10">
        <f>(Table8[[#This Row],[DRY Sample - Bag Weight (g) ]]/3)*Table8[[#This Row],['# of Plants]]</f>
        <v>534.56666666666661</v>
      </c>
      <c r="O56" s="79">
        <f>Table8[[#This Row],[Dry Weight of 1m2 of Corn]]+J146</f>
        <v>661.31966666666665</v>
      </c>
      <c r="P56" s="14"/>
      <c r="Q56" s="14"/>
      <c r="R56" s="14"/>
      <c r="S56" s="14"/>
      <c r="T56" s="14"/>
      <c r="U56" s="14"/>
      <c r="AN56" t="s">
        <v>952</v>
      </c>
      <c r="AO56">
        <v>4.596512944444445</v>
      </c>
      <c r="AP56">
        <v>0.58096151310852018</v>
      </c>
      <c r="AQ56">
        <v>27.346235505555558</v>
      </c>
      <c r="AR56">
        <v>4.6387112099597472</v>
      </c>
    </row>
    <row r="57" spans="1:44">
      <c r="A57" s="10">
        <v>2021</v>
      </c>
      <c r="B57" s="10">
        <v>293</v>
      </c>
      <c r="C57" s="10">
        <v>3</v>
      </c>
      <c r="D57" s="10">
        <v>7</v>
      </c>
      <c r="E57" s="78" t="s">
        <v>804</v>
      </c>
      <c r="F57" s="10">
        <v>7</v>
      </c>
      <c r="G57" s="10">
        <v>863.2</v>
      </c>
      <c r="H57" s="10">
        <v>497.5</v>
      </c>
      <c r="I57" s="10">
        <f>Table8[[#This Row],[Wet Weight of 3 plants (g) ]]-55.8</f>
        <v>441.7</v>
      </c>
      <c r="J57" s="10">
        <f>(Table8[[#This Row],[Wet - Bag Weight (g) ]]/3)*Table8[[#This Row],['# of Plants]]</f>
        <v>1030.6333333333332</v>
      </c>
      <c r="K57" s="10">
        <v>265.39999999999998</v>
      </c>
      <c r="L57" s="10">
        <f>Table8[[#This Row],[DRY Sample Weight (g) (3 Plants) ]]-55.8</f>
        <v>209.59999999999997</v>
      </c>
      <c r="M57" s="10">
        <f>Table8[[#This Row],[Wet weight of 1m2 of corn]]-Table8[[#This Row],[Dry Weight of 1m2 of Corn]]</f>
        <v>541.56666666666661</v>
      </c>
      <c r="N57" s="10">
        <f>(Table8[[#This Row],[DRY Sample - Bag Weight (g) ]]/3)*Table8[[#This Row],['# of Plants]]</f>
        <v>489.06666666666661</v>
      </c>
      <c r="O57" s="79">
        <f>Table8[[#This Row],[Dry Weight of 1m2 of Corn]]+J147</f>
        <v>629.24666666666667</v>
      </c>
      <c r="P57" s="14"/>
      <c r="Q57" s="14"/>
      <c r="R57" s="14"/>
      <c r="S57" s="14"/>
      <c r="T57" s="14"/>
      <c r="U57" s="14"/>
      <c r="AN57" t="s">
        <v>678</v>
      </c>
      <c r="AO57">
        <v>7.4638993055555538</v>
      </c>
      <c r="AP57">
        <v>7.4638993055555538</v>
      </c>
      <c r="AQ57">
        <v>51.334372622222219</v>
      </c>
      <c r="AR57">
        <v>11.797010139601486</v>
      </c>
    </row>
    <row r="58" spans="1:44">
      <c r="A58" s="10">
        <v>2021</v>
      </c>
      <c r="B58" s="10">
        <v>293</v>
      </c>
      <c r="C58" s="10">
        <v>3</v>
      </c>
      <c r="D58" s="10">
        <v>7</v>
      </c>
      <c r="E58" s="10" t="s">
        <v>807</v>
      </c>
      <c r="F58" s="10">
        <v>7</v>
      </c>
      <c r="G58" s="10">
        <v>523.29999999999995</v>
      </c>
      <c r="H58" s="10">
        <v>399.8</v>
      </c>
      <c r="I58" s="10">
        <f>Table8[[#This Row],[Wet Weight of 3 plants (g) ]]-55.8</f>
        <v>344</v>
      </c>
      <c r="J58" s="10">
        <f>(Table8[[#This Row],[Wet - Bag Weight (g) ]]/3)*Table8[[#This Row],['# of Plants]]</f>
        <v>802.66666666666674</v>
      </c>
      <c r="K58" s="10">
        <v>245.2</v>
      </c>
      <c r="L58" s="10">
        <f>Table8[[#This Row],[DRY Sample Weight (g) (3 Plants) ]]-55.8</f>
        <v>189.39999999999998</v>
      </c>
      <c r="M58" s="10">
        <f>Table8[[#This Row],[Wet weight of 1m2 of corn]]-Table8[[#This Row],[Dry Weight of 1m2 of Corn]]</f>
        <v>360.73333333333346</v>
      </c>
      <c r="N58" s="10">
        <f>(Table8[[#This Row],[DRY Sample - Bag Weight (g) ]]/3)*Table8[[#This Row],['# of Plants]]</f>
        <v>441.93333333333328</v>
      </c>
      <c r="O58" s="79">
        <f>Table8[[#This Row],[Dry Weight of 1m2 of Corn]]+J148</f>
        <v>561.70833333333326</v>
      </c>
      <c r="P58" s="14"/>
      <c r="Q58" s="14"/>
      <c r="R58" s="14"/>
      <c r="S58" s="14"/>
      <c r="T58" s="14"/>
      <c r="U58" s="14"/>
      <c r="AN58" t="s">
        <v>957</v>
      </c>
      <c r="AO58">
        <v>6.0453161666666659</v>
      </c>
      <c r="AP58">
        <v>1.4048722493560661</v>
      </c>
      <c r="AQ58">
        <v>31.478347272222219</v>
      </c>
      <c r="AR58">
        <v>3.5183380589173652</v>
      </c>
    </row>
    <row r="59" spans="1:44">
      <c r="A59" s="10">
        <v>2021</v>
      </c>
      <c r="B59" s="10">
        <v>293</v>
      </c>
      <c r="C59" s="10">
        <v>3</v>
      </c>
      <c r="D59" s="10">
        <v>8</v>
      </c>
      <c r="E59" s="10" t="s">
        <v>804</v>
      </c>
      <c r="F59" s="10">
        <v>7</v>
      </c>
      <c r="G59" s="10">
        <v>527.70000000000005</v>
      </c>
      <c r="H59" s="10">
        <v>477.1</v>
      </c>
      <c r="I59" s="10">
        <f>Table8[[#This Row],[Wet Weight of 3 plants (g) ]]-55.8</f>
        <v>421.3</v>
      </c>
      <c r="J59" s="10">
        <f>(Table8[[#This Row],[Wet - Bag Weight (g) ]]/3)*Table8[[#This Row],['# of Plants]]</f>
        <v>983.0333333333333</v>
      </c>
      <c r="K59" s="10">
        <v>280.7</v>
      </c>
      <c r="L59" s="10">
        <f>Table8[[#This Row],[DRY Sample Weight (g) (3 Plants) ]]-55.8</f>
        <v>224.89999999999998</v>
      </c>
      <c r="M59" s="10">
        <f>Table8[[#This Row],[Wet weight of 1m2 of corn]]-Table8[[#This Row],[Dry Weight of 1m2 of Corn]]</f>
        <v>458.26666666666677</v>
      </c>
      <c r="N59" s="10">
        <f>(Table8[[#This Row],[DRY Sample - Bag Weight (g) ]]/3)*Table8[[#This Row],['# of Plants]]</f>
        <v>524.76666666666654</v>
      </c>
      <c r="O59" s="79">
        <f>Table8[[#This Row],[Dry Weight of 1m2 of Corn]]+J149</f>
        <v>647.80366666666657</v>
      </c>
      <c r="P59" s="14"/>
      <c r="Q59" s="14"/>
      <c r="R59" s="14"/>
      <c r="S59" s="14"/>
      <c r="T59" s="14"/>
      <c r="U59" s="14"/>
    </row>
    <row r="60" spans="1:44">
      <c r="A60" s="10">
        <v>2021</v>
      </c>
      <c r="B60" s="10">
        <v>293</v>
      </c>
      <c r="C60" s="10">
        <v>3</v>
      </c>
      <c r="D60" s="10">
        <v>8</v>
      </c>
      <c r="E60" s="10" t="s">
        <v>807</v>
      </c>
      <c r="F60" s="10">
        <v>8</v>
      </c>
      <c r="G60" s="10">
        <v>652</v>
      </c>
      <c r="H60" s="10">
        <v>417.5</v>
      </c>
      <c r="I60" s="10">
        <f>Table8[[#This Row],[Wet Weight of 3 plants (g) ]]-55.8</f>
        <v>361.7</v>
      </c>
      <c r="J60" s="10">
        <f>(Table8[[#This Row],[Wet - Bag Weight (g) ]]/3)*Table8[[#This Row],['# of Plants]]</f>
        <v>964.5333333333333</v>
      </c>
      <c r="K60" s="10">
        <v>243.7</v>
      </c>
      <c r="L60" s="10">
        <f>Table8[[#This Row],[DRY Sample Weight (g) (3 Plants) ]]-55.8</f>
        <v>187.89999999999998</v>
      </c>
      <c r="M60" s="10">
        <f>Table8[[#This Row],[Wet weight of 1m2 of corn]]-Table8[[#This Row],[Dry Weight of 1m2 of Corn]]</f>
        <v>463.4666666666667</v>
      </c>
      <c r="N60" s="10">
        <f>(Table8[[#This Row],[DRY Sample - Bag Weight (g) ]]/3)*Table8[[#This Row],['# of Plants]]</f>
        <v>501.06666666666661</v>
      </c>
      <c r="O60" s="79">
        <f>Table8[[#This Row],[Dry Weight of 1m2 of Corn]]+J150</f>
        <v>605.79866666666658</v>
      </c>
      <c r="P60" s="14"/>
      <c r="Q60" s="14"/>
      <c r="R60" s="14"/>
      <c r="S60" s="14"/>
      <c r="T60" s="14"/>
      <c r="U60" s="14"/>
    </row>
    <row r="61" spans="1:44">
      <c r="A61" s="10">
        <v>2021</v>
      </c>
      <c r="B61" s="10">
        <v>293</v>
      </c>
      <c r="C61" s="10">
        <v>3</v>
      </c>
      <c r="D61" s="10">
        <v>9</v>
      </c>
      <c r="E61" s="78" t="s">
        <v>804</v>
      </c>
      <c r="F61" s="10">
        <v>7</v>
      </c>
      <c r="G61" s="10">
        <v>863.1</v>
      </c>
      <c r="H61" s="10">
        <v>470.3</v>
      </c>
      <c r="I61" s="10">
        <f>Table8[[#This Row],[Wet Weight of 3 plants (g) ]]-55.8</f>
        <v>414.5</v>
      </c>
      <c r="J61" s="10">
        <f>(Table8[[#This Row],[Wet - Bag Weight (g) ]]/3)*Table8[[#This Row],['# of Plants]]</f>
        <v>967.16666666666663</v>
      </c>
      <c r="K61" s="10">
        <v>253.4</v>
      </c>
      <c r="L61" s="10">
        <f>Table8[[#This Row],[DRY Sample Weight (g) (3 Plants) ]]-55.8</f>
        <v>197.60000000000002</v>
      </c>
      <c r="M61" s="10">
        <f>Table8[[#This Row],[Wet weight of 1m2 of corn]]-Table8[[#This Row],[Dry Weight of 1m2 of Corn]]</f>
        <v>506.09999999999991</v>
      </c>
      <c r="N61" s="10">
        <f>(Table8[[#This Row],[DRY Sample - Bag Weight (g) ]]/3)*Table8[[#This Row],['# of Plants]]</f>
        <v>461.06666666666672</v>
      </c>
      <c r="O61" s="79">
        <f>Table8[[#This Row],[Dry Weight of 1m2 of Corn]]+J151</f>
        <v>599.42166666666674</v>
      </c>
      <c r="P61" s="14"/>
      <c r="Q61" s="14"/>
      <c r="R61" s="14"/>
      <c r="S61" s="14"/>
      <c r="T61" s="14"/>
      <c r="U61" s="14"/>
      <c r="AN61" t="s">
        <v>921</v>
      </c>
      <c r="AO61" t="s">
        <v>981</v>
      </c>
      <c r="AP61" t="s">
        <v>586</v>
      </c>
    </row>
    <row r="62" spans="1:44">
      <c r="A62" s="10">
        <v>2021</v>
      </c>
      <c r="B62" s="10">
        <v>293</v>
      </c>
      <c r="C62" s="10">
        <v>3</v>
      </c>
      <c r="D62" s="10">
        <v>9</v>
      </c>
      <c r="E62" s="10" t="s">
        <v>807</v>
      </c>
      <c r="F62" s="10">
        <v>7</v>
      </c>
      <c r="G62" s="10">
        <v>529.4</v>
      </c>
      <c r="H62" s="10">
        <v>395.6</v>
      </c>
      <c r="I62" s="10">
        <f>Table8[[#This Row],[Wet Weight of 3 plants (g) ]]-55.8</f>
        <v>339.8</v>
      </c>
      <c r="J62" s="10">
        <f>(Table8[[#This Row],[Wet - Bag Weight (g) ]]/3)*Table8[[#This Row],['# of Plants]]</f>
        <v>792.86666666666667</v>
      </c>
      <c r="K62" s="10">
        <v>277.89999999999998</v>
      </c>
      <c r="L62" s="10">
        <f>Table8[[#This Row],[DRY Sample Weight (g) (3 Plants) ]]-55.8</f>
        <v>222.09999999999997</v>
      </c>
      <c r="M62" s="10">
        <f>Table8[[#This Row],[Wet weight of 1m2 of corn]]-Table8[[#This Row],[Dry Weight of 1m2 of Corn]]</f>
        <v>274.63333333333344</v>
      </c>
      <c r="N62" s="10">
        <f>(Table8[[#This Row],[DRY Sample - Bag Weight (g) ]]/3)*Table8[[#This Row],['# of Plants]]</f>
        <v>518.23333333333323</v>
      </c>
      <c r="O62" s="79">
        <f>Table8[[#This Row],[Dry Weight of 1m2 of Corn]]+J152</f>
        <v>656.42933333333326</v>
      </c>
      <c r="R62" s="14"/>
      <c r="S62" s="14"/>
      <c r="T62" s="14"/>
      <c r="U62" s="14"/>
      <c r="AN62" s="283" t="s">
        <v>675</v>
      </c>
      <c r="AO62" s="283">
        <f>AO51*1000</f>
        <v>7198.8343148148142</v>
      </c>
      <c r="AP62" s="283">
        <f>AP51*1000</f>
        <v>683.21924122488258</v>
      </c>
      <c r="AQ62" s="283"/>
      <c r="AR62" s="283"/>
    </row>
    <row r="63" spans="1:44">
      <c r="A63" s="6">
        <v>2021</v>
      </c>
      <c r="B63" s="6">
        <v>292</v>
      </c>
      <c r="C63" s="6">
        <v>3</v>
      </c>
      <c r="D63" s="6">
        <v>11</v>
      </c>
      <c r="E63" s="6" t="s">
        <v>804</v>
      </c>
      <c r="F63" s="6">
        <v>7</v>
      </c>
      <c r="G63" s="6">
        <v>996</v>
      </c>
      <c r="H63" s="6">
        <v>459.2</v>
      </c>
      <c r="I63" s="6">
        <f>Table8[[#This Row],[Wet Weight of 3 plants (g) ]]-55.8</f>
        <v>403.4</v>
      </c>
      <c r="J63" s="6">
        <f>(Table8[[#This Row],[Wet - Bag Weight (g) ]]/3)*Table8[[#This Row],['# of Plants]]</f>
        <v>941.26666666666665</v>
      </c>
      <c r="K63" s="6">
        <v>222.9</v>
      </c>
      <c r="L63" s="6">
        <f>Table8[[#This Row],[DRY Sample Weight (g) (3 Plants) ]]-55.8</f>
        <v>167.10000000000002</v>
      </c>
      <c r="M63" s="6">
        <f>Table8[[#This Row],[Wet weight of 1m2 of corn]]-Table8[[#This Row],[Dry Weight of 1m2 of Corn]]</f>
        <v>551.36666666666656</v>
      </c>
      <c r="N63" s="6">
        <f>(Table8[[#This Row],[DRY Sample - Bag Weight (g) ]]/3)*Table8[[#This Row],['# of Plants]]</f>
        <v>389.90000000000009</v>
      </c>
      <c r="O63" s="141">
        <f>Table8[[#This Row],[Dry Weight of 1m2 of Corn]]+J153</f>
        <v>449.1880000000001</v>
      </c>
      <c r="R63" s="14"/>
      <c r="S63" s="14"/>
      <c r="T63" s="14"/>
      <c r="U63" s="14"/>
      <c r="AN63" t="s">
        <v>943</v>
      </c>
      <c r="AO63">
        <f t="shared" ref="AO63:AP69" si="3">AO52*1000</f>
        <v>6084.5618333333323</v>
      </c>
      <c r="AP63">
        <f t="shared" si="3"/>
        <v>1700.2607081575352</v>
      </c>
    </row>
    <row r="64" spans="1:44">
      <c r="A64" s="6">
        <v>2021</v>
      </c>
      <c r="B64" s="6">
        <v>292</v>
      </c>
      <c r="C64" s="6">
        <v>3</v>
      </c>
      <c r="D64" s="6">
        <v>12</v>
      </c>
      <c r="E64" s="6" t="s">
        <v>804</v>
      </c>
      <c r="F64" s="6">
        <v>7</v>
      </c>
      <c r="G64" s="6">
        <v>928.4</v>
      </c>
      <c r="H64" s="6">
        <v>346.3</v>
      </c>
      <c r="I64" s="6">
        <f>Table8[[#This Row],[Wet Weight of 3 plants (g) ]]-55.8</f>
        <v>290.5</v>
      </c>
      <c r="J64" s="6">
        <f>(Table8[[#This Row],[Wet - Bag Weight (g) ]]/3)*Table8[[#This Row],['# of Plants]]</f>
        <v>677.83333333333326</v>
      </c>
      <c r="K64" s="6">
        <v>181.3</v>
      </c>
      <c r="L64" s="6">
        <f>Table8[[#This Row],[DRY Sample Weight (g) (3 Plants) ]]-55.8</f>
        <v>125.50000000000001</v>
      </c>
      <c r="M64" s="6">
        <f>Table8[[#This Row],[Wet weight of 1m2 of corn]]-Table8[[#This Row],[Dry Weight of 1m2 of Corn]]</f>
        <v>384.99999999999989</v>
      </c>
      <c r="N64" s="6">
        <f>(Table8[[#This Row],[DRY Sample - Bag Weight (g) ]]/3)*Table8[[#This Row],['# of Plants]]</f>
        <v>292.83333333333337</v>
      </c>
      <c r="O64" s="141">
        <f>Table8[[#This Row],[Dry Weight of 1m2 of Corn]]+J154</f>
        <v>348.21033333333338</v>
      </c>
      <c r="R64" s="14"/>
      <c r="S64" s="14"/>
      <c r="T64" s="14"/>
      <c r="U64" s="14"/>
      <c r="AN64" t="s">
        <v>676</v>
      </c>
      <c r="AO64">
        <f t="shared" si="3"/>
        <v>7375.9162129629613</v>
      </c>
      <c r="AP64">
        <f t="shared" si="3"/>
        <v>206.56641344172832</v>
      </c>
    </row>
    <row r="65" spans="1:44">
      <c r="A65" s="6">
        <v>2021</v>
      </c>
      <c r="B65" s="6">
        <v>292</v>
      </c>
      <c r="C65" s="6">
        <v>3</v>
      </c>
      <c r="D65" s="6">
        <v>13</v>
      </c>
      <c r="E65" s="102" t="s">
        <v>804</v>
      </c>
      <c r="F65" s="6">
        <v>6</v>
      </c>
      <c r="G65" s="6">
        <v>987.1</v>
      </c>
      <c r="H65" s="6">
        <v>492.7</v>
      </c>
      <c r="I65" s="6">
        <f>Table8[[#This Row],[Wet Weight of 3 plants (g) ]]-55.8</f>
        <v>436.9</v>
      </c>
      <c r="J65" s="6">
        <f>(Table8[[#This Row],[Wet - Bag Weight (g) ]]/3)*Table8[[#This Row],['# of Plants]]</f>
        <v>873.8</v>
      </c>
      <c r="K65" s="6">
        <v>225.9</v>
      </c>
      <c r="L65" s="6">
        <f>Table8[[#This Row],[DRY Sample Weight (g) (3 Plants) ]]-55.8</f>
        <v>170.10000000000002</v>
      </c>
      <c r="M65" s="6">
        <f>Table8[[#This Row],[Wet weight of 1m2 of corn]]-Table8[[#This Row],[Dry Weight of 1m2 of Corn]]</f>
        <v>533.59999999999991</v>
      </c>
      <c r="N65" s="6">
        <f>(Table8[[#This Row],[DRY Sample - Bag Weight (g) ]]/3)*Table8[[#This Row],['# of Plants]]</f>
        <v>340.20000000000005</v>
      </c>
      <c r="O65" s="141">
        <f>Table8[[#This Row],[Dry Weight of 1m2 of Corn]]+J155</f>
        <v>401.69200000000006</v>
      </c>
      <c r="R65" s="14"/>
      <c r="S65" s="14"/>
      <c r="AN65" t="s">
        <v>948</v>
      </c>
      <c r="AO65">
        <f t="shared" si="3"/>
        <v>5914.7451666666657</v>
      </c>
      <c r="AP65">
        <f t="shared" si="3"/>
        <v>1460.4836489609629</v>
      </c>
    </row>
    <row r="66" spans="1:44">
      <c r="A66" s="10">
        <v>2021</v>
      </c>
      <c r="B66" s="10">
        <v>293</v>
      </c>
      <c r="C66" s="10">
        <v>4</v>
      </c>
      <c r="D66" s="10">
        <v>1</v>
      </c>
      <c r="E66" s="78" t="s">
        <v>804</v>
      </c>
      <c r="F66" s="10">
        <v>6</v>
      </c>
      <c r="G66" s="10">
        <v>530.29999999999995</v>
      </c>
      <c r="H66" s="10">
        <v>557.4</v>
      </c>
      <c r="I66" s="10">
        <f>Table8[[#This Row],[Wet Weight of 3 plants (g) ]]-55.8</f>
        <v>501.59999999999997</v>
      </c>
      <c r="J66" s="10">
        <f>(Table8[[#This Row],[Wet - Bag Weight (g) ]]/3)*Table8[[#This Row],['# of Plants]]</f>
        <v>1003.1999999999999</v>
      </c>
      <c r="K66" s="10">
        <v>241.8</v>
      </c>
      <c r="L66" s="10">
        <f>Table8[[#This Row],[DRY Sample Weight (g) (3 Plants) ]]-55.8</f>
        <v>186</v>
      </c>
      <c r="M66" s="10">
        <f>Table8[[#This Row],[Wet weight of 1m2 of corn]]-Table8[[#This Row],[Dry Weight of 1m2 of Corn]]</f>
        <v>631.19999999999993</v>
      </c>
      <c r="N66" s="10">
        <f>(Table8[[#This Row],[DRY Sample - Bag Weight (g) ]]/3)*Table8[[#This Row],['# of Plants]]</f>
        <v>372</v>
      </c>
      <c r="O66" s="79">
        <f>Table8[[#This Row],[Dry Weight of 1m2 of Corn]]+J156</f>
        <v>463.38099999999997</v>
      </c>
      <c r="R66" s="14"/>
      <c r="S66" s="14"/>
      <c r="AN66" s="283" t="s">
        <v>677</v>
      </c>
      <c r="AO66" s="283">
        <f t="shared" si="3"/>
        <v>7340.4676759259255</v>
      </c>
      <c r="AP66" s="283">
        <f t="shared" si="3"/>
        <v>517.53334772653432</v>
      </c>
      <c r="AQ66" s="283"/>
      <c r="AR66" s="283"/>
    </row>
    <row r="67" spans="1:44">
      <c r="A67" s="10">
        <v>2021</v>
      </c>
      <c r="B67" s="10">
        <v>293</v>
      </c>
      <c r="C67" s="10">
        <v>4</v>
      </c>
      <c r="D67" s="10">
        <v>1</v>
      </c>
      <c r="E67" s="10" t="s">
        <v>807</v>
      </c>
      <c r="F67" s="10">
        <v>7</v>
      </c>
      <c r="G67" s="10">
        <v>788</v>
      </c>
      <c r="H67" s="10">
        <v>578.29999999999995</v>
      </c>
      <c r="I67" s="10">
        <f>Table8[[#This Row],[Wet Weight of 3 plants (g) ]]-55.8</f>
        <v>522.5</v>
      </c>
      <c r="J67" s="10">
        <f>(Table8[[#This Row],[Wet - Bag Weight (g) ]]/3)*Table8[[#This Row],['# of Plants]]</f>
        <v>1219.1666666666665</v>
      </c>
      <c r="K67" s="10">
        <v>302</v>
      </c>
      <c r="L67" s="10">
        <f>Table8[[#This Row],[DRY Sample Weight (g) (3 Plants) ]]-55.8</f>
        <v>246.2</v>
      </c>
      <c r="M67" s="10">
        <f>Table8[[#This Row],[Wet weight of 1m2 of corn]]-Table8[[#This Row],[Dry Weight of 1m2 of Corn]]</f>
        <v>644.69999999999982</v>
      </c>
      <c r="N67" s="10">
        <f>(Table8[[#This Row],[DRY Sample - Bag Weight (g) ]]/3)*Table8[[#This Row],['# of Plants]]</f>
        <v>574.4666666666667</v>
      </c>
      <c r="O67" s="79">
        <f>Table8[[#This Row],[Dry Weight of 1m2 of Corn]]+J157</f>
        <v>690.41666666666674</v>
      </c>
      <c r="P67" s="14"/>
      <c r="Q67" s="14"/>
      <c r="R67" s="14"/>
      <c r="S67" s="14"/>
      <c r="T67" s="14"/>
      <c r="U67" s="14"/>
      <c r="AN67" t="s">
        <v>952</v>
      </c>
      <c r="AO67">
        <f t="shared" si="3"/>
        <v>4596.5129444444447</v>
      </c>
      <c r="AP67">
        <f t="shared" si="3"/>
        <v>580.96151310852019</v>
      </c>
    </row>
    <row r="68" spans="1:44">
      <c r="A68" s="10">
        <v>2021</v>
      </c>
      <c r="B68" s="10">
        <v>293</v>
      </c>
      <c r="C68" s="10">
        <v>4</v>
      </c>
      <c r="D68" s="10">
        <v>2</v>
      </c>
      <c r="E68" s="10" t="s">
        <v>804</v>
      </c>
      <c r="F68" s="10">
        <v>7</v>
      </c>
      <c r="G68" s="10">
        <v>739.8</v>
      </c>
      <c r="H68" s="10">
        <v>562.20000000000005</v>
      </c>
      <c r="I68" s="10">
        <f>Table8[[#This Row],[Wet Weight of 3 plants (g) ]]-55.8</f>
        <v>506.40000000000003</v>
      </c>
      <c r="J68" s="10">
        <f>(Table8[[#This Row],[Wet - Bag Weight (g) ]]/3)*Table8[[#This Row],['# of Plants]]</f>
        <v>1181.6000000000001</v>
      </c>
      <c r="K68" s="10">
        <v>292.89999999999998</v>
      </c>
      <c r="L68" s="10">
        <f>Table8[[#This Row],[DRY Sample Weight (g) (3 Plants) ]]-55.8</f>
        <v>237.09999999999997</v>
      </c>
      <c r="M68" s="10">
        <f>Table8[[#This Row],[Wet weight of 1m2 of corn]]-Table8[[#This Row],[Dry Weight of 1m2 of Corn]]</f>
        <v>628.3666666666669</v>
      </c>
      <c r="N68" s="10">
        <f>(Table8[[#This Row],[DRY Sample - Bag Weight (g) ]]/3)*Table8[[#This Row],['# of Plants]]</f>
        <v>553.23333333333323</v>
      </c>
      <c r="O68" s="79">
        <f>Table8[[#This Row],[Dry Weight of 1m2 of Corn]]+J158</f>
        <v>687.45333333333326</v>
      </c>
      <c r="P68" s="14"/>
      <c r="Q68" s="14"/>
      <c r="R68" s="14"/>
      <c r="S68" s="14"/>
      <c r="T68" s="14"/>
      <c r="U68" s="14"/>
      <c r="AN68" t="s">
        <v>678</v>
      </c>
      <c r="AO68">
        <f t="shared" si="3"/>
        <v>7463.8993055555538</v>
      </c>
      <c r="AP68">
        <f t="shared" si="3"/>
        <v>7463.8993055555538</v>
      </c>
    </row>
    <row r="69" spans="1:44">
      <c r="A69" s="10">
        <v>2021</v>
      </c>
      <c r="B69" s="10">
        <v>293</v>
      </c>
      <c r="C69" s="10">
        <v>4</v>
      </c>
      <c r="D69" s="10">
        <v>2</v>
      </c>
      <c r="E69" s="10" t="s">
        <v>807</v>
      </c>
      <c r="F69" s="10">
        <v>7</v>
      </c>
      <c r="G69" s="10">
        <v>780.1</v>
      </c>
      <c r="H69" s="10">
        <v>574.4</v>
      </c>
      <c r="I69" s="10">
        <f>Table8[[#This Row],[Wet Weight of 3 plants (g) ]]-55.8</f>
        <v>518.6</v>
      </c>
      <c r="J69" s="10">
        <f>(Table8[[#This Row],[Wet - Bag Weight (g) ]]/3)*Table8[[#This Row],['# of Plants]]</f>
        <v>1210.0666666666666</v>
      </c>
      <c r="K69" s="10">
        <v>275.5</v>
      </c>
      <c r="L69" s="10">
        <f>Table8[[#This Row],[DRY Sample Weight (g) (3 Plants) ]]-55.8</f>
        <v>219.7</v>
      </c>
      <c r="M69" s="10">
        <f>Table8[[#This Row],[Wet weight of 1m2 of corn]]-Table8[[#This Row],[Dry Weight of 1m2 of Corn]]</f>
        <v>697.43333333333328</v>
      </c>
      <c r="N69" s="10">
        <f>(Table8[[#This Row],[DRY Sample - Bag Weight (g) ]]/3)*Table8[[#This Row],['# of Plants]]</f>
        <v>512.63333333333333</v>
      </c>
      <c r="O69" s="79">
        <f>Table8[[#This Row],[Dry Weight of 1m2 of Corn]]+J159</f>
        <v>648.40533333333337</v>
      </c>
      <c r="P69" s="14"/>
      <c r="Q69" s="14" t="s">
        <v>892</v>
      </c>
      <c r="R69" s="14"/>
      <c r="S69" s="14"/>
      <c r="T69" s="14"/>
      <c r="U69" s="14"/>
      <c r="AN69" t="s">
        <v>957</v>
      </c>
      <c r="AO69">
        <f t="shared" si="3"/>
        <v>6045.3161666666656</v>
      </c>
      <c r="AP69">
        <f t="shared" si="3"/>
        <v>1404.872249356066</v>
      </c>
    </row>
    <row r="70" spans="1:44">
      <c r="A70" s="10">
        <v>2021</v>
      </c>
      <c r="B70" s="10">
        <v>293</v>
      </c>
      <c r="C70" s="10">
        <v>4</v>
      </c>
      <c r="D70" s="10">
        <v>3</v>
      </c>
      <c r="E70" s="78" t="s">
        <v>804</v>
      </c>
      <c r="F70" s="10">
        <v>6</v>
      </c>
      <c r="G70" s="10">
        <v>596.5</v>
      </c>
      <c r="H70" s="10">
        <v>543.6</v>
      </c>
      <c r="I70" s="10">
        <f>Table8[[#This Row],[Wet Weight of 3 plants (g) ]]-55.8</f>
        <v>487.8</v>
      </c>
      <c r="J70" s="10">
        <f>(Table8[[#This Row],[Wet - Bag Weight (g) ]]/3)*Table8[[#This Row],['# of Plants]]</f>
        <v>975.59999999999991</v>
      </c>
      <c r="K70" s="10">
        <v>249.3</v>
      </c>
      <c r="L70" s="10">
        <f>Table8[[#This Row],[DRY Sample Weight (g) (3 Plants) ]]-55.8</f>
        <v>193.5</v>
      </c>
      <c r="M70" s="10">
        <f>Table8[[#This Row],[Wet weight of 1m2 of corn]]-Table8[[#This Row],[Dry Weight of 1m2 of Corn]]</f>
        <v>588.59999999999991</v>
      </c>
      <c r="N70" s="10">
        <f>(Table8[[#This Row],[DRY Sample - Bag Weight (g) ]]/3)*Table8[[#This Row],['# of Plants]]</f>
        <v>387</v>
      </c>
      <c r="O70" s="79">
        <f>Table8[[#This Row],[Dry Weight of 1m2 of Corn]]+J160</f>
        <v>497.58199999999999</v>
      </c>
      <c r="P70" s="14"/>
      <c r="Q70" s="14" t="s">
        <v>893</v>
      </c>
      <c r="R70" s="14">
        <f>AVERAGE(F3:F23)</f>
        <v>6.8571428571428568</v>
      </c>
      <c r="S70" s="14"/>
      <c r="T70" s="14"/>
      <c r="U70" s="14"/>
    </row>
    <row r="71" spans="1:44">
      <c r="A71" s="10">
        <v>2021</v>
      </c>
      <c r="B71" s="10">
        <v>293</v>
      </c>
      <c r="C71" s="10">
        <v>4</v>
      </c>
      <c r="D71" s="10">
        <v>3</v>
      </c>
      <c r="E71" s="10" t="s">
        <v>807</v>
      </c>
      <c r="F71" s="10">
        <v>7</v>
      </c>
      <c r="G71" s="10">
        <v>639.29999999999995</v>
      </c>
      <c r="H71" s="10">
        <v>553.1</v>
      </c>
      <c r="I71" s="10">
        <f>Table8[[#This Row],[Wet Weight of 3 plants (g) ]]-55.8</f>
        <v>497.3</v>
      </c>
      <c r="J71" s="10">
        <f>(Table8[[#This Row],[Wet - Bag Weight (g) ]]/3)*Table8[[#This Row],['# of Plants]]</f>
        <v>1160.3666666666668</v>
      </c>
      <c r="K71" s="10">
        <v>287.2</v>
      </c>
      <c r="L71" s="10">
        <f>Table8[[#This Row],[DRY Sample Weight (g) (3 Plants) ]]-55.8</f>
        <v>231.39999999999998</v>
      </c>
      <c r="M71" s="10">
        <f>Table8[[#This Row],[Wet weight of 1m2 of corn]]-Table8[[#This Row],[Dry Weight of 1m2 of Corn]]</f>
        <v>620.43333333333351</v>
      </c>
      <c r="N71" s="10">
        <f>(Table8[[#This Row],[DRY Sample - Bag Weight (g) ]]/3)*Table8[[#This Row],['# of Plants]]</f>
        <v>539.93333333333328</v>
      </c>
      <c r="O71" s="79">
        <f>Table8[[#This Row],[Dry Weight of 1m2 of Corn]]+J161</f>
        <v>673.16233333333332</v>
      </c>
      <c r="P71" s="14"/>
      <c r="Q71" s="14" t="s">
        <v>894</v>
      </c>
      <c r="R71" s="14">
        <f>AVERAGE(F24:F44)</f>
        <v>7</v>
      </c>
      <c r="S71" s="14"/>
      <c r="T71" s="14"/>
      <c r="U71" s="14"/>
    </row>
    <row r="72" spans="1:44">
      <c r="A72" s="10">
        <v>2021</v>
      </c>
      <c r="B72" s="10">
        <v>293</v>
      </c>
      <c r="C72" s="10">
        <v>4</v>
      </c>
      <c r="D72" s="10">
        <v>4</v>
      </c>
      <c r="E72" s="10" t="s">
        <v>804</v>
      </c>
      <c r="F72" s="10">
        <v>7</v>
      </c>
      <c r="G72" s="10">
        <v>847</v>
      </c>
      <c r="H72" s="10">
        <v>564.29999999999995</v>
      </c>
      <c r="I72" s="10">
        <f>Table8[[#This Row],[Wet Weight of 3 plants (g) ]]-55.8</f>
        <v>508.49999999999994</v>
      </c>
      <c r="J72" s="10">
        <f>(Table8[[#This Row],[Wet - Bag Weight (g) ]]/3)*Table8[[#This Row],['# of Plants]]</f>
        <v>1186.4999999999998</v>
      </c>
      <c r="K72" s="10">
        <v>279.39999999999998</v>
      </c>
      <c r="L72" s="10">
        <f>Table8[[#This Row],[DRY Sample Weight (g) (3 Plants) ]]-55.8</f>
        <v>223.59999999999997</v>
      </c>
      <c r="M72" s="10">
        <f>Table8[[#This Row],[Wet weight of 1m2 of corn]]-Table8[[#This Row],[Dry Weight of 1m2 of Corn]]</f>
        <v>664.76666666666654</v>
      </c>
      <c r="N72" s="10">
        <f>(Table8[[#This Row],[DRY Sample - Bag Weight (g) ]]/3)*Table8[[#This Row],['# of Plants]]</f>
        <v>521.73333333333323</v>
      </c>
      <c r="O72" s="79">
        <f>Table8[[#This Row],[Dry Weight of 1m2 of Corn]]+J162</f>
        <v>663.94333333333327</v>
      </c>
      <c r="P72" s="14"/>
      <c r="Q72" s="14" t="s">
        <v>589</v>
      </c>
      <c r="R72" s="14">
        <f>AVERAGE(F45:F65)</f>
        <v>7.1904761904761907</v>
      </c>
      <c r="S72" s="14"/>
      <c r="T72" s="14"/>
      <c r="U72" s="14"/>
    </row>
    <row r="73" spans="1:44">
      <c r="A73" s="10">
        <v>2021</v>
      </c>
      <c r="B73" s="10">
        <v>293</v>
      </c>
      <c r="C73" s="10">
        <v>4</v>
      </c>
      <c r="D73" s="10">
        <v>4</v>
      </c>
      <c r="E73" s="10" t="s">
        <v>807</v>
      </c>
      <c r="F73" s="10">
        <v>7</v>
      </c>
      <c r="G73" s="10">
        <v>910.1</v>
      </c>
      <c r="H73" s="10">
        <v>713.4</v>
      </c>
      <c r="I73" s="10">
        <f>Table8[[#This Row],[Wet Weight of 3 plants (g) ]]-55.8</f>
        <v>657.6</v>
      </c>
      <c r="J73" s="10">
        <f>(Table8[[#This Row],[Wet - Bag Weight (g) ]]/3)*Table8[[#This Row],['# of Plants]]</f>
        <v>1534.4</v>
      </c>
      <c r="K73" s="10">
        <v>310.89999999999998</v>
      </c>
      <c r="L73" s="10">
        <f>Table8[[#This Row],[DRY Sample Weight (g) (3 Plants) ]]-55.8</f>
        <v>255.09999999999997</v>
      </c>
      <c r="M73" s="10">
        <f>Table8[[#This Row],[Wet weight of 1m2 of corn]]-Table8[[#This Row],[Dry Weight of 1m2 of Corn]]</f>
        <v>939.16666666666686</v>
      </c>
      <c r="N73" s="10">
        <f>(Table8[[#This Row],[DRY Sample - Bag Weight (g) ]]/3)*Table8[[#This Row],['# of Plants]]</f>
        <v>595.23333333333323</v>
      </c>
      <c r="O73" s="79">
        <f>Table8[[#This Row],[Dry Weight of 1m2 of Corn]]+J163</f>
        <v>740.10333333333324</v>
      </c>
      <c r="P73" s="14"/>
      <c r="Q73" s="14" t="s">
        <v>590</v>
      </c>
      <c r="R73" s="14">
        <f>AVERAGE(F66:F86)</f>
        <v>7</v>
      </c>
      <c r="S73" s="14"/>
      <c r="T73" s="14"/>
      <c r="U73" s="14"/>
    </row>
    <row r="74" spans="1:44">
      <c r="A74" s="10">
        <v>2021</v>
      </c>
      <c r="B74" s="10">
        <v>293</v>
      </c>
      <c r="C74" s="10">
        <v>4</v>
      </c>
      <c r="D74" s="10">
        <v>5</v>
      </c>
      <c r="E74" s="78" t="s">
        <v>804</v>
      </c>
      <c r="F74" s="10">
        <v>7</v>
      </c>
      <c r="G74" s="10">
        <v>837.8</v>
      </c>
      <c r="H74" s="10">
        <v>439</v>
      </c>
      <c r="I74" s="10">
        <f>Table8[[#This Row],[Wet Weight of 3 plants (g) ]]-55.8</f>
        <v>383.2</v>
      </c>
      <c r="J74" s="10">
        <f>(Table8[[#This Row],[Wet - Bag Weight (g) ]]/3)*Table8[[#This Row],['# of Plants]]</f>
        <v>894.13333333333333</v>
      </c>
      <c r="K74" s="10">
        <v>273.5</v>
      </c>
      <c r="L74" s="10">
        <f>Table8[[#This Row],[DRY Sample Weight (g) (3 Plants) ]]-55.8</f>
        <v>217.7</v>
      </c>
      <c r="M74" s="10">
        <f>Table8[[#This Row],[Wet weight of 1m2 of corn]]-Table8[[#This Row],[Dry Weight of 1m2 of Corn]]</f>
        <v>386.16666666666669</v>
      </c>
      <c r="N74" s="10">
        <f>(Table8[[#This Row],[DRY Sample - Bag Weight (g) ]]/3)*Table8[[#This Row],['# of Plants]]</f>
        <v>507.96666666666664</v>
      </c>
      <c r="O74" s="79">
        <f>Table8[[#This Row],[Dry Weight of 1m2 of Corn]]+J164</f>
        <v>644.87366666666662</v>
      </c>
      <c r="P74" s="14"/>
      <c r="Q74" s="14"/>
      <c r="R74" s="14"/>
      <c r="S74" s="14"/>
      <c r="T74" s="14"/>
      <c r="U74" s="14"/>
    </row>
    <row r="75" spans="1:44">
      <c r="A75" s="10">
        <v>2021</v>
      </c>
      <c r="B75" s="10">
        <v>293</v>
      </c>
      <c r="C75" s="10">
        <v>4</v>
      </c>
      <c r="D75" s="10">
        <v>5</v>
      </c>
      <c r="E75" s="10" t="s">
        <v>807</v>
      </c>
      <c r="F75" s="10">
        <v>7</v>
      </c>
      <c r="G75" s="10">
        <v>554.6</v>
      </c>
      <c r="H75" s="10">
        <v>602.70000000000005</v>
      </c>
      <c r="I75" s="10">
        <f>Table8[[#This Row],[Wet Weight of 3 plants (g) ]]-55.8</f>
        <v>546.90000000000009</v>
      </c>
      <c r="J75" s="10">
        <f>(Table8[[#This Row],[Wet - Bag Weight (g) ]]/3)*Table8[[#This Row],['# of Plants]]</f>
        <v>1276.1000000000004</v>
      </c>
      <c r="K75" s="10">
        <v>300</v>
      </c>
      <c r="L75" s="10">
        <f>Table8[[#This Row],[DRY Sample Weight (g) (3 Plants) ]]-55.8</f>
        <v>244.2</v>
      </c>
      <c r="M75" s="10">
        <f>Table8[[#This Row],[Wet weight of 1m2 of corn]]-Table8[[#This Row],[Dry Weight of 1m2 of Corn]]</f>
        <v>706.30000000000041</v>
      </c>
      <c r="N75" s="10">
        <f>(Table8[[#This Row],[DRY Sample - Bag Weight (g) ]]/3)*Table8[[#This Row],['# of Plants]]</f>
        <v>569.79999999999995</v>
      </c>
      <c r="O75" s="79">
        <f>Table8[[#This Row],[Dry Weight of 1m2 of Corn]]+J165</f>
        <v>693.01199999999994</v>
      </c>
      <c r="P75" s="14"/>
      <c r="Q75" s="14"/>
      <c r="R75" s="14"/>
      <c r="S75" s="14"/>
      <c r="T75" s="14"/>
      <c r="U75" s="14"/>
    </row>
    <row r="76" spans="1:44">
      <c r="A76" s="10">
        <v>2021</v>
      </c>
      <c r="B76" s="10">
        <v>293</v>
      </c>
      <c r="C76" s="10">
        <v>4</v>
      </c>
      <c r="D76" s="10">
        <v>6</v>
      </c>
      <c r="E76" s="10" t="s">
        <v>804</v>
      </c>
      <c r="F76" s="10">
        <v>7</v>
      </c>
      <c r="G76" s="10">
        <v>627.9</v>
      </c>
      <c r="H76" s="10">
        <v>573.5</v>
      </c>
      <c r="I76" s="10">
        <f>Table8[[#This Row],[Wet Weight of 3 plants (g) ]]-55.8</f>
        <v>517.70000000000005</v>
      </c>
      <c r="J76" s="10">
        <f>(Table8[[#This Row],[Wet - Bag Weight (g) ]]/3)*Table8[[#This Row],['# of Plants]]</f>
        <v>1207.9666666666669</v>
      </c>
      <c r="K76" s="10">
        <v>285</v>
      </c>
      <c r="L76" s="10">
        <f>Table8[[#This Row],[DRY Sample Weight (g) (3 Plants) ]]-55.8</f>
        <v>229.2</v>
      </c>
      <c r="M76" s="10">
        <f>Table8[[#This Row],[Wet weight of 1m2 of corn]]-Table8[[#This Row],[Dry Weight of 1m2 of Corn]]</f>
        <v>673.16666666666697</v>
      </c>
      <c r="N76" s="10">
        <f>(Table8[[#This Row],[DRY Sample - Bag Weight (g) ]]/3)*Table8[[#This Row],['# of Plants]]</f>
        <v>534.79999999999995</v>
      </c>
      <c r="O76" s="79">
        <f>Table8[[#This Row],[Dry Weight of 1m2 of Corn]]+J166</f>
        <v>669.88499999999999</v>
      </c>
      <c r="P76" s="14"/>
      <c r="Q76" s="14"/>
      <c r="R76" s="14"/>
      <c r="S76" s="14"/>
      <c r="T76" s="14"/>
      <c r="U76" s="14"/>
    </row>
    <row r="77" spans="1:44">
      <c r="A77" s="10">
        <v>2021</v>
      </c>
      <c r="B77" s="10">
        <v>293</v>
      </c>
      <c r="C77" s="10">
        <v>4</v>
      </c>
      <c r="D77" s="10">
        <v>6</v>
      </c>
      <c r="E77" s="10" t="s">
        <v>807</v>
      </c>
      <c r="F77" s="10">
        <v>7</v>
      </c>
      <c r="G77" s="10">
        <v>748.2</v>
      </c>
      <c r="H77" s="10">
        <v>449.8</v>
      </c>
      <c r="I77" s="10">
        <f>Table8[[#This Row],[Wet Weight of 3 plants (g) ]]-55.8</f>
        <v>394</v>
      </c>
      <c r="J77" s="10">
        <f>(Table8[[#This Row],[Wet - Bag Weight (g) ]]/3)*Table8[[#This Row],['# of Plants]]</f>
        <v>919.33333333333337</v>
      </c>
      <c r="K77" s="10">
        <v>262.2</v>
      </c>
      <c r="L77" s="10">
        <f>Table8[[#This Row],[DRY Sample Weight (g) (3 Plants) ]]-55.8</f>
        <v>206.39999999999998</v>
      </c>
      <c r="M77" s="10">
        <f>Table8[[#This Row],[Wet weight of 1m2 of corn]]-Table8[[#This Row],[Dry Weight of 1m2 of Corn]]</f>
        <v>437.73333333333341</v>
      </c>
      <c r="N77" s="10">
        <f>(Table8[[#This Row],[DRY Sample - Bag Weight (g) ]]/3)*Table8[[#This Row],['# of Plants]]</f>
        <v>481.59999999999997</v>
      </c>
      <c r="O77" s="79">
        <f>Table8[[#This Row],[Dry Weight of 1m2 of Corn]]+J167</f>
        <v>614.75699999999995</v>
      </c>
      <c r="P77" s="14"/>
      <c r="Q77" s="14"/>
      <c r="R77" s="14"/>
      <c r="S77" s="14"/>
      <c r="T77" s="14"/>
      <c r="U77" s="14"/>
    </row>
    <row r="78" spans="1:44">
      <c r="A78" s="10">
        <v>2021</v>
      </c>
      <c r="B78" s="10">
        <v>293</v>
      </c>
      <c r="C78" s="10">
        <v>4</v>
      </c>
      <c r="D78" s="10">
        <v>7</v>
      </c>
      <c r="E78" s="78" t="s">
        <v>804</v>
      </c>
      <c r="F78" s="10">
        <v>7</v>
      </c>
      <c r="G78" s="10">
        <v>771.6</v>
      </c>
      <c r="H78" s="10">
        <v>421.7</v>
      </c>
      <c r="I78" s="10">
        <f>Table8[[#This Row],[Wet Weight of 3 plants (g) ]]-55.8</f>
        <v>365.9</v>
      </c>
      <c r="J78" s="10">
        <f>(Table8[[#This Row],[Wet - Bag Weight (g) ]]/3)*Table8[[#This Row],['# of Plants]]</f>
        <v>853.76666666666654</v>
      </c>
      <c r="K78" s="10">
        <v>239.7</v>
      </c>
      <c r="L78" s="10">
        <f>Table8[[#This Row],[DRY Sample Weight (g) (3 Plants) ]]-55.8</f>
        <v>183.89999999999998</v>
      </c>
      <c r="M78" s="10">
        <f>Table8[[#This Row],[Wet weight of 1m2 of corn]]-Table8[[#This Row],[Dry Weight of 1m2 of Corn]]</f>
        <v>424.66666666666663</v>
      </c>
      <c r="N78" s="10">
        <f>(Table8[[#This Row],[DRY Sample - Bag Weight (g) ]]/3)*Table8[[#This Row],['# of Plants]]</f>
        <v>429.09999999999991</v>
      </c>
      <c r="O78" s="79">
        <f>Table8[[#This Row],[Dry Weight of 1m2 of Corn]]+J168</f>
        <v>551.28199999999993</v>
      </c>
      <c r="P78" s="14"/>
      <c r="Q78" s="14"/>
      <c r="R78" s="14"/>
      <c r="S78" s="14"/>
      <c r="T78" s="14"/>
      <c r="U78" s="14"/>
    </row>
    <row r="79" spans="1:44">
      <c r="A79" s="10">
        <v>2021</v>
      </c>
      <c r="B79" s="10">
        <v>293</v>
      </c>
      <c r="C79" s="10">
        <v>4</v>
      </c>
      <c r="D79" s="10">
        <v>7</v>
      </c>
      <c r="E79" s="10" t="s">
        <v>807</v>
      </c>
      <c r="F79" s="10">
        <v>7</v>
      </c>
      <c r="G79" s="10">
        <v>935.5</v>
      </c>
      <c r="H79" s="10">
        <v>666.5</v>
      </c>
      <c r="I79" s="10">
        <f>Table8[[#This Row],[Wet Weight of 3 plants (g) ]]-55.8</f>
        <v>610.70000000000005</v>
      </c>
      <c r="J79" s="10">
        <f>(Table8[[#This Row],[Wet - Bag Weight (g) ]]/3)*Table8[[#This Row],['# of Plants]]</f>
        <v>1424.9666666666669</v>
      </c>
      <c r="K79" s="10">
        <v>293.7</v>
      </c>
      <c r="L79" s="10">
        <f>Table8[[#This Row],[DRY Sample Weight (g) (3 Plants) ]]-55.8</f>
        <v>237.89999999999998</v>
      </c>
      <c r="M79" s="10">
        <f>Table8[[#This Row],[Wet weight of 1m2 of corn]]-Table8[[#This Row],[Dry Weight of 1m2 of Corn]]</f>
        <v>869.8666666666669</v>
      </c>
      <c r="N79" s="10">
        <f>(Table8[[#This Row],[DRY Sample - Bag Weight (g) ]]/3)*Table8[[#This Row],['# of Plants]]</f>
        <v>555.1</v>
      </c>
      <c r="O79" s="79">
        <f>Table8[[#This Row],[Dry Weight of 1m2 of Corn]]+J169</f>
        <v>687.68299999999999</v>
      </c>
      <c r="P79" s="14"/>
      <c r="Q79" s="14"/>
      <c r="R79" s="14"/>
      <c r="S79" s="14"/>
      <c r="T79" s="14"/>
      <c r="U79" s="14"/>
    </row>
    <row r="80" spans="1:44">
      <c r="A80" s="10">
        <v>2021</v>
      </c>
      <c r="B80" s="10">
        <v>293</v>
      </c>
      <c r="C80" s="10">
        <v>4</v>
      </c>
      <c r="D80" s="10">
        <v>8</v>
      </c>
      <c r="E80" s="10" t="s">
        <v>804</v>
      </c>
      <c r="F80" s="10">
        <v>7</v>
      </c>
      <c r="G80" s="10">
        <v>804.3</v>
      </c>
      <c r="H80" s="10">
        <v>591.79999999999995</v>
      </c>
      <c r="I80" s="10">
        <f>Table8[[#This Row],[Wet Weight of 3 plants (g) ]]-55.8</f>
        <v>536</v>
      </c>
      <c r="J80" s="10">
        <f>(Table8[[#This Row],[Wet - Bag Weight (g) ]]/3)*Table8[[#This Row],['# of Plants]]</f>
        <v>1250.6666666666665</v>
      </c>
      <c r="K80" s="10">
        <v>285.5</v>
      </c>
      <c r="L80" s="10">
        <f>Table8[[#This Row],[DRY Sample Weight (g) (3 Plants) ]]-55.8</f>
        <v>229.7</v>
      </c>
      <c r="M80" s="10">
        <f>Table8[[#This Row],[Wet weight of 1m2 of corn]]-Table8[[#This Row],[Dry Weight of 1m2 of Corn]]</f>
        <v>714.69999999999982</v>
      </c>
      <c r="N80" s="10">
        <f>(Table8[[#This Row],[DRY Sample - Bag Weight (g) ]]/3)*Table8[[#This Row],['# of Plants]]</f>
        <v>535.9666666666667</v>
      </c>
      <c r="O80" s="79">
        <f>Table8[[#This Row],[Dry Weight of 1m2 of Corn]]+J170</f>
        <v>676.87866666666673</v>
      </c>
      <c r="P80" s="14"/>
      <c r="Q80" s="14"/>
      <c r="R80" s="14"/>
      <c r="S80" s="14"/>
      <c r="T80" s="14"/>
      <c r="U80" s="14"/>
    </row>
    <row r="81" spans="1:43">
      <c r="A81" s="10">
        <v>2021</v>
      </c>
      <c r="B81" s="10">
        <v>293</v>
      </c>
      <c r="C81" s="10">
        <v>4</v>
      </c>
      <c r="D81" s="10">
        <v>8</v>
      </c>
      <c r="E81" s="10" t="s">
        <v>807</v>
      </c>
      <c r="F81" s="10">
        <v>8</v>
      </c>
      <c r="G81" s="10">
        <v>774.4</v>
      </c>
      <c r="H81" s="10">
        <v>568.1</v>
      </c>
      <c r="I81" s="10">
        <f>Table8[[#This Row],[Wet Weight of 3 plants (g) ]]-55.8</f>
        <v>512.30000000000007</v>
      </c>
      <c r="J81" s="10">
        <f>(Table8[[#This Row],[Wet - Bag Weight (g) ]]/3)*Table8[[#This Row],['# of Plants]]</f>
        <v>1366.1333333333334</v>
      </c>
      <c r="K81" s="10">
        <v>263</v>
      </c>
      <c r="L81" s="10">
        <f>Table8[[#This Row],[DRY Sample Weight (g) (3 Plants) ]]-55.8</f>
        <v>207.2</v>
      </c>
      <c r="M81" s="10">
        <f>Table8[[#This Row],[Wet weight of 1m2 of corn]]-Table8[[#This Row],[Dry Weight of 1m2 of Corn]]</f>
        <v>813.60000000000014</v>
      </c>
      <c r="N81" s="10">
        <f>(Table8[[#This Row],[DRY Sample - Bag Weight (g) ]]/3)*Table8[[#This Row],['# of Plants]]</f>
        <v>552.5333333333333</v>
      </c>
      <c r="O81" s="79">
        <f>Table8[[#This Row],[Dry Weight of 1m2 of Corn]]+J171</f>
        <v>675.10633333333328</v>
      </c>
      <c r="P81" s="14"/>
      <c r="Q81" s="14"/>
      <c r="R81" s="14"/>
      <c r="S81" s="14"/>
      <c r="T81" s="14"/>
      <c r="U81" s="14"/>
    </row>
    <row r="82" spans="1:43">
      <c r="A82" s="10">
        <v>2021</v>
      </c>
      <c r="B82" s="10">
        <v>293</v>
      </c>
      <c r="C82" s="10">
        <v>4</v>
      </c>
      <c r="D82" s="10">
        <v>9</v>
      </c>
      <c r="E82" s="78" t="s">
        <v>804</v>
      </c>
      <c r="F82" s="10">
        <v>8</v>
      </c>
      <c r="G82" s="10">
        <v>900.1</v>
      </c>
      <c r="H82" s="10">
        <v>401.2</v>
      </c>
      <c r="I82" s="10">
        <f>Table8[[#This Row],[Wet Weight of 3 plants (g) ]]-55.8</f>
        <v>345.4</v>
      </c>
      <c r="J82" s="10">
        <f>(Table8[[#This Row],[Wet - Bag Weight (g) ]]/3)*Table8[[#This Row],['# of Plants]]</f>
        <v>921.06666666666661</v>
      </c>
      <c r="K82" s="10">
        <v>282</v>
      </c>
      <c r="L82" s="10">
        <f>Table8[[#This Row],[DRY Sample Weight (g) (3 Plants) ]]-55.8</f>
        <v>226.2</v>
      </c>
      <c r="M82" s="10">
        <f>Table8[[#This Row],[Wet weight of 1m2 of corn]]-Table8[[#This Row],[Dry Weight of 1m2 of Corn]]</f>
        <v>317.86666666666667</v>
      </c>
      <c r="N82" s="10">
        <f>(Table8[[#This Row],[DRY Sample - Bag Weight (g) ]]/3)*Table8[[#This Row],['# of Plants]]</f>
        <v>603.19999999999993</v>
      </c>
      <c r="O82" s="79">
        <f>Table8[[#This Row],[Dry Weight of 1m2 of Corn]]+J172</f>
        <v>759.64199999999994</v>
      </c>
      <c r="P82" s="14"/>
      <c r="Q82" s="14"/>
      <c r="R82" s="14"/>
      <c r="S82" s="14"/>
      <c r="T82" s="14"/>
      <c r="U82" s="14"/>
    </row>
    <row r="83" spans="1:43">
      <c r="A83" s="10">
        <v>2021</v>
      </c>
      <c r="B83" s="10">
        <v>293</v>
      </c>
      <c r="C83" s="10">
        <v>4</v>
      </c>
      <c r="D83" s="10">
        <v>9</v>
      </c>
      <c r="E83" s="10" t="s">
        <v>807</v>
      </c>
      <c r="F83" s="10">
        <v>7</v>
      </c>
      <c r="G83" s="10">
        <v>637.5</v>
      </c>
      <c r="H83" s="10">
        <v>489.1</v>
      </c>
      <c r="I83" s="10">
        <f>Table8[[#This Row],[Wet Weight of 3 plants (g) ]]-55.8</f>
        <v>433.3</v>
      </c>
      <c r="J83" s="10">
        <f>(Table8[[#This Row],[Wet - Bag Weight (g) ]]/3)*Table8[[#This Row],['# of Plants]]</f>
        <v>1011.0333333333333</v>
      </c>
      <c r="K83" s="10">
        <v>276.3</v>
      </c>
      <c r="L83" s="10">
        <f>Table8[[#This Row],[DRY Sample Weight (g) (3 Plants) ]]-55.8</f>
        <v>220.5</v>
      </c>
      <c r="M83" s="10">
        <f>Table8[[#This Row],[Wet weight of 1m2 of corn]]-Table8[[#This Row],[Dry Weight of 1m2 of Corn]]</f>
        <v>496.5333333333333</v>
      </c>
      <c r="N83" s="10">
        <f>(Table8[[#This Row],[DRY Sample - Bag Weight (g) ]]/3)*Table8[[#This Row],['# of Plants]]</f>
        <v>514.5</v>
      </c>
      <c r="O83" s="79">
        <f>Table8[[#This Row],[Dry Weight of 1m2 of Corn]]+J173</f>
        <v>645.05799999999999</v>
      </c>
      <c r="P83" s="14"/>
      <c r="Q83" s="14"/>
      <c r="R83" s="14"/>
      <c r="S83" s="14"/>
      <c r="T83" s="14"/>
      <c r="U83" s="14"/>
    </row>
    <row r="84" spans="1:43">
      <c r="A84" s="6">
        <v>2021</v>
      </c>
      <c r="B84" s="6">
        <v>292</v>
      </c>
      <c r="C84" s="6">
        <v>4</v>
      </c>
      <c r="D84" s="6">
        <v>11</v>
      </c>
      <c r="E84" s="6" t="s">
        <v>804</v>
      </c>
      <c r="F84" s="6">
        <v>7</v>
      </c>
      <c r="G84" s="6">
        <v>2062.8000000000002</v>
      </c>
      <c r="H84" s="6">
        <v>858</v>
      </c>
      <c r="I84" s="6">
        <f>Table8[[#This Row],[Wet Weight of 3 plants (g) ]]-55.8</f>
        <v>802.2</v>
      </c>
      <c r="J84" s="6">
        <f>(Table8[[#This Row],[Wet - Bag Weight (g) ]]/3)*Table8[[#This Row],['# of Plants]]</f>
        <v>1871.8000000000002</v>
      </c>
      <c r="K84" s="6">
        <v>285.10000000000002</v>
      </c>
      <c r="L84" s="6">
        <f>Table8[[#This Row],[DRY Sample Weight (g) (3 Plants) ]]-55.8</f>
        <v>229.3</v>
      </c>
      <c r="M84" s="6">
        <f>Table8[[#This Row],[Wet weight of 1m2 of corn]]-Table8[[#This Row],[Dry Weight of 1m2 of Corn]]</f>
        <v>1336.7666666666669</v>
      </c>
      <c r="N84" s="6">
        <f>(Table8[[#This Row],[DRY Sample - Bag Weight (g) ]]/3)*Table8[[#This Row],['# of Plants]]</f>
        <v>535.0333333333333</v>
      </c>
      <c r="O84" s="141">
        <f>Table8[[#This Row],[Dry Weight of 1m2 of Corn]]+J174</f>
        <v>662.40033333333326</v>
      </c>
      <c r="P84" s="14"/>
      <c r="Q84" s="14"/>
      <c r="R84" s="14"/>
      <c r="S84" s="14"/>
      <c r="T84" s="14"/>
      <c r="U84" s="14"/>
    </row>
    <row r="85" spans="1:43">
      <c r="A85" s="6">
        <v>2021</v>
      </c>
      <c r="B85" s="6">
        <v>292</v>
      </c>
      <c r="C85" s="6">
        <v>4</v>
      </c>
      <c r="D85" s="6">
        <v>12</v>
      </c>
      <c r="E85" s="6" t="s">
        <v>804</v>
      </c>
      <c r="F85" s="6">
        <v>7</v>
      </c>
      <c r="G85" s="6">
        <v>1260.4000000000001</v>
      </c>
      <c r="H85" s="6">
        <v>602.1</v>
      </c>
      <c r="I85" s="6">
        <f>Table8[[#This Row],[Wet Weight of 3 plants (g) ]]-55.8</f>
        <v>546.30000000000007</v>
      </c>
      <c r="J85" s="6">
        <f>(Table8[[#This Row],[Wet - Bag Weight (g) ]]/3)*Table8[[#This Row],['# of Plants]]</f>
        <v>1274.7000000000003</v>
      </c>
      <c r="K85" s="6">
        <v>235.4</v>
      </c>
      <c r="L85" s="6">
        <f>Table8[[#This Row],[DRY Sample Weight (g) (3 Plants) ]]-55.8</f>
        <v>179.60000000000002</v>
      </c>
      <c r="M85" s="6">
        <f>Table8[[#This Row],[Wet weight of 1m2 of corn]]-Table8[[#This Row],[Dry Weight of 1m2 of Corn]]</f>
        <v>855.63333333333355</v>
      </c>
      <c r="N85" s="6">
        <f>(Table8[[#This Row],[DRY Sample - Bag Weight (g) ]]/3)*Table8[[#This Row],['# of Plants]]</f>
        <v>419.06666666666672</v>
      </c>
      <c r="O85" s="141">
        <f>Table8[[#This Row],[Dry Weight of 1m2 of Corn]]+J175</f>
        <v>487.39166666666671</v>
      </c>
      <c r="P85" s="14"/>
      <c r="Q85" s="14"/>
      <c r="R85" s="14"/>
      <c r="S85" s="14"/>
      <c r="T85" s="14"/>
      <c r="U85" s="14"/>
    </row>
    <row r="86" spans="1:43">
      <c r="A86" s="6">
        <v>2021</v>
      </c>
      <c r="B86" s="6">
        <v>292</v>
      </c>
      <c r="C86" s="6">
        <v>4</v>
      </c>
      <c r="D86" s="6">
        <v>13</v>
      </c>
      <c r="E86" s="102" t="s">
        <v>804</v>
      </c>
      <c r="F86" s="6">
        <v>7</v>
      </c>
      <c r="G86" s="6">
        <v>1371.7</v>
      </c>
      <c r="H86" s="6">
        <v>566.9</v>
      </c>
      <c r="I86" s="6">
        <f>Table8[[#This Row],[Wet Weight of 3 plants (g) ]]-55.8</f>
        <v>511.09999999999997</v>
      </c>
      <c r="J86" s="6">
        <f>(Table8[[#This Row],[Wet - Bag Weight (g) ]]/3)*Table8[[#This Row],['# of Plants]]</f>
        <v>1192.5666666666666</v>
      </c>
      <c r="K86" s="6">
        <v>211.2</v>
      </c>
      <c r="L86" s="6">
        <f>Table8[[#This Row],[DRY Sample Weight (g) (3 Plants) ]]-55.8</f>
        <v>155.39999999999998</v>
      </c>
      <c r="M86" s="6">
        <f>Table8[[#This Row],[Wet weight of 1m2 of corn]]-Table8[[#This Row],[Dry Weight of 1m2 of Corn]]</f>
        <v>829.9666666666667</v>
      </c>
      <c r="N86" s="6">
        <f>(Table8[[#This Row],[DRY Sample - Bag Weight (g) ]]/3)*Table8[[#This Row],['# of Plants]]</f>
        <v>362.59999999999991</v>
      </c>
      <c r="O86" s="141">
        <f>Table8[[#This Row],[Dry Weight of 1m2 of Corn]]+J176</f>
        <v>427.2469999999999</v>
      </c>
      <c r="P86" s="14"/>
      <c r="Q86" s="14"/>
      <c r="R86" s="14"/>
      <c r="S86" s="14"/>
      <c r="T86" s="14"/>
      <c r="U86" s="14"/>
    </row>
    <row r="87" spans="1:43">
      <c r="A87" s="76"/>
      <c r="B87" s="76"/>
      <c r="C87" s="76"/>
      <c r="D87" s="76"/>
      <c r="E87" s="76"/>
      <c r="F87" s="76"/>
      <c r="G87" s="76"/>
      <c r="H87" s="76"/>
      <c r="I87" s="76"/>
      <c r="J87" s="76"/>
      <c r="K87" s="76"/>
      <c r="L87" s="76"/>
      <c r="M87" s="76"/>
      <c r="N87" s="76">
        <f>(Table8[[#This Row],[DRY Sample - Bag Weight (g) ]]/3)*Table8[[#This Row],['# of Plants]]</f>
        <v>0</v>
      </c>
      <c r="O87" s="183">
        <f>Table8[[#This Row],[Dry Weight of 1m2 of Corn]]+J177</f>
        <v>0</v>
      </c>
      <c r="P87" s="14"/>
      <c r="Q87" s="14"/>
      <c r="R87" s="14"/>
      <c r="S87" s="14"/>
      <c r="T87" s="14"/>
      <c r="U87" s="14"/>
      <c r="V87" s="14"/>
      <c r="W87" s="14"/>
      <c r="X87" s="14"/>
      <c r="Y87" s="14"/>
      <c r="Z87" s="14"/>
      <c r="AA87" s="14"/>
      <c r="AB87" s="14"/>
      <c r="AC87" s="14"/>
      <c r="AD87" s="14"/>
    </row>
    <row r="88" spans="1:43">
      <c r="A88" s="14"/>
      <c r="B88" s="14"/>
      <c r="C88" s="14"/>
      <c r="D88" s="14"/>
      <c r="E88" s="14"/>
      <c r="F88" s="14"/>
      <c r="G88" s="14"/>
      <c r="H88" s="14"/>
      <c r="I88" s="14"/>
      <c r="J88" s="14"/>
      <c r="K88" s="14"/>
      <c r="L88" s="14"/>
      <c r="M88" s="14"/>
      <c r="P88" s="14"/>
      <c r="Q88" s="14"/>
      <c r="R88" s="14"/>
      <c r="S88" s="14"/>
      <c r="T88" s="14"/>
      <c r="U88" s="14"/>
      <c r="V88" s="14"/>
      <c r="W88" s="14"/>
      <c r="X88" s="14"/>
      <c r="Y88" s="14"/>
      <c r="Z88" s="14"/>
      <c r="AA88" s="14"/>
      <c r="AB88" s="14"/>
      <c r="AC88" s="14"/>
    </row>
    <row r="89" spans="1:43" ht="23.5">
      <c r="A89" s="14"/>
      <c r="B89" s="14"/>
      <c r="C89" s="14"/>
      <c r="D89" s="14"/>
      <c r="E89" s="14"/>
      <c r="F89" s="14"/>
      <c r="G89" s="14"/>
      <c r="H89" s="14"/>
      <c r="I89" s="14"/>
      <c r="J89" s="14"/>
      <c r="K89" s="14"/>
      <c r="L89" s="14"/>
      <c r="M89" s="14"/>
      <c r="P89" s="14"/>
      <c r="Q89" s="14"/>
      <c r="R89" s="63" t="s">
        <v>607</v>
      </c>
      <c r="S89" s="63" t="s">
        <v>608</v>
      </c>
      <c r="T89" s="14"/>
      <c r="U89" s="14"/>
      <c r="V89" s="14"/>
      <c r="W89" s="14" t="s">
        <v>1002</v>
      </c>
      <c r="X89" s="14">
        <v>62.71</v>
      </c>
      <c r="Y89" s="14"/>
      <c r="Z89" s="14"/>
      <c r="AA89" s="14"/>
      <c r="AB89" s="14"/>
      <c r="AC89" s="14"/>
    </row>
    <row r="90" spans="1:43" ht="26">
      <c r="A90" s="14"/>
      <c r="B90" s="14"/>
      <c r="C90" s="14"/>
      <c r="D90" s="14"/>
      <c r="E90" s="14"/>
      <c r="F90" s="14"/>
      <c r="G90" s="14"/>
      <c r="H90" s="14"/>
      <c r="I90" s="14"/>
      <c r="J90" s="14"/>
      <c r="K90" s="14"/>
      <c r="L90" s="14"/>
      <c r="M90" s="14"/>
      <c r="N90" s="14"/>
      <c r="O90" s="14"/>
      <c r="P90" s="14"/>
      <c r="Q90" s="14"/>
      <c r="R90" s="63"/>
      <c r="S90" s="63" t="s">
        <v>610</v>
      </c>
      <c r="T90" s="14"/>
      <c r="U90" s="14"/>
      <c r="V90" s="14"/>
      <c r="W90" s="14"/>
      <c r="X90" s="75" t="s">
        <v>1003</v>
      </c>
      <c r="Z90" s="137" t="s">
        <v>1004</v>
      </c>
    </row>
    <row r="91" spans="1:43" ht="44.5">
      <c r="A91" s="66" t="s">
        <v>1005</v>
      </c>
      <c r="B91" s="14"/>
      <c r="C91" s="14"/>
      <c r="D91" s="14"/>
      <c r="E91" s="14"/>
      <c r="H91" s="14" t="s">
        <v>1006</v>
      </c>
      <c r="I91" s="14">
        <v>4.3120000000000003</v>
      </c>
      <c r="J91" s="14" t="s">
        <v>1007</v>
      </c>
      <c r="K91" s="14">
        <v>20.7</v>
      </c>
      <c r="L91" s="14" t="s">
        <v>1008</v>
      </c>
      <c r="M91" s="14">
        <f>K91+I91</f>
        <v>25.012</v>
      </c>
      <c r="O91" s="14"/>
      <c r="P91" s="95"/>
      <c r="Q91" s="95" t="s">
        <v>782</v>
      </c>
      <c r="R91" s="95"/>
      <c r="T91" s="14"/>
      <c r="U91" s="75" t="s">
        <v>1009</v>
      </c>
      <c r="V91" s="14"/>
      <c r="X91" s="137" t="s">
        <v>1010</v>
      </c>
      <c r="Z91" s="137" t="s">
        <v>1011</v>
      </c>
      <c r="AA91" s="138"/>
      <c r="AF91" t="s">
        <v>1012</v>
      </c>
      <c r="AO91" s="14" t="s">
        <v>1013</v>
      </c>
    </row>
    <row r="92" spans="1:43" ht="19" thickBot="1">
      <c r="A92" s="106" t="s">
        <v>612</v>
      </c>
      <c r="B92" s="107" t="s">
        <v>897</v>
      </c>
      <c r="C92" s="107" t="s">
        <v>784</v>
      </c>
      <c r="D92" s="107" t="s">
        <v>785</v>
      </c>
      <c r="E92" s="107" t="s">
        <v>786</v>
      </c>
      <c r="F92" s="107" t="s">
        <v>898</v>
      </c>
      <c r="G92" s="107" t="s">
        <v>1014</v>
      </c>
      <c r="H92" s="107" t="s">
        <v>1015</v>
      </c>
      <c r="I92" s="108" t="s">
        <v>1016</v>
      </c>
      <c r="J92" s="107" t="s">
        <v>1017</v>
      </c>
      <c r="K92" s="107" t="s">
        <v>1018</v>
      </c>
      <c r="L92" s="107" t="s">
        <v>1019</v>
      </c>
      <c r="M92" s="107" t="s">
        <v>1020</v>
      </c>
      <c r="N92" s="109" t="s">
        <v>25</v>
      </c>
      <c r="P92" s="110" t="s">
        <v>784</v>
      </c>
      <c r="Q92" s="110" t="s">
        <v>785</v>
      </c>
      <c r="R92" s="110" t="s">
        <v>559</v>
      </c>
      <c r="S92" s="111" t="s">
        <v>1015</v>
      </c>
      <c r="T92" s="111" t="s">
        <v>1019</v>
      </c>
      <c r="U92" s="111" t="s">
        <v>904</v>
      </c>
      <c r="V92" s="111" t="s">
        <v>797</v>
      </c>
      <c r="W92" s="111" t="s">
        <v>663</v>
      </c>
      <c r="X92" s="111" t="s">
        <v>1021</v>
      </c>
      <c r="Y92" s="111" t="s">
        <v>799</v>
      </c>
      <c r="Z92" s="111" t="s">
        <v>1022</v>
      </c>
      <c r="AA92" s="160" t="s">
        <v>1023</v>
      </c>
      <c r="AB92" s="160" t="s">
        <v>1024</v>
      </c>
      <c r="AD92" s="126" t="s">
        <v>784</v>
      </c>
      <c r="AE92" s="127" t="s">
        <v>785</v>
      </c>
      <c r="AF92" s="134" t="s">
        <v>799</v>
      </c>
      <c r="AG92" s="164" t="s">
        <v>1023</v>
      </c>
      <c r="AH92" s="165" t="s">
        <v>1025</v>
      </c>
      <c r="AI92" s="165" t="s">
        <v>1024</v>
      </c>
      <c r="AJ92" s="173" t="s">
        <v>1026</v>
      </c>
      <c r="AM92" s="136" t="s">
        <v>52</v>
      </c>
      <c r="AN92" s="77" t="s">
        <v>918</v>
      </c>
      <c r="AO92" s="136" t="s">
        <v>1027</v>
      </c>
      <c r="AP92" s="147" t="s">
        <v>586</v>
      </c>
    </row>
    <row r="93" spans="1:43" ht="16" thickTop="1">
      <c r="A93" s="69">
        <v>2021</v>
      </c>
      <c r="B93" s="70">
        <v>293</v>
      </c>
      <c r="C93" s="70">
        <v>1</v>
      </c>
      <c r="D93" s="70">
        <v>1</v>
      </c>
      <c r="E93" s="71" t="s">
        <v>804</v>
      </c>
      <c r="F93" s="70">
        <v>7</v>
      </c>
      <c r="G93" s="70">
        <v>7</v>
      </c>
      <c r="H93" s="70">
        <v>1654.1</v>
      </c>
      <c r="I93" s="73">
        <f>H93-20.7</f>
        <v>1633.3999999999999</v>
      </c>
      <c r="J93" s="70">
        <v>132.76599999999999</v>
      </c>
      <c r="K93" s="70">
        <f>J93-25.012</f>
        <v>107.75399999999999</v>
      </c>
      <c r="L93" s="70">
        <v>1268</v>
      </c>
      <c r="M93" s="70">
        <f>L93-K93</f>
        <v>1160.2460000000001</v>
      </c>
      <c r="N93" s="72"/>
      <c r="P93" s="118">
        <v>1</v>
      </c>
      <c r="Q93" s="118">
        <v>1</v>
      </c>
      <c r="R93" s="186" t="s">
        <v>165</v>
      </c>
      <c r="S93" s="118">
        <f>(I93+I94)/2</f>
        <v>1567.05</v>
      </c>
      <c r="T93" s="118">
        <f>(M93+M94)/2</f>
        <v>1114.3420000000001</v>
      </c>
      <c r="U93" s="118">
        <f>Table9[[#This Row],[Wet Cob Weight (g) ]]-Table9[[#This Row],[Dried Grain Weight (g) ]]</f>
        <v>452.70799999999986</v>
      </c>
      <c r="V93" s="118">
        <f>(Table9[[#This Row],[Moisture Loss (g) ]]/Table9[[#This Row],[Wet Cob Weight (g) ]])*100</f>
        <v>28.889186688363477</v>
      </c>
      <c r="W93" s="118">
        <f>Table9[[#This Row],[Dried Grain Weight (g) ]]*(10000/1000)</f>
        <v>11143.420000000002</v>
      </c>
      <c r="X93" s="118">
        <f>Table9[[#This Row],[Yield (kg/ha)]]*1.155</f>
        <v>12870.650100000003</v>
      </c>
      <c r="Y93" s="162">
        <f>Table9[[#This Row],[Yield (kg/ha)]]/1000</f>
        <v>11.143420000000003</v>
      </c>
      <c r="Z93" s="162">
        <f>Table9[[#This Row],[Yield (tons/ha)]]*1.155</f>
        <v>12.870650100000002</v>
      </c>
      <c r="AA93" s="162" t="s">
        <v>1028</v>
      </c>
      <c r="AB93" s="162" t="s">
        <v>1029</v>
      </c>
      <c r="AD93" s="128">
        <v>1</v>
      </c>
      <c r="AE93" s="129">
        <v>1</v>
      </c>
      <c r="AF93" s="158">
        <f>Table9[[#This Row],[Yield (tons/ha) Corrected to 15.5% Moisture]]</f>
        <v>12.870650100000002</v>
      </c>
      <c r="AG93" s="163" t="s">
        <v>1028</v>
      </c>
      <c r="AH93" s="163">
        <f>AF93*(AG93/100)</f>
        <v>5.2023167704200013</v>
      </c>
      <c r="AI93" s="163" t="s">
        <v>1029</v>
      </c>
      <c r="AJ93" s="174">
        <f>AF93*(AI93/100)</f>
        <v>0.14672541114000001</v>
      </c>
      <c r="AM93" s="74">
        <v>1</v>
      </c>
      <c r="AN93" s="74" t="s">
        <v>675</v>
      </c>
      <c r="AO93" s="74">
        <f>AVERAGE(AF93:AF101)</f>
        <v>12.458034288888889</v>
      </c>
      <c r="AP93" s="74">
        <f>STDEV(AF93:AF101)</f>
        <v>0.86885692825312033</v>
      </c>
      <c r="AQ93">
        <f>((AO95-AO93)/AO95)*100</f>
        <v>1.1898300387046878</v>
      </c>
    </row>
    <row r="94" spans="1:43">
      <c r="A94" s="69">
        <v>2021</v>
      </c>
      <c r="B94" s="70">
        <v>293</v>
      </c>
      <c r="C94" s="70">
        <v>1</v>
      </c>
      <c r="D94" s="70">
        <v>1</v>
      </c>
      <c r="E94" s="70" t="s">
        <v>807</v>
      </c>
      <c r="F94" s="70">
        <v>7</v>
      </c>
      <c r="G94" s="70">
        <v>7</v>
      </c>
      <c r="H94" s="70">
        <v>1521.4</v>
      </c>
      <c r="I94" s="73">
        <f t="shared" ref="I94:I157" si="4">H94-20.7</f>
        <v>1500.7</v>
      </c>
      <c r="J94" s="70">
        <v>125.374</v>
      </c>
      <c r="K94" s="70">
        <f t="shared" ref="K94:K157" si="5">J94-25.012</f>
        <v>100.36199999999999</v>
      </c>
      <c r="L94" s="70">
        <v>1168.8</v>
      </c>
      <c r="M94" s="70">
        <f t="shared" ref="M94:M157" si="6">L94-K94</f>
        <v>1068.4379999999999</v>
      </c>
      <c r="N94" s="72"/>
      <c r="P94" s="118">
        <v>1</v>
      </c>
      <c r="Q94" s="118">
        <v>2</v>
      </c>
      <c r="R94" s="186" t="s">
        <v>169</v>
      </c>
      <c r="S94" s="118">
        <f>(I95+I96)/2</f>
        <v>1359.5</v>
      </c>
      <c r="T94" s="118">
        <f>(M95+M96)/2</f>
        <v>973.51350000000002</v>
      </c>
      <c r="U94" s="118">
        <f>Table9[[#This Row],[Wet Cob Weight (g) ]]-Table9[[#This Row],[Dried Grain Weight (g) ]]</f>
        <v>385.98649999999998</v>
      </c>
      <c r="V94" s="118">
        <f>(Table9[[#This Row],[Moisture Loss (g) ]]/Table9[[#This Row],[Wet Cob Weight (g) ]])*100</f>
        <v>28.391798455314454</v>
      </c>
      <c r="W94" s="118">
        <f>Table9[[#This Row],[Dried Grain Weight (g) ]]*(10000/1000)</f>
        <v>9735.1350000000002</v>
      </c>
      <c r="X94" s="118">
        <f>Table9[[#This Row],[Yield (kg/ha)]]*1.155</f>
        <v>11244.080925</v>
      </c>
      <c r="Y94" s="162">
        <f>Table9[[#This Row],[Yield (kg/ha)]]/1000</f>
        <v>9.7351349999999996</v>
      </c>
      <c r="Z94" s="162">
        <f>Table9[[#This Row],[Yield (tons/ha)]]*1.15</f>
        <v>11.195405249999999</v>
      </c>
      <c r="AA94" s="162" t="s">
        <v>861</v>
      </c>
      <c r="AB94" s="162" t="s">
        <v>1030</v>
      </c>
      <c r="AD94" s="128">
        <v>1</v>
      </c>
      <c r="AE94" s="129">
        <v>2</v>
      </c>
      <c r="AF94" s="158">
        <f>Table9[[#This Row],[Yield (tons/ha) Corrected to 15.5% Moisture]]</f>
        <v>11.195405249999999</v>
      </c>
      <c r="AG94" s="163" t="s">
        <v>861</v>
      </c>
      <c r="AH94" s="163">
        <f t="shared" ref="AH94:AH140" si="7">AF94*(AG94/100)</f>
        <v>4.6438540976999985</v>
      </c>
      <c r="AI94" s="163" t="s">
        <v>1030</v>
      </c>
      <c r="AJ94" s="174">
        <f t="shared" ref="AJ94:AJ140" si="8">AF94*(AI94/100)</f>
        <v>0.15225751139999999</v>
      </c>
      <c r="AM94" s="118" t="s">
        <v>810</v>
      </c>
      <c r="AN94" s="118" t="s">
        <v>682</v>
      </c>
      <c r="AO94" s="118">
        <f>AVERAGE(AF102:AF104)</f>
        <v>10.349423</v>
      </c>
      <c r="AP94" s="118">
        <f>STDEV(AF102:AF104)</f>
        <v>2.0084026591081536</v>
      </c>
    </row>
    <row r="95" spans="1:43">
      <c r="A95" s="69">
        <v>2021</v>
      </c>
      <c r="B95" s="70">
        <v>293</v>
      </c>
      <c r="C95" s="70">
        <v>1</v>
      </c>
      <c r="D95" s="70">
        <v>2</v>
      </c>
      <c r="E95" s="70" t="s">
        <v>804</v>
      </c>
      <c r="F95" s="70">
        <v>6</v>
      </c>
      <c r="G95" s="70">
        <v>6</v>
      </c>
      <c r="H95" s="70">
        <v>1505.2</v>
      </c>
      <c r="I95" s="70">
        <f t="shared" si="4"/>
        <v>1484.5</v>
      </c>
      <c r="J95" s="70">
        <v>125.18899999999999</v>
      </c>
      <c r="K95" s="70">
        <f t="shared" si="5"/>
        <v>100.17699999999999</v>
      </c>
      <c r="L95" s="70">
        <v>1160.5</v>
      </c>
      <c r="M95" s="70">
        <f t="shared" si="6"/>
        <v>1060.3230000000001</v>
      </c>
      <c r="N95" s="72"/>
      <c r="P95" s="118">
        <v>1</v>
      </c>
      <c r="Q95" s="118">
        <v>3</v>
      </c>
      <c r="R95" s="186" t="s">
        <v>171</v>
      </c>
      <c r="S95" s="118">
        <f>(I97+I98)/2</f>
        <v>1552.5</v>
      </c>
      <c r="T95" s="118">
        <f>(M97+M98)/2</f>
        <v>1101.4849999999999</v>
      </c>
      <c r="U95" s="118">
        <f>Table9[[#This Row],[Wet Cob Weight (g) ]]-Table9[[#This Row],[Dried Grain Weight (g) ]]</f>
        <v>451.0150000000001</v>
      </c>
      <c r="V95" s="118">
        <f>(Table9[[#This Row],[Moisture Loss (g) ]]/Table9[[#This Row],[Wet Cob Weight (g) ]])*100</f>
        <v>29.050885668276976</v>
      </c>
      <c r="W95" s="118">
        <f>Table9[[#This Row],[Dried Grain Weight (g) ]]*(10000/1000)</f>
        <v>11014.849999999999</v>
      </c>
      <c r="X95" s="118">
        <f>Table9[[#This Row],[Yield (kg/ha)]]*1.155</f>
        <v>12722.151749999999</v>
      </c>
      <c r="Y95" s="162">
        <f>Table9[[#This Row],[Yield (kg/ha)]]/1000</f>
        <v>11.014849999999999</v>
      </c>
      <c r="Z95" s="162">
        <f>Table9[[#This Row],[Yield (tons/ha)]]*1.15</f>
        <v>12.667077499999998</v>
      </c>
      <c r="AA95" s="162" t="s">
        <v>1031</v>
      </c>
      <c r="AB95" s="162" t="s">
        <v>1032</v>
      </c>
      <c r="AD95" s="128">
        <v>1</v>
      </c>
      <c r="AE95" s="129">
        <v>3</v>
      </c>
      <c r="AF95" s="158">
        <f>Table9[[#This Row],[Yield (tons/ha) Corrected to 15.5% Moisture]]</f>
        <v>12.667077499999998</v>
      </c>
      <c r="AG95" s="163" t="s">
        <v>1031</v>
      </c>
      <c r="AH95" s="163">
        <f t="shared" si="7"/>
        <v>5.225169468749999</v>
      </c>
      <c r="AI95" s="163" t="s">
        <v>1032</v>
      </c>
      <c r="AJ95" s="174">
        <f t="shared" si="8"/>
        <v>0.15327163774999997</v>
      </c>
      <c r="AM95" s="74">
        <v>2</v>
      </c>
      <c r="AN95" s="74" t="s">
        <v>676</v>
      </c>
      <c r="AO95" s="74">
        <f>AVERAGE(AF105:AF113)</f>
        <v>12.608048638888887</v>
      </c>
      <c r="AP95" s="74">
        <f>STDEV(AF105:AF113)</f>
        <v>0.32573487631016507</v>
      </c>
    </row>
    <row r="96" spans="1:43">
      <c r="A96" s="69">
        <v>2021</v>
      </c>
      <c r="B96" s="70">
        <v>293</v>
      </c>
      <c r="C96" s="70">
        <v>1</v>
      </c>
      <c r="D96" s="70">
        <v>2</v>
      </c>
      <c r="E96" s="70" t="s">
        <v>807</v>
      </c>
      <c r="F96" s="70">
        <v>5</v>
      </c>
      <c r="G96" s="70">
        <v>5</v>
      </c>
      <c r="H96" s="70">
        <v>1255.2</v>
      </c>
      <c r="I96" s="73">
        <f t="shared" si="4"/>
        <v>1234.5</v>
      </c>
      <c r="J96" s="70">
        <v>107.408</v>
      </c>
      <c r="K96" s="70">
        <f t="shared" si="5"/>
        <v>82.396000000000001</v>
      </c>
      <c r="L96" s="70">
        <v>969.1</v>
      </c>
      <c r="M96" s="70">
        <f t="shared" si="6"/>
        <v>886.70400000000006</v>
      </c>
      <c r="N96" s="72" t="s">
        <v>1033</v>
      </c>
      <c r="P96" s="118">
        <v>1</v>
      </c>
      <c r="Q96" s="118">
        <v>4</v>
      </c>
      <c r="R96" s="186" t="s">
        <v>173</v>
      </c>
      <c r="S96" s="118">
        <f>(I99+I100)/2</f>
        <v>1605.6999999999998</v>
      </c>
      <c r="T96" s="118">
        <f>(M99+M100)/2</f>
        <v>1153.0135</v>
      </c>
      <c r="U96" s="118">
        <f>Table9[[#This Row],[Wet Cob Weight (g) ]]-Table9[[#This Row],[Dried Grain Weight (g) ]]</f>
        <v>452.6864999999998</v>
      </c>
      <c r="V96" s="118">
        <f>(Table9[[#This Row],[Moisture Loss (g) ]]/Table9[[#This Row],[Wet Cob Weight (g) ]])*100</f>
        <v>28.192470573581609</v>
      </c>
      <c r="W96" s="118">
        <f>Table9[[#This Row],[Dried Grain Weight (g) ]]*(10000/1000)</f>
        <v>11530.135</v>
      </c>
      <c r="X96" s="118">
        <f>Table9[[#This Row],[Yield (kg/ha)]]*1.155</f>
        <v>13317.305925000001</v>
      </c>
      <c r="Y96" s="162">
        <f>Table9[[#This Row],[Yield (kg/ha)]]/1000</f>
        <v>11.530135</v>
      </c>
      <c r="Z96" s="162">
        <f>Table9[[#This Row],[Yield (tons/ha)]]*1.15</f>
        <v>13.259655249999998</v>
      </c>
      <c r="AA96" s="162" t="s">
        <v>1034</v>
      </c>
      <c r="AB96" s="162" t="s">
        <v>1035</v>
      </c>
      <c r="AD96" s="128">
        <v>1</v>
      </c>
      <c r="AE96" s="129">
        <v>4</v>
      </c>
      <c r="AF96" s="158">
        <f>Table9[[#This Row],[Yield (tons/ha) Corrected to 15.5% Moisture]]</f>
        <v>13.259655249999998</v>
      </c>
      <c r="AG96" s="163" t="s">
        <v>1034</v>
      </c>
      <c r="AH96" s="163">
        <f t="shared" si="7"/>
        <v>5.3555747554749988</v>
      </c>
      <c r="AI96" s="163" t="s">
        <v>1035</v>
      </c>
      <c r="AJ96" s="174">
        <f t="shared" si="8"/>
        <v>0.15248603537499997</v>
      </c>
      <c r="AM96" s="118" t="s">
        <v>815</v>
      </c>
      <c r="AN96" s="118" t="s">
        <v>690</v>
      </c>
      <c r="AO96" s="118">
        <f>AVERAGE(AF114:AF116)</f>
        <v>9.1285428333333325</v>
      </c>
      <c r="AP96" s="118">
        <f>STDEV(AF114:AF116)</f>
        <v>1.7462709769770335</v>
      </c>
      <c r="AQ96">
        <f>((AO99-AO97)/AO99)*100</f>
        <v>5.5761018097199671</v>
      </c>
    </row>
    <row r="97" spans="1:43">
      <c r="A97" s="69">
        <v>2021</v>
      </c>
      <c r="B97" s="70">
        <v>293</v>
      </c>
      <c r="C97" s="70">
        <v>1</v>
      </c>
      <c r="D97" s="70">
        <v>3</v>
      </c>
      <c r="E97" s="71" t="s">
        <v>804</v>
      </c>
      <c r="F97" s="70">
        <v>7</v>
      </c>
      <c r="G97" s="70">
        <v>7</v>
      </c>
      <c r="H97" s="70">
        <v>1605.6</v>
      </c>
      <c r="I97" s="73">
        <f t="shared" si="4"/>
        <v>1584.8999999999999</v>
      </c>
      <c r="J97" s="70">
        <v>128.43100000000001</v>
      </c>
      <c r="K97" s="70">
        <f t="shared" si="5"/>
        <v>103.41900000000001</v>
      </c>
      <c r="L97" s="70">
        <v>1212.3</v>
      </c>
      <c r="M97" s="70">
        <f t="shared" si="6"/>
        <v>1108.8809999999999</v>
      </c>
      <c r="N97" s="72"/>
      <c r="P97" s="118">
        <v>1</v>
      </c>
      <c r="Q97" s="118">
        <v>5</v>
      </c>
      <c r="R97" s="186" t="s">
        <v>175</v>
      </c>
      <c r="S97" s="118">
        <f>(I101+I102)/2</f>
        <v>1616.3</v>
      </c>
      <c r="T97" s="118">
        <f>(M101+M102)/2</f>
        <v>1129.625</v>
      </c>
      <c r="U97" s="118">
        <f>Table9[[#This Row],[Wet Cob Weight (g) ]]-Table9[[#This Row],[Dried Grain Weight (g) ]]</f>
        <v>486.67499999999995</v>
      </c>
      <c r="V97" s="118">
        <f>(Table9[[#This Row],[Moisture Loss (g) ]]/Table9[[#This Row],[Wet Cob Weight (g) ]])*100</f>
        <v>30.110437418796014</v>
      </c>
      <c r="W97" s="118">
        <f>Table9[[#This Row],[Dried Grain Weight (g) ]]*(10000/1000)</f>
        <v>11296.25</v>
      </c>
      <c r="X97" s="118">
        <f>Table9[[#This Row],[Yield (kg/ha)]]*1.155</f>
        <v>13047.168750000001</v>
      </c>
      <c r="Y97" s="162">
        <f>Table9[[#This Row],[Yield (kg/ha)]]/1000</f>
        <v>11.296250000000001</v>
      </c>
      <c r="Z97" s="162">
        <f>Table9[[#This Row],[Yield (tons/ha)]]*1.15</f>
        <v>12.9906875</v>
      </c>
      <c r="AA97" s="162" t="s">
        <v>766</v>
      </c>
      <c r="AB97" s="162" t="s">
        <v>1036</v>
      </c>
      <c r="AD97" s="128">
        <v>1</v>
      </c>
      <c r="AE97" s="129">
        <v>5</v>
      </c>
      <c r="AF97" s="158">
        <f>Table9[[#This Row],[Yield (tons/ha) Corrected to 15.5% Moisture]]</f>
        <v>12.9906875</v>
      </c>
      <c r="AG97" s="163" t="s">
        <v>766</v>
      </c>
      <c r="AH97" s="163">
        <f t="shared" si="7"/>
        <v>5.2924060875000007</v>
      </c>
      <c r="AI97" s="163" t="s">
        <v>1036</v>
      </c>
      <c r="AJ97" s="174">
        <f t="shared" si="8"/>
        <v>0.15978545625000001</v>
      </c>
      <c r="AM97" s="74">
        <v>3</v>
      </c>
      <c r="AN97" s="74" t="s">
        <v>677</v>
      </c>
      <c r="AO97" s="74">
        <f>AVERAGE(AF117:AF125)</f>
        <v>12.015440861111109</v>
      </c>
      <c r="AP97" s="74">
        <f>STDEV(AF117:AF125)</f>
        <v>0.63525375764668757</v>
      </c>
    </row>
    <row r="98" spans="1:43">
      <c r="A98" s="69">
        <v>2021</v>
      </c>
      <c r="B98" s="70">
        <v>293</v>
      </c>
      <c r="C98" s="70">
        <v>1</v>
      </c>
      <c r="D98" s="70">
        <v>3</v>
      </c>
      <c r="E98" s="70" t="s">
        <v>807</v>
      </c>
      <c r="F98" s="70">
        <v>7</v>
      </c>
      <c r="G98" s="70">
        <v>7</v>
      </c>
      <c r="H98" s="70">
        <v>1540.8</v>
      </c>
      <c r="I98" s="70">
        <f t="shared" si="4"/>
        <v>1520.1</v>
      </c>
      <c r="J98" s="70">
        <v>127.923</v>
      </c>
      <c r="K98" s="70">
        <f t="shared" si="5"/>
        <v>102.911</v>
      </c>
      <c r="L98" s="70">
        <v>1197</v>
      </c>
      <c r="M98" s="70">
        <f t="shared" si="6"/>
        <v>1094.0889999999999</v>
      </c>
      <c r="N98" s="72" t="s">
        <v>1033</v>
      </c>
      <c r="P98" s="118">
        <v>1</v>
      </c>
      <c r="Q98" s="118">
        <v>6</v>
      </c>
      <c r="R98" s="186" t="s">
        <v>177</v>
      </c>
      <c r="S98" s="118">
        <f>(I103+I104)/2</f>
        <v>1545.85</v>
      </c>
      <c r="T98" s="118">
        <f>(M103+M104)/2</f>
        <v>1106.1599999999999</v>
      </c>
      <c r="U98" s="118">
        <f>Table9[[#This Row],[Wet Cob Weight (g) ]]-Table9[[#This Row],[Dried Grain Weight (g) ]]</f>
        <v>439.69000000000005</v>
      </c>
      <c r="V98" s="118">
        <f>(Table9[[#This Row],[Moisture Loss (g) ]]/Table9[[#This Row],[Wet Cob Weight (g) ]])*100</f>
        <v>28.443251285700427</v>
      </c>
      <c r="W98" s="118">
        <f>Table9[[#This Row],[Dried Grain Weight (g) ]]*(10000/1000)</f>
        <v>11061.599999999999</v>
      </c>
      <c r="X98" s="118">
        <f>Table9[[#This Row],[Yield (kg/ha)]]*1.155</f>
        <v>12776.147999999999</v>
      </c>
      <c r="Y98" s="162">
        <f>Table9[[#This Row],[Yield (kg/ha)]]/1000</f>
        <v>11.061599999999999</v>
      </c>
      <c r="Z98" s="162">
        <f>Table9[[#This Row],[Yield (tons/ha)]]*1.15</f>
        <v>12.720839999999997</v>
      </c>
      <c r="AA98" s="162" t="s">
        <v>1037</v>
      </c>
      <c r="AB98" s="162" t="s">
        <v>1038</v>
      </c>
      <c r="AD98" s="128">
        <v>1</v>
      </c>
      <c r="AE98" s="129">
        <v>6</v>
      </c>
      <c r="AF98" s="158">
        <f>Table9[[#This Row],[Yield (tons/ha) Corrected to 15.5% Moisture]]</f>
        <v>12.720839999999997</v>
      </c>
      <c r="AG98" s="163" t="s">
        <v>1037</v>
      </c>
      <c r="AH98" s="163">
        <f t="shared" si="7"/>
        <v>5.1799260479999987</v>
      </c>
      <c r="AI98" s="163" t="s">
        <v>1038</v>
      </c>
      <c r="AJ98" s="174">
        <f t="shared" si="8"/>
        <v>0.14756174399999997</v>
      </c>
      <c r="AM98" s="118" t="s">
        <v>819</v>
      </c>
      <c r="AN98" s="118" t="s">
        <v>695</v>
      </c>
      <c r="AO98" s="118">
        <f>AVERAGE(AF126:AF128)</f>
        <v>5.8722028333333327</v>
      </c>
      <c r="AP98" s="118">
        <f>STDEV(AF126:AF128)</f>
        <v>0.49647779706557144</v>
      </c>
    </row>
    <row r="99" spans="1:43">
      <c r="A99" s="69">
        <v>2021</v>
      </c>
      <c r="B99" s="70">
        <v>293</v>
      </c>
      <c r="C99" s="70">
        <v>1</v>
      </c>
      <c r="D99" s="70">
        <v>4</v>
      </c>
      <c r="E99" s="70" t="s">
        <v>804</v>
      </c>
      <c r="F99" s="70">
        <v>8</v>
      </c>
      <c r="G99" s="70">
        <v>7</v>
      </c>
      <c r="H99" s="70">
        <v>1773</v>
      </c>
      <c r="I99" s="97">
        <f t="shared" si="4"/>
        <v>1752.3</v>
      </c>
      <c r="J99" s="70">
        <v>126.587</v>
      </c>
      <c r="K99" s="70">
        <f t="shared" si="5"/>
        <v>101.575</v>
      </c>
      <c r="L99" s="70">
        <v>1360</v>
      </c>
      <c r="M99" s="70">
        <f t="shared" si="6"/>
        <v>1258.425</v>
      </c>
      <c r="N99" s="72"/>
      <c r="P99" s="118">
        <v>1</v>
      </c>
      <c r="Q99" s="118">
        <v>7</v>
      </c>
      <c r="R99" s="186" t="s">
        <v>179</v>
      </c>
      <c r="S99" s="118">
        <f>(I105+I106)/2</f>
        <v>1639.6999999999998</v>
      </c>
      <c r="T99" s="118">
        <f>(M105+M106)/2</f>
        <v>1172.5160000000001</v>
      </c>
      <c r="U99" s="118">
        <f>Table9[[#This Row],[Wet Cob Weight (g) ]]-Table9[[#This Row],[Dried Grain Weight (g) ]]</f>
        <v>467.18399999999974</v>
      </c>
      <c r="V99" s="118">
        <f>(Table9[[#This Row],[Moisture Loss (g) ]]/Table9[[#This Row],[Wet Cob Weight (g) ]])*100</f>
        <v>28.492041227053715</v>
      </c>
      <c r="W99" s="118">
        <f>Table9[[#This Row],[Dried Grain Weight (g) ]]*(10000/1000)</f>
        <v>11725.16</v>
      </c>
      <c r="X99" s="118">
        <f>Table9[[#This Row],[Yield (kg/ha)]]*1.155</f>
        <v>13542.559800000001</v>
      </c>
      <c r="Y99" s="162">
        <f>Table9[[#This Row],[Yield (kg/ha)]]/1000</f>
        <v>11.725160000000001</v>
      </c>
      <c r="Z99" s="162">
        <f>Table9[[#This Row],[Yield (tons/ha)]]*1.15</f>
        <v>13.483934</v>
      </c>
      <c r="AA99" s="162" t="s">
        <v>642</v>
      </c>
      <c r="AB99" s="162" t="s">
        <v>1039</v>
      </c>
      <c r="AD99" s="128">
        <v>1</v>
      </c>
      <c r="AE99" s="129">
        <v>7</v>
      </c>
      <c r="AF99" s="158">
        <f>Table9[[#This Row],[Yield (tons/ha) Corrected to 15.5% Moisture]]</f>
        <v>13.483934</v>
      </c>
      <c r="AG99" s="163" t="s">
        <v>642</v>
      </c>
      <c r="AH99" s="163">
        <f t="shared" si="7"/>
        <v>5.5000966785999994</v>
      </c>
      <c r="AI99" s="163" t="s">
        <v>1039</v>
      </c>
      <c r="AJ99" s="174">
        <f t="shared" si="8"/>
        <v>0.16045881459999997</v>
      </c>
      <c r="AM99" s="74">
        <v>4</v>
      </c>
      <c r="AN99" s="74" t="s">
        <v>678</v>
      </c>
      <c r="AO99" s="74">
        <f>AVERAGE(AF129:AF137)</f>
        <v>12.724999805555555</v>
      </c>
      <c r="AP99" s="74">
        <f>STDEV(AF129:AF137)</f>
        <v>1.3319416520492133</v>
      </c>
    </row>
    <row r="100" spans="1:43">
      <c r="A100" s="69">
        <v>2021</v>
      </c>
      <c r="B100" s="70">
        <v>293</v>
      </c>
      <c r="C100" s="70">
        <v>1</v>
      </c>
      <c r="D100" s="70">
        <v>4</v>
      </c>
      <c r="E100" s="70" t="s">
        <v>807</v>
      </c>
      <c r="F100" s="70">
        <v>7</v>
      </c>
      <c r="G100" s="70">
        <v>7</v>
      </c>
      <c r="H100" s="70">
        <v>1479.8</v>
      </c>
      <c r="I100" s="70">
        <f t="shared" si="4"/>
        <v>1459.1</v>
      </c>
      <c r="J100" s="70">
        <v>117.61</v>
      </c>
      <c r="K100" s="70">
        <f t="shared" si="5"/>
        <v>92.597999999999999</v>
      </c>
      <c r="L100" s="70">
        <v>1140.2</v>
      </c>
      <c r="M100" s="70">
        <f t="shared" si="6"/>
        <v>1047.6020000000001</v>
      </c>
      <c r="N100" s="72"/>
      <c r="P100" s="118">
        <v>1</v>
      </c>
      <c r="Q100" s="118">
        <v>8</v>
      </c>
      <c r="R100" s="186" t="s">
        <v>181</v>
      </c>
      <c r="S100" s="118">
        <f>(I107+I108)/2</f>
        <v>1434.45</v>
      </c>
      <c r="T100" s="118">
        <f>(M107+M108)/2</f>
        <v>1025.913</v>
      </c>
      <c r="U100" s="118">
        <f>Table9[[#This Row],[Wet Cob Weight (g) ]]-Table9[[#This Row],[Dried Grain Weight (g) ]]</f>
        <v>408.53700000000003</v>
      </c>
      <c r="V100" s="118">
        <f>(Table9[[#This Row],[Moisture Loss (g) ]]/Table9[[#This Row],[Wet Cob Weight (g) ]])*100</f>
        <v>28.480393182055842</v>
      </c>
      <c r="W100" s="118">
        <f>Table9[[#This Row],[Dried Grain Weight (g) ]]*(10000/1000)</f>
        <v>10259.130000000001</v>
      </c>
      <c r="X100" s="118">
        <f>Table9[[#This Row],[Yield (kg/ha)]]*1.155</f>
        <v>11849.295150000002</v>
      </c>
      <c r="Y100" s="162">
        <f>Table9[[#This Row],[Yield (kg/ha)]]/1000</f>
        <v>10.259130000000001</v>
      </c>
      <c r="Z100" s="162">
        <f>Table9[[#This Row],[Yield (tons/ha)]]*1.15</f>
        <v>11.7979995</v>
      </c>
      <c r="AA100" s="162" t="s">
        <v>828</v>
      </c>
      <c r="AB100" s="162" t="s">
        <v>1040</v>
      </c>
      <c r="AD100" s="128">
        <v>1</v>
      </c>
      <c r="AE100" s="129">
        <v>8</v>
      </c>
      <c r="AF100" s="158">
        <f>Table9[[#This Row],[Yield (tons/ha) Corrected to 15.5% Moisture]]</f>
        <v>11.7979995</v>
      </c>
      <c r="AG100" s="163" t="s">
        <v>828</v>
      </c>
      <c r="AH100" s="163">
        <f t="shared" si="7"/>
        <v>4.9893739885499997</v>
      </c>
      <c r="AI100" s="163" t="s">
        <v>1040</v>
      </c>
      <c r="AJ100" s="174">
        <f t="shared" si="8"/>
        <v>0.16753159289999997</v>
      </c>
      <c r="AM100" s="118" t="s">
        <v>823</v>
      </c>
      <c r="AN100" s="118" t="s">
        <v>700</v>
      </c>
      <c r="AO100" s="118">
        <f>AVERAGE(AF138:AF140)</f>
        <v>8.9282051666666664</v>
      </c>
      <c r="AP100" s="118">
        <f>STDEV(AF138:AF140)</f>
        <v>3.5631535797052494</v>
      </c>
    </row>
    <row r="101" spans="1:43">
      <c r="A101" s="69">
        <v>2021</v>
      </c>
      <c r="B101" s="70">
        <v>293</v>
      </c>
      <c r="C101" s="70">
        <v>1</v>
      </c>
      <c r="D101" s="70">
        <v>5</v>
      </c>
      <c r="E101" s="71" t="s">
        <v>804</v>
      </c>
      <c r="F101" s="70">
        <v>7</v>
      </c>
      <c r="G101" s="70">
        <v>8</v>
      </c>
      <c r="H101" s="70">
        <v>1595.1</v>
      </c>
      <c r="I101" s="96">
        <f t="shared" si="4"/>
        <v>1574.3999999999999</v>
      </c>
      <c r="J101" s="70">
        <v>134.053</v>
      </c>
      <c r="K101" s="70">
        <f t="shared" si="5"/>
        <v>109.041</v>
      </c>
      <c r="L101" s="70">
        <v>1226.5</v>
      </c>
      <c r="M101" s="70">
        <f t="shared" si="6"/>
        <v>1117.4590000000001</v>
      </c>
      <c r="N101" s="72"/>
      <c r="P101" s="118">
        <v>1</v>
      </c>
      <c r="Q101" s="118">
        <v>9</v>
      </c>
      <c r="R101" s="186" t="s">
        <v>183</v>
      </c>
      <c r="S101" s="179">
        <f>(I109+I110)/2</f>
        <v>1337.25</v>
      </c>
      <c r="T101" s="118">
        <f>(M109+M110)/2</f>
        <v>968.35300000000007</v>
      </c>
      <c r="U101" s="118">
        <f>Table9[[#This Row],[Wet Cob Weight (g) ]]-Table9[[#This Row],[Dried Grain Weight (g) ]]</f>
        <v>368.89699999999993</v>
      </c>
      <c r="V101" s="118">
        <f>(Table9[[#This Row],[Moisture Loss (g) ]]/Table9[[#This Row],[Wet Cob Weight (g) ]])*100</f>
        <v>27.586240418769858</v>
      </c>
      <c r="W101" s="118">
        <f>Table9[[#This Row],[Dried Grain Weight (g) ]]*(10000/1000)</f>
        <v>9683.5300000000007</v>
      </c>
      <c r="X101" s="118">
        <f>Table9[[#This Row],[Yield (kg/ha)]]*1.155</f>
        <v>11184.477150000001</v>
      </c>
      <c r="Y101" s="162">
        <f>Table9[[#This Row],[Yield (kg/ha)]]/1000</f>
        <v>9.6835300000000011</v>
      </c>
      <c r="Z101" s="162">
        <f>Table9[[#This Row],[Yield (tons/ha)]]*1.15</f>
        <v>11.1360595</v>
      </c>
      <c r="AA101" s="162" t="s">
        <v>1041</v>
      </c>
      <c r="AB101" s="162" t="s">
        <v>1032</v>
      </c>
      <c r="AD101" s="128">
        <v>1</v>
      </c>
      <c r="AE101" s="129">
        <v>9</v>
      </c>
      <c r="AF101" s="158">
        <f>Table9[[#This Row],[Yield (tons/ha) Corrected to 15.5% Moisture]]</f>
        <v>11.1360595</v>
      </c>
      <c r="AG101" s="163" t="s">
        <v>1041</v>
      </c>
      <c r="AH101" s="163">
        <f t="shared" si="7"/>
        <v>4.5635571830999995</v>
      </c>
      <c r="AI101" s="163" t="s">
        <v>1032</v>
      </c>
      <c r="AJ101" s="174">
        <f t="shared" si="8"/>
        <v>0.13474631995</v>
      </c>
    </row>
    <row r="102" spans="1:43">
      <c r="A102" s="69">
        <v>2021</v>
      </c>
      <c r="B102" s="70">
        <v>293</v>
      </c>
      <c r="C102" s="70">
        <v>1</v>
      </c>
      <c r="D102" s="70">
        <v>5</v>
      </c>
      <c r="E102" s="70" t="s">
        <v>807</v>
      </c>
      <c r="F102" s="70">
        <v>7</v>
      </c>
      <c r="G102" s="70">
        <v>7</v>
      </c>
      <c r="H102" s="70">
        <v>1678.9</v>
      </c>
      <c r="I102" s="70">
        <f t="shared" si="4"/>
        <v>1658.2</v>
      </c>
      <c r="J102" s="70">
        <v>167.02099999999999</v>
      </c>
      <c r="K102" s="70">
        <f t="shared" si="5"/>
        <v>142.00899999999999</v>
      </c>
      <c r="L102" s="70">
        <v>1283.8</v>
      </c>
      <c r="M102" s="70">
        <f t="shared" si="6"/>
        <v>1141.7909999999999</v>
      </c>
      <c r="N102" s="72"/>
      <c r="P102" s="74">
        <v>2</v>
      </c>
      <c r="Q102" s="74">
        <v>1</v>
      </c>
      <c r="R102" s="93" t="s">
        <v>194</v>
      </c>
      <c r="S102" s="124">
        <f>(I114+I115)/2</f>
        <v>1496.5</v>
      </c>
      <c r="T102" s="74">
        <f>(M114+M115)/2</f>
        <v>1079.6524999999999</v>
      </c>
      <c r="U102" s="74">
        <f>Table9[[#This Row],[Wet Cob Weight (g) ]]-Table9[[#This Row],[Dried Grain Weight (g) ]]</f>
        <v>416.84750000000008</v>
      </c>
      <c r="V102" s="74">
        <f>(Table9[[#This Row],[Moisture Loss (g) ]]/Table9[[#This Row],[Wet Cob Weight (g) ]])*100</f>
        <v>27.854827931840969</v>
      </c>
      <c r="W102" s="74">
        <f>Table9[[#This Row],[Dried Grain Weight (g) ]]*(10000/1000)</f>
        <v>10796.525</v>
      </c>
      <c r="X102" s="74">
        <f>Table9[[#This Row],[Yield (kg/ha)]]*1.155</f>
        <v>12469.986375</v>
      </c>
      <c r="Y102" s="125">
        <f>Table9[[#This Row],[Yield (kg/ha)]]/1000</f>
        <v>10.796524999999999</v>
      </c>
      <c r="Z102" s="125">
        <f>Table9[[#This Row],[Yield (tons/ha)]]*1.15</f>
        <v>12.416003749999998</v>
      </c>
      <c r="AA102" s="125" t="s">
        <v>1042</v>
      </c>
      <c r="AB102" s="125" t="s">
        <v>1043</v>
      </c>
      <c r="AD102" s="130">
        <v>1</v>
      </c>
      <c r="AE102" s="131">
        <v>11</v>
      </c>
      <c r="AF102" s="131">
        <f>Z132</f>
        <v>9.0068055000000005</v>
      </c>
      <c r="AG102" s="131" t="s">
        <v>1044</v>
      </c>
      <c r="AH102" s="115">
        <f t="shared" si="7"/>
        <v>3.7135059076499997</v>
      </c>
      <c r="AI102" s="114" t="s">
        <v>1045</v>
      </c>
      <c r="AJ102" s="179">
        <f t="shared" si="8"/>
        <v>9.2770096650000008E-2</v>
      </c>
    </row>
    <row r="103" spans="1:43">
      <c r="A103" s="69">
        <v>2021</v>
      </c>
      <c r="B103" s="70">
        <v>293</v>
      </c>
      <c r="C103" s="70">
        <v>1</v>
      </c>
      <c r="D103" s="70">
        <v>6</v>
      </c>
      <c r="E103" s="70" t="s">
        <v>804</v>
      </c>
      <c r="F103" s="70">
        <v>7</v>
      </c>
      <c r="G103" s="70">
        <v>7</v>
      </c>
      <c r="H103" s="70">
        <v>1713.9</v>
      </c>
      <c r="I103" s="97">
        <f t="shared" si="4"/>
        <v>1693.2</v>
      </c>
      <c r="J103" s="70">
        <v>139.816</v>
      </c>
      <c r="K103" s="70">
        <f t="shared" si="5"/>
        <v>114.804</v>
      </c>
      <c r="L103" s="70">
        <v>1326.5</v>
      </c>
      <c r="M103" s="70">
        <f t="shared" si="6"/>
        <v>1211.6959999999999</v>
      </c>
      <c r="N103" s="72" t="s">
        <v>1033</v>
      </c>
      <c r="P103" s="74">
        <v>2</v>
      </c>
      <c r="Q103" s="74">
        <v>2</v>
      </c>
      <c r="R103" s="93" t="s">
        <v>196</v>
      </c>
      <c r="S103" s="124">
        <f>(I116+I117)/2</f>
        <v>1578.1999999999998</v>
      </c>
      <c r="T103" s="74">
        <f>(M116+M117)/2</f>
        <v>1141.2655</v>
      </c>
      <c r="U103" s="74">
        <f>Table9[[#This Row],[Wet Cob Weight (g) ]]-Table9[[#This Row],[Dried Grain Weight (g) ]]</f>
        <v>436.93449999999984</v>
      </c>
      <c r="V103" s="74">
        <f>(Table9[[#This Row],[Moisture Loss (g) ]]/Table9[[#This Row],[Wet Cob Weight (g) ]])*100</f>
        <v>27.685622861487762</v>
      </c>
      <c r="W103" s="74">
        <f>Table9[[#This Row],[Dried Grain Weight (g) ]]*(10000/1000)</f>
        <v>11412.654999999999</v>
      </c>
      <c r="X103" s="74">
        <f>Table9[[#This Row],[Yield (kg/ha)]]*1.155</f>
        <v>13181.616524999999</v>
      </c>
      <c r="Y103" s="125">
        <f>Table9[[#This Row],[Yield (kg/ha)]]/1000</f>
        <v>11.412654999999999</v>
      </c>
      <c r="Z103" s="125">
        <f>Table9[[#This Row],[Yield (tons/ha)]]*1.15</f>
        <v>13.124553249999998</v>
      </c>
      <c r="AA103" s="125" t="s">
        <v>750</v>
      </c>
      <c r="AB103" s="125" t="s">
        <v>1046</v>
      </c>
      <c r="AD103" s="130">
        <v>1</v>
      </c>
      <c r="AE103" s="131">
        <v>12</v>
      </c>
      <c r="AF103" s="131">
        <f t="shared" ref="AF103:AF104" si="9">Z133</f>
        <v>9.3831375000000001</v>
      </c>
      <c r="AG103" s="131" t="s">
        <v>1047</v>
      </c>
      <c r="AH103" s="115">
        <f t="shared" si="7"/>
        <v>3.7767128437500004</v>
      </c>
      <c r="AI103" s="114" t="s">
        <v>1045</v>
      </c>
      <c r="AJ103" s="179">
        <f t="shared" si="8"/>
        <v>9.6646316250000003E-2</v>
      </c>
    </row>
    <row r="104" spans="1:43">
      <c r="A104" s="69">
        <v>2021</v>
      </c>
      <c r="B104" s="70">
        <v>293</v>
      </c>
      <c r="C104" s="70">
        <v>1</v>
      </c>
      <c r="D104" s="70">
        <v>6</v>
      </c>
      <c r="E104" s="70" t="s">
        <v>807</v>
      </c>
      <c r="F104" s="70">
        <v>6</v>
      </c>
      <c r="G104" s="70">
        <v>6</v>
      </c>
      <c r="H104" s="70">
        <v>1419.2</v>
      </c>
      <c r="I104" s="70">
        <f t="shared" si="4"/>
        <v>1398.5</v>
      </c>
      <c r="J104" s="70">
        <v>127.88800000000001</v>
      </c>
      <c r="K104" s="70">
        <f t="shared" si="5"/>
        <v>102.876</v>
      </c>
      <c r="L104" s="70">
        <v>1103.5</v>
      </c>
      <c r="M104" s="70">
        <f t="shared" si="6"/>
        <v>1000.624</v>
      </c>
      <c r="N104" s="72"/>
      <c r="P104" s="74">
        <v>2</v>
      </c>
      <c r="Q104" s="74">
        <v>3</v>
      </c>
      <c r="R104" s="93" t="s">
        <v>198</v>
      </c>
      <c r="S104" s="74">
        <f>(I118+I119)/2</f>
        <v>1523.4499999999998</v>
      </c>
      <c r="T104" s="74">
        <f>(M118+M119)/2</f>
        <v>1105.8209999999999</v>
      </c>
      <c r="U104" s="74">
        <f>Table9[[#This Row],[Wet Cob Weight (g) ]]-Table9[[#This Row],[Dried Grain Weight (g) ]]</f>
        <v>417.62899999999991</v>
      </c>
      <c r="V104" s="74">
        <f>(Table9[[#This Row],[Moisture Loss (g) ]]/Table9[[#This Row],[Wet Cob Weight (g) ]])*100</f>
        <v>27.413370967212575</v>
      </c>
      <c r="W104" s="74">
        <f>Table9[[#This Row],[Dried Grain Weight (g) ]]*(10000/1000)</f>
        <v>11058.21</v>
      </c>
      <c r="X104" s="74">
        <f>Table9[[#This Row],[Yield (kg/ha)]]*1.155</f>
        <v>12772.232549999999</v>
      </c>
      <c r="Y104" s="125">
        <f>Table9[[#This Row],[Yield (kg/ha)]]/1000</f>
        <v>11.058209999999999</v>
      </c>
      <c r="Z104" s="125">
        <f>Table9[[#This Row],[Yield (tons/ha)]]*1.15</f>
        <v>12.716941499999997</v>
      </c>
      <c r="AA104" s="125" t="s">
        <v>1048</v>
      </c>
      <c r="AB104" s="125" t="s">
        <v>1049</v>
      </c>
      <c r="AD104" s="130">
        <v>1</v>
      </c>
      <c r="AE104" s="131">
        <v>13</v>
      </c>
      <c r="AF104" s="131">
        <f t="shared" si="9"/>
        <v>12.658325999999999</v>
      </c>
      <c r="AG104" s="131" t="s">
        <v>1050</v>
      </c>
      <c r="AH104" s="115">
        <f t="shared" si="7"/>
        <v>5.2747244441999994</v>
      </c>
      <c r="AI104" s="114" t="s">
        <v>1032</v>
      </c>
      <c r="AJ104" s="179">
        <f t="shared" si="8"/>
        <v>0.15316574459999999</v>
      </c>
      <c r="AM104" s="77" t="s">
        <v>921</v>
      </c>
      <c r="AN104" s="77" t="s">
        <v>1051</v>
      </c>
      <c r="AO104" s="77" t="s">
        <v>586</v>
      </c>
      <c r="AP104" s="77" t="s">
        <v>1052</v>
      </c>
      <c r="AQ104" s="77" t="s">
        <v>586</v>
      </c>
    </row>
    <row r="105" spans="1:43">
      <c r="A105" s="69">
        <v>2021</v>
      </c>
      <c r="B105" s="70">
        <v>293</v>
      </c>
      <c r="C105" s="70">
        <v>1</v>
      </c>
      <c r="D105" s="70">
        <v>7</v>
      </c>
      <c r="E105" s="71" t="s">
        <v>804</v>
      </c>
      <c r="F105" s="70">
        <v>7</v>
      </c>
      <c r="G105" s="70">
        <v>7</v>
      </c>
      <c r="H105" s="70">
        <v>1583.3</v>
      </c>
      <c r="I105" s="73">
        <f t="shared" si="4"/>
        <v>1562.6</v>
      </c>
      <c r="J105" s="70">
        <v>131.17400000000001</v>
      </c>
      <c r="K105" s="70">
        <f t="shared" si="5"/>
        <v>106.16200000000001</v>
      </c>
      <c r="L105" s="70">
        <v>1228.2</v>
      </c>
      <c r="M105" s="70">
        <f t="shared" si="6"/>
        <v>1122.038</v>
      </c>
      <c r="N105" s="72"/>
      <c r="P105" s="74">
        <v>2</v>
      </c>
      <c r="Q105" s="74">
        <v>4</v>
      </c>
      <c r="R105" s="93" t="s">
        <v>200</v>
      </c>
      <c r="S105" s="74">
        <f>(I120+H121)/2</f>
        <v>1548.25</v>
      </c>
      <c r="T105" s="74">
        <f>(M120+M121)/2</f>
        <v>1118.386</v>
      </c>
      <c r="U105" s="74">
        <f>Table9[[#This Row],[Wet Cob Weight (g) ]]-Table9[[#This Row],[Dried Grain Weight (g) ]]</f>
        <v>429.86400000000003</v>
      </c>
      <c r="V105" s="74">
        <f>(Table9[[#This Row],[Moisture Loss (g) ]]/Table9[[#This Row],[Wet Cob Weight (g) ]])*100</f>
        <v>27.76450831584047</v>
      </c>
      <c r="W105" s="74">
        <f>Table9[[#This Row],[Dried Grain Weight (g) ]]*(10000/1000)</f>
        <v>11183.86</v>
      </c>
      <c r="X105" s="125">
        <f>Table9[[#This Row],[Yield (kg/ha)]]*1.155</f>
        <v>12917.358300000002</v>
      </c>
      <c r="Y105" s="125">
        <f>Table9[[#This Row],[Yield (kg/ha)]]/1000</f>
        <v>11.183860000000001</v>
      </c>
      <c r="Z105" s="125">
        <f>Table9[[#This Row],[Yield (tons/ha)]]*1.15</f>
        <v>12.861439000000001</v>
      </c>
      <c r="AA105" s="125" t="s">
        <v>1053</v>
      </c>
      <c r="AB105" s="125" t="s">
        <v>1029</v>
      </c>
      <c r="AD105" s="128">
        <v>2</v>
      </c>
      <c r="AE105" s="129">
        <v>1</v>
      </c>
      <c r="AF105" s="135">
        <f>Z102</f>
        <v>12.416003749999998</v>
      </c>
      <c r="AG105" s="129" t="s">
        <v>1042</v>
      </c>
      <c r="AH105" s="163">
        <f t="shared" si="7"/>
        <v>4.9515022955000001</v>
      </c>
      <c r="AI105" s="129" t="s">
        <v>1043</v>
      </c>
      <c r="AJ105" s="174">
        <f t="shared" si="8"/>
        <v>0.13657604125</v>
      </c>
      <c r="AM105" s="74" t="s">
        <v>675</v>
      </c>
      <c r="AN105" s="74">
        <v>12.451843500000001</v>
      </c>
      <c r="AO105" s="152">
        <v>0.86574237246119257</v>
      </c>
      <c r="AP105" s="152">
        <v>10.336426166666666</v>
      </c>
      <c r="AQ105" s="152">
        <v>2.021518568249276</v>
      </c>
    </row>
    <row r="106" spans="1:43">
      <c r="A106" s="69">
        <v>2021</v>
      </c>
      <c r="B106" s="70">
        <v>293</v>
      </c>
      <c r="C106" s="70">
        <v>1</v>
      </c>
      <c r="D106" s="70">
        <v>7</v>
      </c>
      <c r="E106" s="70" t="s">
        <v>807</v>
      </c>
      <c r="F106" s="70">
        <v>7</v>
      </c>
      <c r="G106" s="70">
        <v>7</v>
      </c>
      <c r="H106" s="70">
        <v>1737.5</v>
      </c>
      <c r="I106" s="73">
        <f t="shared" si="4"/>
        <v>1716.8</v>
      </c>
      <c r="J106" s="70">
        <v>133.71799999999999</v>
      </c>
      <c r="K106" s="70">
        <f t="shared" si="5"/>
        <v>108.70599999999999</v>
      </c>
      <c r="L106" s="70">
        <v>1331.7</v>
      </c>
      <c r="M106" s="70">
        <f t="shared" si="6"/>
        <v>1222.9940000000001</v>
      </c>
      <c r="N106" s="72"/>
      <c r="P106" s="74">
        <v>2</v>
      </c>
      <c r="Q106" s="74">
        <v>5</v>
      </c>
      <c r="R106" s="93" t="s">
        <v>202</v>
      </c>
      <c r="S106" s="74">
        <f>(I122+I123)/2</f>
        <v>1456.5</v>
      </c>
      <c r="T106" s="74">
        <f>(M122+M123)/2</f>
        <v>1050.3125</v>
      </c>
      <c r="U106" s="74">
        <f>Table9[[#This Row],[Wet Cob Weight (g) ]]-Table9[[#This Row],[Dried Grain Weight (g) ]]</f>
        <v>406.1875</v>
      </c>
      <c r="V106" s="74">
        <f>(Table9[[#This Row],[Moisture Loss (g) ]]/Table9[[#This Row],[Wet Cob Weight (g) ]])*100</f>
        <v>27.887916237555782</v>
      </c>
      <c r="W106" s="74">
        <f>Table9[[#This Row],[Dried Grain Weight (g) ]]*(10000/1000)</f>
        <v>10503.125</v>
      </c>
      <c r="X106" s="125">
        <f>Table9[[#This Row],[Yield (kg/ha)]]*1.155</f>
        <v>12131.109375</v>
      </c>
      <c r="Y106" s="125">
        <f>Table9[[#This Row],[Yield (kg/ha)]]/1000</f>
        <v>10.503125000000001</v>
      </c>
      <c r="Z106" s="125">
        <f>Table9[[#This Row],[Yield (tons/ha)]]*1.15</f>
        <v>12.07859375</v>
      </c>
      <c r="AA106" s="125" t="s">
        <v>1054</v>
      </c>
      <c r="AB106" s="125" t="s">
        <v>1055</v>
      </c>
      <c r="AD106" s="128">
        <v>2</v>
      </c>
      <c r="AE106" s="129">
        <v>2</v>
      </c>
      <c r="AF106" s="135">
        <f t="shared" ref="AF106:AF113" si="10">Z103</f>
        <v>13.124553249999998</v>
      </c>
      <c r="AG106" s="129" t="s">
        <v>750</v>
      </c>
      <c r="AH106" s="163">
        <f t="shared" si="7"/>
        <v>5.3863166537999989</v>
      </c>
      <c r="AI106" s="129" t="s">
        <v>1046</v>
      </c>
      <c r="AJ106" s="174">
        <f t="shared" si="8"/>
        <v>0.19030602212499997</v>
      </c>
      <c r="AM106" s="118" t="s">
        <v>676</v>
      </c>
      <c r="AN106" s="118">
        <v>12.608048638888887</v>
      </c>
      <c r="AO106" s="159">
        <v>0.32573487631016507</v>
      </c>
      <c r="AP106" s="159">
        <v>9.1285428333333325</v>
      </c>
      <c r="AQ106" s="159">
        <v>1.7462709769770335</v>
      </c>
    </row>
    <row r="107" spans="1:43">
      <c r="A107" s="69">
        <v>2021</v>
      </c>
      <c r="B107" s="70">
        <v>293</v>
      </c>
      <c r="C107" s="70">
        <v>1</v>
      </c>
      <c r="D107" s="70">
        <v>8</v>
      </c>
      <c r="E107" s="70" t="s">
        <v>804</v>
      </c>
      <c r="F107" s="70">
        <v>7</v>
      </c>
      <c r="G107" s="70">
        <v>7</v>
      </c>
      <c r="H107" s="70">
        <v>1538.4</v>
      </c>
      <c r="I107" s="70">
        <f t="shared" si="4"/>
        <v>1517.7</v>
      </c>
      <c r="J107" s="70">
        <v>124.062</v>
      </c>
      <c r="K107" s="70">
        <f t="shared" si="5"/>
        <v>99.05</v>
      </c>
      <c r="L107" s="70">
        <v>1168.0999999999999</v>
      </c>
      <c r="M107" s="70">
        <f t="shared" si="6"/>
        <v>1069.05</v>
      </c>
      <c r="N107" s="72"/>
      <c r="P107" s="74">
        <v>2</v>
      </c>
      <c r="Q107" s="74">
        <v>6</v>
      </c>
      <c r="R107" s="93" t="s">
        <v>204</v>
      </c>
      <c r="S107" s="74">
        <f>(I124+I125)/2</f>
        <v>1480.45</v>
      </c>
      <c r="T107" s="74">
        <f>(M124+M125)/2</f>
        <v>1079.9914999999999</v>
      </c>
      <c r="U107" s="74">
        <f>Table9[[#This Row],[Wet Cob Weight (g) ]]-Table9[[#This Row],[Dried Grain Weight (g) ]]</f>
        <v>400.45850000000019</v>
      </c>
      <c r="V107" s="74">
        <f>(Table9[[#This Row],[Moisture Loss (g) ]]/Table9[[#This Row],[Wet Cob Weight (g) ]])*100</f>
        <v>27.049782160829487</v>
      </c>
      <c r="W107" s="74">
        <f>Table9[[#This Row],[Dried Grain Weight (g) ]]*(10000/1000)</f>
        <v>10799.914999999999</v>
      </c>
      <c r="X107" s="125">
        <f>Table9[[#This Row],[Yield (kg/ha)]]*1.155</f>
        <v>12473.901824999999</v>
      </c>
      <c r="Y107" s="125">
        <f>Table9[[#This Row],[Yield (kg/ha)]]/1000</f>
        <v>10.799914999999999</v>
      </c>
      <c r="Z107" s="125">
        <f>Table9[[#This Row],[Yield (tons/ha)]]*1.15</f>
        <v>12.419902249999998</v>
      </c>
      <c r="AA107" s="125" t="s">
        <v>1056</v>
      </c>
      <c r="AB107" s="125" t="s">
        <v>1057</v>
      </c>
      <c r="AD107" s="128">
        <v>2</v>
      </c>
      <c r="AE107" s="129">
        <v>3</v>
      </c>
      <c r="AF107" s="135">
        <f t="shared" si="10"/>
        <v>12.716941499999997</v>
      </c>
      <c r="AG107" s="129" t="s">
        <v>1048</v>
      </c>
      <c r="AH107" s="163">
        <f t="shared" si="7"/>
        <v>5.2609986985499981</v>
      </c>
      <c r="AI107" s="129" t="s">
        <v>1049</v>
      </c>
      <c r="AJ107" s="174">
        <f t="shared" si="8"/>
        <v>0.18185226344999997</v>
      </c>
      <c r="AM107" s="74" t="s">
        <v>677</v>
      </c>
      <c r="AN107" s="74">
        <v>12.015440861111109</v>
      </c>
      <c r="AO107" s="152">
        <v>0.63525375764668757</v>
      </c>
      <c r="AP107" s="152">
        <v>5.8722028333333327</v>
      </c>
      <c r="AQ107" s="152">
        <v>0.49647779706557144</v>
      </c>
    </row>
    <row r="108" spans="1:43">
      <c r="A108" s="69">
        <v>2021</v>
      </c>
      <c r="B108" s="70">
        <v>293</v>
      </c>
      <c r="C108" s="70">
        <v>1</v>
      </c>
      <c r="D108" s="70">
        <v>8</v>
      </c>
      <c r="E108" s="70" t="s">
        <v>807</v>
      </c>
      <c r="F108" s="70">
        <v>7</v>
      </c>
      <c r="G108" s="70">
        <v>6</v>
      </c>
      <c r="H108" s="70">
        <v>1371.9</v>
      </c>
      <c r="I108" s="73">
        <f t="shared" si="4"/>
        <v>1351.2</v>
      </c>
      <c r="J108" s="70">
        <v>120.43600000000001</v>
      </c>
      <c r="K108" s="70">
        <f t="shared" si="5"/>
        <v>95.424000000000007</v>
      </c>
      <c r="L108" s="70">
        <v>1078.2</v>
      </c>
      <c r="M108" s="70">
        <f t="shared" si="6"/>
        <v>982.77600000000007</v>
      </c>
      <c r="N108" s="72" t="s">
        <v>1033</v>
      </c>
      <c r="P108" s="74">
        <v>2</v>
      </c>
      <c r="Q108" s="74">
        <v>7</v>
      </c>
      <c r="R108" s="93" t="s">
        <v>206</v>
      </c>
      <c r="S108" s="74">
        <f>(I126+I127)/2</f>
        <v>1474.85</v>
      </c>
      <c r="T108" s="74">
        <f>(M126+M127)/2</f>
        <v>1071.9380000000001</v>
      </c>
      <c r="U108" s="74">
        <f>Table9[[#This Row],[Wet Cob Weight (g) ]]-Table9[[#This Row],[Dried Grain Weight (g) ]]</f>
        <v>402.91199999999981</v>
      </c>
      <c r="V108" s="74">
        <f>(Table9[[#This Row],[Moisture Loss (g) ]]/Table9[[#This Row],[Wet Cob Weight (g) ]])*100</f>
        <v>27.318845984337379</v>
      </c>
      <c r="W108" s="74">
        <f>Table9[[#This Row],[Dried Grain Weight (g) ]]*(10000/1000)</f>
        <v>10719.380000000001</v>
      </c>
      <c r="X108" s="125">
        <f>Table9[[#This Row],[Yield (kg/ha)]]*1.155</f>
        <v>12380.883900000001</v>
      </c>
      <c r="Y108" s="125">
        <f>Table9[[#This Row],[Yield (kg/ha)]]/1000</f>
        <v>10.719380000000001</v>
      </c>
      <c r="Z108" s="125">
        <f>Table9[[#This Row],[Yield (tons/ha)]]*1.15</f>
        <v>12.327287</v>
      </c>
      <c r="AA108" s="125" t="s">
        <v>705</v>
      </c>
      <c r="AB108" s="125" t="s">
        <v>1058</v>
      </c>
      <c r="AD108" s="128">
        <v>2</v>
      </c>
      <c r="AE108" s="129">
        <v>4</v>
      </c>
      <c r="AF108" s="135">
        <f t="shared" si="10"/>
        <v>12.861439000000001</v>
      </c>
      <c r="AG108" s="129" t="s">
        <v>1053</v>
      </c>
      <c r="AH108" s="163">
        <f t="shared" si="7"/>
        <v>5.147147887800001</v>
      </c>
      <c r="AI108" s="129" t="s">
        <v>1029</v>
      </c>
      <c r="AJ108" s="174">
        <f t="shared" si="8"/>
        <v>0.1466204046</v>
      </c>
      <c r="AM108" s="118" t="s">
        <v>678</v>
      </c>
      <c r="AN108" s="118">
        <v>12.724999805555555</v>
      </c>
      <c r="AO108" s="159">
        <v>1.3319416520492133</v>
      </c>
      <c r="AP108" s="159">
        <v>8.9282051666666664</v>
      </c>
      <c r="AQ108" s="159">
        <v>3.5631535797052494</v>
      </c>
    </row>
    <row r="109" spans="1:43">
      <c r="A109" s="69">
        <v>2021</v>
      </c>
      <c r="B109" s="70">
        <v>293</v>
      </c>
      <c r="C109" s="70">
        <v>1</v>
      </c>
      <c r="D109" s="70">
        <v>9</v>
      </c>
      <c r="E109" s="71" t="s">
        <v>804</v>
      </c>
      <c r="F109" s="70">
        <v>7</v>
      </c>
      <c r="G109" s="70">
        <v>7</v>
      </c>
      <c r="H109" s="70">
        <v>1400.5</v>
      </c>
      <c r="I109" s="73">
        <f t="shared" si="4"/>
        <v>1379.8</v>
      </c>
      <c r="J109" s="70">
        <v>113.732</v>
      </c>
      <c r="K109" s="70">
        <f t="shared" si="5"/>
        <v>88.72</v>
      </c>
      <c r="L109" s="70">
        <v>1094.2</v>
      </c>
      <c r="M109" s="70">
        <f t="shared" si="6"/>
        <v>1005.48</v>
      </c>
      <c r="N109" s="72"/>
      <c r="P109" s="74">
        <v>2</v>
      </c>
      <c r="Q109" s="74">
        <v>8</v>
      </c>
      <c r="R109" s="93" t="s">
        <v>209</v>
      </c>
      <c r="S109" s="74">
        <f>(I128+I129)/2</f>
        <v>1547.35</v>
      </c>
      <c r="T109" s="74">
        <f>(M128+M129)/2</f>
        <v>1119.8155000000002</v>
      </c>
      <c r="U109" s="74">
        <f>Table9[[#This Row],[Wet Cob Weight (g) ]]-Table9[[#This Row],[Dried Grain Weight (g) ]]</f>
        <v>427.53449999999975</v>
      </c>
      <c r="V109" s="74">
        <f>(Table9[[#This Row],[Moisture Loss (g) ]]/Table9[[#This Row],[Wet Cob Weight (g) ]])*100</f>
        <v>27.630109542120383</v>
      </c>
      <c r="W109" s="74">
        <f>Table9[[#This Row],[Dried Grain Weight (g) ]]*(10000/1000)</f>
        <v>11198.155000000002</v>
      </c>
      <c r="X109" s="125">
        <f>Table9[[#This Row],[Yield (kg/ha)]]*1.155</f>
        <v>12933.869025000004</v>
      </c>
      <c r="Y109" s="125">
        <f>Table9[[#This Row],[Yield (kg/ha)]]/1000</f>
        <v>11.198155000000002</v>
      </c>
      <c r="Z109" s="125">
        <f>Table9[[#This Row],[Yield (tons/ha)]]*1.15</f>
        <v>12.87787825</v>
      </c>
      <c r="AA109" s="125" t="s">
        <v>1059</v>
      </c>
      <c r="AB109" s="125" t="s">
        <v>1060</v>
      </c>
      <c r="AD109" s="128">
        <v>2</v>
      </c>
      <c r="AE109" s="129">
        <v>5</v>
      </c>
      <c r="AF109" s="135">
        <f t="shared" si="10"/>
        <v>12.07859375</v>
      </c>
      <c r="AG109" s="129" t="s">
        <v>1054</v>
      </c>
      <c r="AH109" s="163">
        <f t="shared" si="7"/>
        <v>4.9111562187499995</v>
      </c>
      <c r="AI109" s="129" t="s">
        <v>1055</v>
      </c>
      <c r="AJ109" s="174">
        <f t="shared" si="8"/>
        <v>0.16547673437499999</v>
      </c>
    </row>
    <row r="110" spans="1:43">
      <c r="A110" s="69">
        <v>2021</v>
      </c>
      <c r="B110" s="70">
        <v>293</v>
      </c>
      <c r="C110" s="70">
        <v>1</v>
      </c>
      <c r="D110" s="70">
        <v>9</v>
      </c>
      <c r="E110" s="70" t="s">
        <v>807</v>
      </c>
      <c r="F110" s="70">
        <v>7</v>
      </c>
      <c r="G110" s="70">
        <v>7</v>
      </c>
      <c r="H110" s="70">
        <v>1315.4</v>
      </c>
      <c r="I110" s="73">
        <f t="shared" si="4"/>
        <v>1294.7</v>
      </c>
      <c r="J110" s="70">
        <v>107.986</v>
      </c>
      <c r="K110" s="70">
        <f t="shared" si="5"/>
        <v>82.974000000000004</v>
      </c>
      <c r="L110" s="70">
        <v>1014.2</v>
      </c>
      <c r="M110" s="70">
        <f t="shared" si="6"/>
        <v>931.226</v>
      </c>
      <c r="N110" s="72"/>
      <c r="P110" s="74">
        <v>2</v>
      </c>
      <c r="Q110" s="74">
        <v>9</v>
      </c>
      <c r="R110" s="93" t="s">
        <v>211</v>
      </c>
      <c r="S110" s="74">
        <f>(I130+I131)/2</f>
        <v>1508.35</v>
      </c>
      <c r="T110" s="74">
        <f>(M130+M131)/2</f>
        <v>1099.9859999999999</v>
      </c>
      <c r="U110" s="74">
        <f>Table9[[#This Row],[Wet Cob Weight (g) ]]-Table9[[#This Row],[Dried Grain Weight (g) ]]</f>
        <v>408.36400000000003</v>
      </c>
      <c r="V110" s="74">
        <f>(Table9[[#This Row],[Moisture Loss (g) ]]/Table9[[#This Row],[Wet Cob Weight (g) ]])*100</f>
        <v>27.073557198263003</v>
      </c>
      <c r="W110" s="74">
        <f>Table9[[#This Row],[Dried Grain Weight (g) ]]*(10000/1000)</f>
        <v>10999.859999999999</v>
      </c>
      <c r="X110" s="125">
        <f>Table9[[#This Row],[Yield (kg/ha)]]*1.155</f>
        <v>12704.838299999999</v>
      </c>
      <c r="Y110" s="125">
        <f>Table9[[#This Row],[Yield (kg/ha)]]/1000</f>
        <v>10.999859999999998</v>
      </c>
      <c r="Z110" s="125">
        <f>Table9[[#This Row],[Yield (tons/ha)]]*1.15</f>
        <v>12.649838999999997</v>
      </c>
      <c r="AA110" s="125" t="s">
        <v>1061</v>
      </c>
      <c r="AB110" s="125" t="s">
        <v>1062</v>
      </c>
      <c r="AD110" s="128">
        <v>2</v>
      </c>
      <c r="AE110" s="129">
        <v>6</v>
      </c>
      <c r="AF110" s="135">
        <f t="shared" si="10"/>
        <v>12.419902249999998</v>
      </c>
      <c r="AG110" s="129" t="s">
        <v>1056</v>
      </c>
      <c r="AH110" s="163">
        <f t="shared" si="7"/>
        <v>5.0350283721499993</v>
      </c>
      <c r="AI110" s="129" t="s">
        <v>1057</v>
      </c>
      <c r="AJ110" s="174">
        <f t="shared" si="8"/>
        <v>0.14903882699999998</v>
      </c>
    </row>
    <row r="111" spans="1:43">
      <c r="A111" s="113">
        <v>2021</v>
      </c>
      <c r="B111" s="114">
        <v>292</v>
      </c>
      <c r="C111" s="114">
        <v>1</v>
      </c>
      <c r="D111" s="114">
        <v>11</v>
      </c>
      <c r="E111" s="114" t="s">
        <v>804</v>
      </c>
      <c r="F111" s="114">
        <v>7</v>
      </c>
      <c r="G111" s="114">
        <v>7</v>
      </c>
      <c r="H111" s="114">
        <v>1102.5</v>
      </c>
      <c r="I111" s="114">
        <f t="shared" si="4"/>
        <v>1081.8</v>
      </c>
      <c r="J111" s="114">
        <v>88.701999999999998</v>
      </c>
      <c r="K111" s="114">
        <f t="shared" si="5"/>
        <v>63.69</v>
      </c>
      <c r="L111" s="114">
        <v>843.5</v>
      </c>
      <c r="M111" s="114">
        <f t="shared" si="6"/>
        <v>779.81</v>
      </c>
      <c r="N111" s="115"/>
      <c r="P111" s="118">
        <v>3</v>
      </c>
      <c r="Q111" s="118">
        <v>1</v>
      </c>
      <c r="R111" s="186" t="s">
        <v>222</v>
      </c>
      <c r="S111" s="118">
        <f>(I135+I136)/2</f>
        <v>1447</v>
      </c>
      <c r="T111" s="118">
        <f>(M135+M136)/2</f>
        <v>1042.5449999999998</v>
      </c>
      <c r="U111" s="118">
        <f>Table9[[#This Row],[Wet Cob Weight (g) ]]-Table9[[#This Row],[Dried Grain Weight (g) ]]</f>
        <v>404.45500000000015</v>
      </c>
      <c r="V111" s="118">
        <f>(Table9[[#This Row],[Moisture Loss (g) ]]/Table9[[#This Row],[Wet Cob Weight (g) ]])*100</f>
        <v>27.951278507256404</v>
      </c>
      <c r="W111" s="118">
        <f>Table9[[#This Row],[Dried Grain Weight (g) ]]*(10000/1000)</f>
        <v>10425.449999999999</v>
      </c>
      <c r="X111" s="162">
        <f>Table9[[#This Row],[Yield (kg/ha)]]*1.155</f>
        <v>12041.394749999999</v>
      </c>
      <c r="Y111" s="162">
        <f>Table9[[#This Row],[Yield (kg/ha)]]/1000</f>
        <v>10.42545</v>
      </c>
      <c r="Z111" s="162">
        <f>Table9[[#This Row],[Yield (tons/ha)]]*1.15</f>
        <v>11.989267499999999</v>
      </c>
      <c r="AA111" s="162" t="s">
        <v>638</v>
      </c>
      <c r="AB111" s="162" t="s">
        <v>1035</v>
      </c>
      <c r="AD111" s="128">
        <v>2</v>
      </c>
      <c r="AE111" s="129">
        <v>7</v>
      </c>
      <c r="AF111" s="135">
        <f t="shared" si="10"/>
        <v>12.327287</v>
      </c>
      <c r="AG111" s="129" t="s">
        <v>705</v>
      </c>
      <c r="AH111" s="163">
        <f t="shared" si="7"/>
        <v>4.9691293897</v>
      </c>
      <c r="AI111" s="129" t="s">
        <v>1058</v>
      </c>
      <c r="AJ111" s="174">
        <f t="shared" si="8"/>
        <v>0.14422925789999999</v>
      </c>
      <c r="AM111" s="77" t="s">
        <v>921</v>
      </c>
      <c r="AN111" s="77" t="s">
        <v>1063</v>
      </c>
      <c r="AO111" s="77" t="s">
        <v>586</v>
      </c>
      <c r="AP111" s="77" t="s">
        <v>1064</v>
      </c>
      <c r="AQ111" s="77" t="s">
        <v>586</v>
      </c>
    </row>
    <row r="112" spans="1:43">
      <c r="A112" s="113">
        <v>2021</v>
      </c>
      <c r="B112" s="114">
        <v>292</v>
      </c>
      <c r="C112" s="114">
        <v>1</v>
      </c>
      <c r="D112" s="114">
        <v>12</v>
      </c>
      <c r="E112" s="114" t="s">
        <v>804</v>
      </c>
      <c r="F112" s="114">
        <v>6</v>
      </c>
      <c r="G112" s="114">
        <v>6</v>
      </c>
      <c r="H112" s="114">
        <v>1134.0999999999999</v>
      </c>
      <c r="I112" s="116">
        <f t="shared" si="4"/>
        <v>1113.3999999999999</v>
      </c>
      <c r="J112" s="114">
        <v>96.387</v>
      </c>
      <c r="K112" s="114">
        <f t="shared" si="5"/>
        <v>71.375</v>
      </c>
      <c r="L112" s="114">
        <v>887.3</v>
      </c>
      <c r="M112" s="114">
        <f t="shared" si="6"/>
        <v>815.92499999999995</v>
      </c>
      <c r="N112" s="115"/>
      <c r="P112" s="118">
        <v>3</v>
      </c>
      <c r="Q112" s="118">
        <v>2</v>
      </c>
      <c r="R112" s="186" t="s">
        <v>224</v>
      </c>
      <c r="S112" s="118">
        <f>(I137+I138)/2</f>
        <v>1451.9</v>
      </c>
      <c r="T112" s="118">
        <f>(M137+M138)/2</f>
        <v>1032.0070000000001</v>
      </c>
      <c r="U112" s="118">
        <f>Table9[[#This Row],[Wet Cob Weight (g) ]]-Table9[[#This Row],[Dried Grain Weight (g) ]]</f>
        <v>419.89300000000003</v>
      </c>
      <c r="V112" s="118">
        <f>(Table9[[#This Row],[Moisture Loss (g) ]]/Table9[[#This Row],[Wet Cob Weight (g) ]])*100</f>
        <v>28.920242440939457</v>
      </c>
      <c r="W112" s="118">
        <f>Table9[[#This Row],[Dried Grain Weight (g) ]]*(10000/1000)</f>
        <v>10320.07</v>
      </c>
      <c r="X112" s="162">
        <f>Table9[[#This Row],[Yield (kg/ha)]]*1.155</f>
        <v>11919.680850000001</v>
      </c>
      <c r="Y112" s="162">
        <f>Table9[[#This Row],[Yield (kg/ha)]]/1000</f>
        <v>10.320069999999999</v>
      </c>
      <c r="Z112" s="162">
        <f>Table9[[#This Row],[Yield (tons/ha)]]*1.15</f>
        <v>11.868080499999998</v>
      </c>
      <c r="AA112" s="162" t="s">
        <v>1065</v>
      </c>
      <c r="AB112" s="162" t="s">
        <v>1032</v>
      </c>
      <c r="AD112" s="128">
        <v>2</v>
      </c>
      <c r="AE112" s="129">
        <v>8</v>
      </c>
      <c r="AF112" s="135">
        <f t="shared" si="10"/>
        <v>12.87787825</v>
      </c>
      <c r="AG112" s="129" t="s">
        <v>1059</v>
      </c>
      <c r="AH112" s="163">
        <f t="shared" si="7"/>
        <v>5.1781948443250005</v>
      </c>
      <c r="AI112" s="129" t="s">
        <v>1060</v>
      </c>
      <c r="AJ112" s="174">
        <f t="shared" si="8"/>
        <v>0.14423223640000002</v>
      </c>
      <c r="AM112" s="74" t="s">
        <v>675</v>
      </c>
      <c r="AN112" s="74">
        <f>AVERAGE(AH93:AH101)</f>
        <v>5.1058083420105556</v>
      </c>
      <c r="AO112" s="74">
        <f>STDEV(AH93:AH101)</f>
        <v>0.31676384417278636</v>
      </c>
      <c r="AP112" s="152">
        <f>AVERAGE(AH102:AH104)</f>
        <v>4.2549810652</v>
      </c>
      <c r="AQ112" s="152">
        <f>STDEV(AH102:AH104)</f>
        <v>0.88368897155816994</v>
      </c>
    </row>
    <row r="113" spans="1:43">
      <c r="A113" s="113">
        <v>2021</v>
      </c>
      <c r="B113" s="114">
        <v>292</v>
      </c>
      <c r="C113" s="114">
        <v>1</v>
      </c>
      <c r="D113" s="114">
        <v>13</v>
      </c>
      <c r="E113" s="117" t="s">
        <v>804</v>
      </c>
      <c r="F113" s="114">
        <v>8</v>
      </c>
      <c r="G113" s="114">
        <v>8</v>
      </c>
      <c r="H113" s="114">
        <v>1543.7</v>
      </c>
      <c r="I113" s="116">
        <f t="shared" si="4"/>
        <v>1523</v>
      </c>
      <c r="J113" s="114">
        <v>126.08799999999999</v>
      </c>
      <c r="K113" s="114">
        <f t="shared" si="5"/>
        <v>101.07599999999999</v>
      </c>
      <c r="L113" s="114">
        <v>1201.8</v>
      </c>
      <c r="M113" s="114">
        <f t="shared" si="6"/>
        <v>1100.7239999999999</v>
      </c>
      <c r="N113" s="115"/>
      <c r="P113" s="118">
        <v>3</v>
      </c>
      <c r="Q113" s="118">
        <v>3</v>
      </c>
      <c r="R113" s="186" t="s">
        <v>226</v>
      </c>
      <c r="S113" s="118">
        <f>(I139+I140)/2</f>
        <v>1679.6</v>
      </c>
      <c r="T113" s="118">
        <f>(M139+M140)/2</f>
        <v>1164.4514999999999</v>
      </c>
      <c r="U113" s="118">
        <f>Table9[[#This Row],[Wet Cob Weight (g) ]]-Table9[[#This Row],[Dried Grain Weight (g) ]]</f>
        <v>515.14850000000001</v>
      </c>
      <c r="V113" s="118">
        <f>(Table9[[#This Row],[Moisture Loss (g) ]]/Table9[[#This Row],[Wet Cob Weight (g) ]])*100</f>
        <v>30.67090378661586</v>
      </c>
      <c r="W113" s="118">
        <f>Table9[[#This Row],[Dried Grain Weight (g) ]]*(10000/1000)</f>
        <v>11644.514999999999</v>
      </c>
      <c r="X113" s="162">
        <f>Table9[[#This Row],[Yield (kg/ha)]]*1.155</f>
        <v>13449.414825</v>
      </c>
      <c r="Y113" s="162">
        <f>Table9[[#This Row],[Yield (kg/ha)]]/1000</f>
        <v>11.644515</v>
      </c>
      <c r="Z113" s="162">
        <f>Table9[[#This Row],[Yield (tons/ha)]]*1.15</f>
        <v>13.39119225</v>
      </c>
      <c r="AA113" s="162" t="s">
        <v>1061</v>
      </c>
      <c r="AB113" s="162" t="s">
        <v>1066</v>
      </c>
      <c r="AD113" s="128">
        <v>2</v>
      </c>
      <c r="AE113" s="129">
        <v>9</v>
      </c>
      <c r="AF113" s="135">
        <f t="shared" si="10"/>
        <v>12.649838999999997</v>
      </c>
      <c r="AG113" s="129" t="s">
        <v>1061</v>
      </c>
      <c r="AH113" s="163">
        <f t="shared" si="7"/>
        <v>5.1408945695999986</v>
      </c>
      <c r="AI113" s="129" t="s">
        <v>1062</v>
      </c>
      <c r="AJ113" s="174">
        <f t="shared" si="8"/>
        <v>0.15685800359999996</v>
      </c>
      <c r="AM113" s="118" t="s">
        <v>676</v>
      </c>
      <c r="AN113" s="118">
        <f>AVERAGE(AH105:AH113)</f>
        <v>5.108929881130555</v>
      </c>
      <c r="AO113" s="118">
        <f>STDEV(AH105:AH113)</f>
        <v>0.15662527575198848</v>
      </c>
      <c r="AP113" s="159">
        <f>AVERAGE(AH114:AH116)</f>
        <v>3.6829371168666669</v>
      </c>
      <c r="AQ113" s="159">
        <f>STDEV(AH114:AH116)</f>
        <v>0.68325799050084446</v>
      </c>
    </row>
    <row r="114" spans="1:43">
      <c r="A114" s="69">
        <v>2021</v>
      </c>
      <c r="B114" s="70">
        <v>293</v>
      </c>
      <c r="C114" s="70">
        <v>2</v>
      </c>
      <c r="D114" s="70">
        <v>1</v>
      </c>
      <c r="E114" s="71" t="s">
        <v>804</v>
      </c>
      <c r="F114" s="70">
        <v>7</v>
      </c>
      <c r="G114" s="70">
        <v>7</v>
      </c>
      <c r="H114" s="70">
        <v>1499.1</v>
      </c>
      <c r="I114" s="97">
        <f t="shared" si="4"/>
        <v>1478.3999999999999</v>
      </c>
      <c r="J114" s="70">
        <v>120.741</v>
      </c>
      <c r="K114" s="70">
        <f t="shared" si="5"/>
        <v>95.728999999999999</v>
      </c>
      <c r="L114" s="70">
        <v>1168.3</v>
      </c>
      <c r="M114" s="70">
        <f t="shared" si="6"/>
        <v>1072.5709999999999</v>
      </c>
      <c r="N114" s="72"/>
      <c r="P114" s="118">
        <v>3</v>
      </c>
      <c r="Q114" s="118">
        <v>4</v>
      </c>
      <c r="R114" s="186" t="s">
        <v>228</v>
      </c>
      <c r="S114" s="118">
        <f>(I141+I142)/2</f>
        <v>1512.45</v>
      </c>
      <c r="T114" s="118">
        <f>(M141+M142)/2</f>
        <v>1035.5315000000001</v>
      </c>
      <c r="U114" s="118">
        <f>Table9[[#This Row],[Wet Cob Weight (g) ]]-Table9[[#This Row],[Dried Grain Weight (g) ]]</f>
        <v>476.91849999999999</v>
      </c>
      <c r="V114" s="118">
        <f>(Table9[[#This Row],[Moisture Loss (g) ]]/Table9[[#This Row],[Wet Cob Weight (g) ]])*100</f>
        <v>31.532844060960691</v>
      </c>
      <c r="W114" s="118">
        <f>Table9[[#This Row],[Dried Grain Weight (g) ]]*(10000/1000)</f>
        <v>10355.315000000001</v>
      </c>
      <c r="X114" s="162">
        <f>Table9[[#This Row],[Yield (kg/ha)]]*1.155</f>
        <v>11960.388825</v>
      </c>
      <c r="Y114" s="162">
        <f>Table9[[#This Row],[Yield (kg/ha)]]/1000</f>
        <v>10.355315000000001</v>
      </c>
      <c r="Z114" s="162">
        <f>Table9[[#This Row],[Yield (tons/ha)]]*1.15</f>
        <v>11.908612250000001</v>
      </c>
      <c r="AA114" s="162" t="s">
        <v>1067</v>
      </c>
      <c r="AB114" s="162" t="s">
        <v>1032</v>
      </c>
      <c r="AD114" s="130">
        <v>2</v>
      </c>
      <c r="AE114" s="131">
        <v>11</v>
      </c>
      <c r="AF114" s="131">
        <f>Z135</f>
        <v>9.8231044999999977</v>
      </c>
      <c r="AG114" s="131" t="s">
        <v>1068</v>
      </c>
      <c r="AH114" s="115">
        <f t="shared" si="7"/>
        <v>3.9449587671999988</v>
      </c>
      <c r="AI114" s="114" t="s">
        <v>1069</v>
      </c>
      <c r="AJ114" s="179">
        <f t="shared" si="8"/>
        <v>9.4301803199999965E-2</v>
      </c>
      <c r="AM114" s="74" t="s">
        <v>677</v>
      </c>
      <c r="AN114" s="74">
        <f>AVERAGE(AH117:AH125)</f>
        <v>4.8898360072666653</v>
      </c>
      <c r="AO114" s="74">
        <f>STDEV(AH117:AH125)</f>
        <v>0.26086780553213562</v>
      </c>
      <c r="AP114" s="152">
        <f>AVERAGE(AH126:AH128)</f>
        <v>2.4050856353333332</v>
      </c>
      <c r="AQ114" s="152">
        <f>STDEV(AH126:AH128)</f>
        <v>0.18014169822583506</v>
      </c>
    </row>
    <row r="115" spans="1:43">
      <c r="A115" s="69">
        <v>2021</v>
      </c>
      <c r="B115" s="70">
        <v>293</v>
      </c>
      <c r="C115" s="70">
        <v>2</v>
      </c>
      <c r="D115" s="70">
        <v>1</v>
      </c>
      <c r="E115" s="70" t="s">
        <v>807</v>
      </c>
      <c r="F115" s="70">
        <v>7</v>
      </c>
      <c r="G115" s="70">
        <v>7</v>
      </c>
      <c r="H115" s="70">
        <v>1535.3</v>
      </c>
      <c r="I115" s="70">
        <f t="shared" si="4"/>
        <v>1514.6</v>
      </c>
      <c r="J115" s="70">
        <v>129.37799999999999</v>
      </c>
      <c r="K115" s="70">
        <f t="shared" si="5"/>
        <v>104.36599999999999</v>
      </c>
      <c r="L115" s="70">
        <v>1191.0999999999999</v>
      </c>
      <c r="M115" s="70">
        <f t="shared" si="6"/>
        <v>1086.7339999999999</v>
      </c>
      <c r="N115" s="72"/>
      <c r="P115" s="118">
        <v>3</v>
      </c>
      <c r="Q115" s="118">
        <v>5</v>
      </c>
      <c r="R115" s="186" t="s">
        <v>230</v>
      </c>
      <c r="S115" s="118">
        <f>(I143+I144)/2</f>
        <v>1482.2</v>
      </c>
      <c r="T115" s="118">
        <f>(M143+M144)/2</f>
        <v>946.48699999999997</v>
      </c>
      <c r="U115" s="118">
        <f>Table9[[#This Row],[Wet Cob Weight (g) ]]-Table9[[#This Row],[Dried Grain Weight (g) ]]</f>
        <v>535.71300000000008</v>
      </c>
      <c r="V115" s="118">
        <f>(Table9[[#This Row],[Moisture Loss (g) ]]/Table9[[#This Row],[Wet Cob Weight (g) ]])*100</f>
        <v>36.143098097422751</v>
      </c>
      <c r="W115" s="118">
        <f>Table9[[#This Row],[Dried Grain Weight (g) ]]*(10000/1000)</f>
        <v>9464.869999999999</v>
      </c>
      <c r="X115" s="162">
        <f>Table9[[#This Row],[Yield (kg/ha)]]*1.155</f>
        <v>10931.924849999999</v>
      </c>
      <c r="Y115" s="162">
        <f>Table9[[#This Row],[Yield (kg/ha)]]/1000</f>
        <v>9.4648699999999995</v>
      </c>
      <c r="Z115" s="162">
        <f>Table9[[#This Row],[Yield (tons/ha)]]*1.15</f>
        <v>10.884600499999998</v>
      </c>
      <c r="AA115" s="162" t="s">
        <v>1070</v>
      </c>
      <c r="AB115" s="162" t="s">
        <v>1029</v>
      </c>
      <c r="AD115" s="130">
        <v>2</v>
      </c>
      <c r="AE115" s="131">
        <v>12</v>
      </c>
      <c r="AF115" s="131">
        <f t="shared" ref="AF115:AF116" si="11">Z136</f>
        <v>10.4206675</v>
      </c>
      <c r="AG115" s="131" t="s">
        <v>1071</v>
      </c>
      <c r="AH115" s="115">
        <f t="shared" si="7"/>
        <v>4.1964028022500006</v>
      </c>
      <c r="AI115" s="114" t="s">
        <v>1072</v>
      </c>
      <c r="AJ115" s="179">
        <f t="shared" si="8"/>
        <v>0.10629080850000001</v>
      </c>
      <c r="AM115" s="118" t="s">
        <v>678</v>
      </c>
      <c r="AN115" s="118">
        <f>AVERAGE(AH129:AH137)</f>
        <v>5.1820500050416669</v>
      </c>
      <c r="AO115" s="118">
        <f>STDEV(AH129:AH137)</f>
        <v>0.54073166903693581</v>
      </c>
      <c r="AP115" s="159">
        <f>AVERAGE(AH138:AH140)</f>
        <v>3.6725372551666666</v>
      </c>
      <c r="AQ115" s="159">
        <f>STDEV(AH138:AH140)</f>
        <v>1.5624799757194676</v>
      </c>
    </row>
    <row r="116" spans="1:43">
      <c r="A116" s="69">
        <v>2021</v>
      </c>
      <c r="B116" s="70">
        <v>293</v>
      </c>
      <c r="C116" s="70">
        <v>2</v>
      </c>
      <c r="D116" s="70">
        <v>2</v>
      </c>
      <c r="E116" s="70" t="s">
        <v>804</v>
      </c>
      <c r="F116" s="70">
        <v>7</v>
      </c>
      <c r="G116" s="70">
        <v>7</v>
      </c>
      <c r="H116" s="70">
        <v>1555.5</v>
      </c>
      <c r="I116" s="97">
        <f t="shared" si="4"/>
        <v>1534.8</v>
      </c>
      <c r="J116" s="70">
        <v>135.99</v>
      </c>
      <c r="K116" s="70">
        <f t="shared" si="5"/>
        <v>110.97800000000001</v>
      </c>
      <c r="L116" s="70">
        <v>1221.9000000000001</v>
      </c>
      <c r="M116" s="70">
        <f t="shared" si="6"/>
        <v>1110.922</v>
      </c>
      <c r="N116" s="72"/>
      <c r="P116" s="118">
        <v>3</v>
      </c>
      <c r="Q116" s="118">
        <v>6</v>
      </c>
      <c r="R116" s="186" t="s">
        <v>232</v>
      </c>
      <c r="S116" s="118">
        <f>(I145+I146)/2</f>
        <v>1479.05</v>
      </c>
      <c r="T116" s="118">
        <f>(M145+M146)/2</f>
        <v>1034.768</v>
      </c>
      <c r="U116" s="118">
        <f>Table9[[#This Row],[Wet Cob Weight (g) ]]-Table9[[#This Row],[Dried Grain Weight (g) ]]</f>
        <v>444.28199999999993</v>
      </c>
      <c r="V116" s="118">
        <f>(Table9[[#This Row],[Moisture Loss (g) ]]/Table9[[#This Row],[Wet Cob Weight (g) ]])*100</f>
        <v>30.038335418004795</v>
      </c>
      <c r="W116" s="118">
        <f>Table9[[#This Row],[Dried Grain Weight (g) ]]*(10000/1000)</f>
        <v>10347.68</v>
      </c>
      <c r="X116" s="162">
        <f>Table9[[#This Row],[Yield (kg/ha)]]*1.155</f>
        <v>11951.570400000001</v>
      </c>
      <c r="Y116" s="162">
        <f>Table9[[#This Row],[Yield (kg/ha)]]/1000</f>
        <v>10.34768</v>
      </c>
      <c r="Z116" s="162">
        <f>Table9[[#This Row],[Yield (tons/ha)]]*1.15</f>
        <v>11.899832</v>
      </c>
      <c r="AA116" s="162" t="s">
        <v>1073</v>
      </c>
      <c r="AB116" s="162" t="s">
        <v>1074</v>
      </c>
      <c r="AD116" s="130">
        <v>2</v>
      </c>
      <c r="AE116" s="131">
        <v>13</v>
      </c>
      <c r="AF116" s="131">
        <f t="shared" si="11"/>
        <v>7.1418565000000003</v>
      </c>
      <c r="AG116" s="131" t="s">
        <v>1075</v>
      </c>
      <c r="AH116" s="115">
        <f t="shared" si="7"/>
        <v>2.9074497811500004</v>
      </c>
      <c r="AI116" s="114" t="s">
        <v>1029</v>
      </c>
      <c r="AJ116" s="179">
        <f t="shared" si="8"/>
        <v>8.1417164099999995E-2</v>
      </c>
    </row>
    <row r="117" spans="1:43">
      <c r="A117" s="69">
        <v>2021</v>
      </c>
      <c r="B117" s="70">
        <v>293</v>
      </c>
      <c r="C117" s="70">
        <v>2</v>
      </c>
      <c r="D117" s="70">
        <v>2</v>
      </c>
      <c r="E117" s="70" t="s">
        <v>807</v>
      </c>
      <c r="F117" s="70">
        <v>7</v>
      </c>
      <c r="G117" s="70">
        <v>7</v>
      </c>
      <c r="H117" s="70">
        <v>1642.3</v>
      </c>
      <c r="I117" s="97">
        <f t="shared" si="4"/>
        <v>1621.6</v>
      </c>
      <c r="J117" s="70">
        <v>147.90299999999999</v>
      </c>
      <c r="K117" s="70">
        <f t="shared" si="5"/>
        <v>122.89099999999999</v>
      </c>
      <c r="L117" s="70">
        <v>1294.5</v>
      </c>
      <c r="M117" s="70">
        <f t="shared" si="6"/>
        <v>1171.6089999999999</v>
      </c>
      <c r="N117" s="72"/>
      <c r="P117" s="118">
        <v>3</v>
      </c>
      <c r="Q117" s="118">
        <v>7</v>
      </c>
      <c r="R117" s="186" t="s">
        <v>234</v>
      </c>
      <c r="S117" s="118">
        <f>(I147+I148)/2</f>
        <v>1534.75</v>
      </c>
      <c r="T117" s="118">
        <f>(M147+M148)/2</f>
        <v>1049.5345</v>
      </c>
      <c r="U117" s="118">
        <f>Table9[[#This Row],[Wet Cob Weight (g) ]]-Table9[[#This Row],[Dried Grain Weight (g) ]]</f>
        <v>485.21550000000002</v>
      </c>
      <c r="V117" s="118">
        <f>(Table9[[#This Row],[Moisture Loss (g) ]]/Table9[[#This Row],[Wet Cob Weight (g) ]])*100</f>
        <v>31.615279361459525</v>
      </c>
      <c r="W117" s="118">
        <f>Table9[[#This Row],[Dried Grain Weight (g) ]]*(10000/1000)</f>
        <v>10495.344999999999</v>
      </c>
      <c r="X117" s="162">
        <f>Table9[[#This Row],[Yield (kg/ha)]]*1.155</f>
        <v>12122.123475</v>
      </c>
      <c r="Y117" s="162">
        <f>Table9[[#This Row],[Yield (kg/ha)]]/1000</f>
        <v>10.495344999999999</v>
      </c>
      <c r="Z117" s="162">
        <f>Table9[[#This Row],[Yield (tons/ha)]]*1.15</f>
        <v>12.069646749999997</v>
      </c>
      <c r="AA117" s="162" t="s">
        <v>1076</v>
      </c>
      <c r="AB117" s="162" t="s">
        <v>1066</v>
      </c>
      <c r="AD117" s="128">
        <v>3</v>
      </c>
      <c r="AE117" s="129">
        <v>1</v>
      </c>
      <c r="AF117" s="135">
        <f>Z111</f>
        <v>11.989267499999999</v>
      </c>
      <c r="AG117" s="129" t="s">
        <v>638</v>
      </c>
      <c r="AH117" s="163">
        <f t="shared" si="7"/>
        <v>4.8568522642499987</v>
      </c>
      <c r="AI117" s="129" t="s">
        <v>1035</v>
      </c>
      <c r="AJ117" s="174">
        <f t="shared" si="8"/>
        <v>0.13787657624999999</v>
      </c>
    </row>
    <row r="118" spans="1:43">
      <c r="A118" s="69">
        <v>2021</v>
      </c>
      <c r="B118" s="70">
        <v>293</v>
      </c>
      <c r="C118" s="70">
        <v>2</v>
      </c>
      <c r="D118" s="70">
        <v>3</v>
      </c>
      <c r="E118" s="71" t="s">
        <v>804</v>
      </c>
      <c r="F118" s="70">
        <v>7</v>
      </c>
      <c r="G118" s="70">
        <v>7</v>
      </c>
      <c r="H118" s="70">
        <v>1594.7</v>
      </c>
      <c r="I118" s="70">
        <f t="shared" si="4"/>
        <v>1574</v>
      </c>
      <c r="J118" s="70">
        <v>138.52000000000001</v>
      </c>
      <c r="K118" s="70">
        <f t="shared" si="5"/>
        <v>113.50800000000001</v>
      </c>
      <c r="L118" s="70">
        <v>1252.9000000000001</v>
      </c>
      <c r="M118" s="70">
        <f t="shared" si="6"/>
        <v>1139.3920000000001</v>
      </c>
      <c r="N118" s="72"/>
      <c r="P118" s="118">
        <v>3</v>
      </c>
      <c r="Q118" s="118">
        <v>8</v>
      </c>
      <c r="R118" s="186" t="s">
        <v>236</v>
      </c>
      <c r="S118" s="118">
        <f>(I149+I150)/2</f>
        <v>1537.6</v>
      </c>
      <c r="T118" s="118">
        <f>(M149+M150)/2</f>
        <v>1046.2275</v>
      </c>
      <c r="U118" s="118">
        <f>Table9[[#This Row],[Wet Cob Weight (g) ]]-Table9[[#This Row],[Dried Grain Weight (g) ]]</f>
        <v>491.37249999999995</v>
      </c>
      <c r="V118" s="118">
        <f>(Table9[[#This Row],[Moisture Loss (g) ]]/Table9[[#This Row],[Wet Cob Weight (g) ]])*100</f>
        <v>31.95710848074922</v>
      </c>
      <c r="W118" s="118">
        <f>Table9[[#This Row],[Dried Grain Weight (g) ]]*(10000/1000)</f>
        <v>10462.275</v>
      </c>
      <c r="X118" s="162">
        <f>Table9[[#This Row],[Yield (kg/ha)]]*1.155</f>
        <v>12083.927625</v>
      </c>
      <c r="Y118" s="162">
        <f>Table9[[#This Row],[Yield (kg/ha)]]/1000</f>
        <v>10.462275</v>
      </c>
      <c r="Z118" s="162">
        <f>Table9[[#This Row],[Yield (tons/ha)]]*1.15</f>
        <v>12.031616249999999</v>
      </c>
      <c r="AA118" s="162" t="s">
        <v>1077</v>
      </c>
      <c r="AB118" s="162" t="s">
        <v>1038</v>
      </c>
      <c r="AD118" s="128">
        <v>3</v>
      </c>
      <c r="AE118" s="129">
        <v>2</v>
      </c>
      <c r="AF118" s="135">
        <f t="shared" ref="AF118:AF125" si="12">Z112</f>
        <v>11.868080499999998</v>
      </c>
      <c r="AG118" s="129" t="s">
        <v>1065</v>
      </c>
      <c r="AH118" s="163">
        <f t="shared" si="7"/>
        <v>4.812506642749999</v>
      </c>
      <c r="AI118" s="129" t="s">
        <v>1032</v>
      </c>
      <c r="AJ118" s="174">
        <f t="shared" si="8"/>
        <v>0.14360377404999997</v>
      </c>
      <c r="AM118" s="77" t="s">
        <v>921</v>
      </c>
      <c r="AN118" s="77" t="s">
        <v>1078</v>
      </c>
      <c r="AO118" s="77" t="s">
        <v>586</v>
      </c>
      <c r="AP118" s="77" t="s">
        <v>1079</v>
      </c>
      <c r="AQ118" s="77" t="s">
        <v>586</v>
      </c>
    </row>
    <row r="119" spans="1:43">
      <c r="A119" s="69">
        <v>2021</v>
      </c>
      <c r="B119" s="70">
        <v>293</v>
      </c>
      <c r="C119" s="70">
        <v>2</v>
      </c>
      <c r="D119" s="70">
        <v>3</v>
      </c>
      <c r="E119" s="70" t="s">
        <v>807</v>
      </c>
      <c r="F119" s="70">
        <v>8</v>
      </c>
      <c r="G119" s="70">
        <v>8</v>
      </c>
      <c r="H119" s="70">
        <v>1493.6</v>
      </c>
      <c r="I119" s="96">
        <f t="shared" si="4"/>
        <v>1472.8999999999999</v>
      </c>
      <c r="J119" s="70">
        <v>121.66200000000001</v>
      </c>
      <c r="K119" s="70">
        <f t="shared" si="5"/>
        <v>96.65</v>
      </c>
      <c r="L119" s="70">
        <v>1168.9000000000001</v>
      </c>
      <c r="M119" s="70">
        <f t="shared" si="6"/>
        <v>1072.25</v>
      </c>
      <c r="N119" s="72"/>
      <c r="P119" s="118">
        <v>3</v>
      </c>
      <c r="Q119" s="118">
        <v>9</v>
      </c>
      <c r="R119" s="186" t="s">
        <v>238</v>
      </c>
      <c r="S119" s="118">
        <f>(I151+I152)/2</f>
        <v>1631.25</v>
      </c>
      <c r="T119" s="118">
        <f>(M151+M152)/2</f>
        <v>1051.8364999999999</v>
      </c>
      <c r="U119" s="118">
        <f>Table9[[#This Row],[Wet Cob Weight (g) ]]-Table9[[#This Row],[Dried Grain Weight (g) ]]</f>
        <v>579.41350000000011</v>
      </c>
      <c r="V119" s="118">
        <f>(Table9[[#This Row],[Moisture Loss (g) ]]/Table9[[#This Row],[Wet Cob Weight (g) ]])*100</f>
        <v>35.519601532567059</v>
      </c>
      <c r="W119" s="118">
        <f>Table9[[#This Row],[Dried Grain Weight (g) ]]*(10000/1000)</f>
        <v>10518.364999999998</v>
      </c>
      <c r="X119" s="162">
        <f>Table9[[#This Row],[Yield (kg/ha)]]*1.155</f>
        <v>12148.711574999998</v>
      </c>
      <c r="Y119" s="162">
        <f>Table9[[#This Row],[Yield (kg/ha)]]/1000</f>
        <v>10.518364999999998</v>
      </c>
      <c r="Z119" s="162">
        <f>Table9[[#This Row],[Yield (tons/ha)]]*1.15</f>
        <v>12.096119749999996</v>
      </c>
      <c r="AA119" s="162" t="s">
        <v>766</v>
      </c>
      <c r="AB119" s="162" t="s">
        <v>1043</v>
      </c>
      <c r="AD119" s="128">
        <v>3</v>
      </c>
      <c r="AE119" s="129">
        <v>3</v>
      </c>
      <c r="AF119" s="135">
        <f t="shared" si="12"/>
        <v>13.39119225</v>
      </c>
      <c r="AG119" s="129" t="s">
        <v>1061</v>
      </c>
      <c r="AH119" s="163">
        <f t="shared" si="7"/>
        <v>5.4421805303999999</v>
      </c>
      <c r="AI119" s="129" t="s">
        <v>1066</v>
      </c>
      <c r="AJ119" s="174">
        <f t="shared" si="8"/>
        <v>0.15132047242499999</v>
      </c>
      <c r="AM119" s="74" t="s">
        <v>675</v>
      </c>
      <c r="AN119" s="74">
        <f>AVERAGE(AJ93:AJ101)</f>
        <v>0.15275828037388889</v>
      </c>
      <c r="AO119" s="152">
        <f>STDEV(AJ93:AJ101)</f>
        <v>9.4561410842755218E-3</v>
      </c>
      <c r="AP119" s="152">
        <f>AVERAGE(AJ102:AJ104)</f>
        <v>0.11419405249999999</v>
      </c>
      <c r="AQ119" s="152">
        <f>STDEV(AJ102:AJ104)</f>
        <v>3.3806077241374168E-2</v>
      </c>
    </row>
    <row r="120" spans="1:43">
      <c r="A120" s="69">
        <v>2021</v>
      </c>
      <c r="B120" s="70">
        <v>293</v>
      </c>
      <c r="C120" s="70">
        <v>2</v>
      </c>
      <c r="D120" s="70">
        <v>4</v>
      </c>
      <c r="E120" s="70" t="s">
        <v>804</v>
      </c>
      <c r="F120" s="70">
        <v>7</v>
      </c>
      <c r="G120" s="70">
        <v>7</v>
      </c>
      <c r="H120" s="70">
        <v>1530.5</v>
      </c>
      <c r="I120" s="70">
        <f t="shared" si="4"/>
        <v>1509.8</v>
      </c>
      <c r="J120" s="70">
        <v>134.16200000000001</v>
      </c>
      <c r="K120" s="70">
        <f t="shared" si="5"/>
        <v>109.15</v>
      </c>
      <c r="L120" s="70">
        <v>1255.5999999999999</v>
      </c>
      <c r="M120" s="70">
        <f t="shared" si="6"/>
        <v>1146.4499999999998</v>
      </c>
      <c r="N120" s="72"/>
      <c r="P120" s="74">
        <v>4</v>
      </c>
      <c r="Q120" s="74">
        <v>1</v>
      </c>
      <c r="R120" s="93" t="s">
        <v>249</v>
      </c>
      <c r="S120" s="74">
        <f>(I156+I157)/2</f>
        <v>1353.35</v>
      </c>
      <c r="T120" s="74">
        <f>(M156+M157)/2</f>
        <v>881.04650000000004</v>
      </c>
      <c r="U120" s="74">
        <f>Table9[[#This Row],[Wet Cob Weight (g) ]]-Table9[[#This Row],[Dried Grain Weight (g) ]]</f>
        <v>472.30349999999987</v>
      </c>
      <c r="V120" s="74">
        <f>(Table9[[#This Row],[Moisture Loss (g) ]]/Table9[[#This Row],[Wet Cob Weight (g) ]])*100</f>
        <v>34.898843610300354</v>
      </c>
      <c r="W120" s="74">
        <f>Table9[[#This Row],[Dried Grain Weight (g) ]]*(10000/1000)</f>
        <v>8810.4650000000001</v>
      </c>
      <c r="X120" s="125">
        <f>Table9[[#This Row],[Yield (kg/ha)]]*1.155</f>
        <v>10176.087075000001</v>
      </c>
      <c r="Y120" s="125">
        <f>Table9[[#This Row],[Yield (kg/ha)]]/1000</f>
        <v>8.8104650000000007</v>
      </c>
      <c r="Z120" s="125">
        <f>Table9[[#This Row],[Yield (tons/ha)]]*1.15</f>
        <v>10.132034750000001</v>
      </c>
      <c r="AA120" s="125" t="s">
        <v>1061</v>
      </c>
      <c r="AB120" s="125" t="s">
        <v>1066</v>
      </c>
      <c r="AD120" s="128">
        <v>3</v>
      </c>
      <c r="AE120" s="129">
        <v>4</v>
      </c>
      <c r="AF120" s="135">
        <f t="shared" si="12"/>
        <v>11.908612250000001</v>
      </c>
      <c r="AG120" s="129" t="s">
        <v>1067</v>
      </c>
      <c r="AH120" s="163">
        <f t="shared" si="7"/>
        <v>4.8670498265750002</v>
      </c>
      <c r="AI120" s="129" t="s">
        <v>1032</v>
      </c>
      <c r="AJ120" s="174">
        <f t="shared" si="8"/>
        <v>0.14409420822500002</v>
      </c>
      <c r="AM120" s="118" t="s">
        <v>676</v>
      </c>
      <c r="AN120" s="118">
        <f>AVERAGE(AJ105:AJ113)</f>
        <v>0.15724331007777778</v>
      </c>
      <c r="AO120" s="159">
        <f>STDEV(AJ105:AJ113)</f>
        <v>1.8414092793398458E-2</v>
      </c>
      <c r="AP120" s="159">
        <f>AVERAGE(AJ114:AJ116)</f>
        <v>9.4003258599999986E-2</v>
      </c>
      <c r="AQ120" s="159">
        <f>STDEV(AJ114:AJ116)</f>
        <v>1.2439509359016316E-2</v>
      </c>
    </row>
    <row r="121" spans="1:43">
      <c r="A121" s="69">
        <v>2021</v>
      </c>
      <c r="B121" s="70">
        <v>293</v>
      </c>
      <c r="C121" s="70">
        <v>2</v>
      </c>
      <c r="D121" s="70">
        <v>4</v>
      </c>
      <c r="E121" s="70" t="s">
        <v>807</v>
      </c>
      <c r="F121" s="70">
        <v>7</v>
      </c>
      <c r="G121" s="70">
        <v>7</v>
      </c>
      <c r="H121" s="70">
        <v>1586.7</v>
      </c>
      <c r="I121" s="70">
        <f t="shared" si="4"/>
        <v>1566</v>
      </c>
      <c r="J121" s="70">
        <v>128.49</v>
      </c>
      <c r="K121" s="70">
        <f t="shared" si="5"/>
        <v>103.47800000000001</v>
      </c>
      <c r="L121" s="70">
        <v>1193.8</v>
      </c>
      <c r="M121" s="70">
        <f t="shared" si="6"/>
        <v>1090.3219999999999</v>
      </c>
      <c r="N121" s="72"/>
      <c r="P121" s="74">
        <v>4</v>
      </c>
      <c r="Q121" s="74">
        <v>2</v>
      </c>
      <c r="R121" s="93" t="s">
        <v>251</v>
      </c>
      <c r="S121" s="74">
        <f>(I158+I159)/2</f>
        <v>1686.6999999999998</v>
      </c>
      <c r="T121" s="74">
        <f>(M158+M159)/2</f>
        <v>1151.2660000000001</v>
      </c>
      <c r="U121" s="74">
        <f>Table9[[#This Row],[Wet Cob Weight (g) ]]-Table9[[#This Row],[Dried Grain Weight (g) ]]</f>
        <v>535.43399999999974</v>
      </c>
      <c r="V121" s="74">
        <f>(Table9[[#This Row],[Moisture Loss (g) ]]/Table9[[#This Row],[Wet Cob Weight (g) ]])*100</f>
        <v>31.744471453133329</v>
      </c>
      <c r="W121" s="74">
        <f>Table9[[#This Row],[Dried Grain Weight (g) ]]*(10000/1000)</f>
        <v>11512.66</v>
      </c>
      <c r="X121" s="125">
        <f>Table9[[#This Row],[Yield (kg/ha)]]*1.155</f>
        <v>13297.122300000001</v>
      </c>
      <c r="Y121" s="125">
        <f>Table9[[#This Row],[Yield (kg/ha)]]/1000</f>
        <v>11.51266</v>
      </c>
      <c r="Z121" s="125">
        <f>Table9[[#This Row],[Yield (tons/ha)]]*1.15</f>
        <v>13.239559</v>
      </c>
      <c r="AA121" s="125" t="s">
        <v>752</v>
      </c>
      <c r="AB121" s="125" t="s">
        <v>1080</v>
      </c>
      <c r="AD121" s="128">
        <v>3</v>
      </c>
      <c r="AE121" s="129">
        <v>5</v>
      </c>
      <c r="AF121" s="135">
        <f t="shared" si="12"/>
        <v>10.884600499999998</v>
      </c>
      <c r="AG121" s="129" t="s">
        <v>1070</v>
      </c>
      <c r="AH121" s="163">
        <f t="shared" si="7"/>
        <v>4.411528582649999</v>
      </c>
      <c r="AI121" s="129" t="s">
        <v>1029</v>
      </c>
      <c r="AJ121" s="174">
        <f t="shared" si="8"/>
        <v>0.12408444569999996</v>
      </c>
      <c r="AM121" s="74" t="s">
        <v>677</v>
      </c>
      <c r="AN121" s="74">
        <f>AVERAGE(AJ117:AJ125)</f>
        <v>0.14104981105277778</v>
      </c>
      <c r="AO121" s="152">
        <f>STDEV(AJ117:AJ125)</f>
        <v>1.0282533372156039E-2</v>
      </c>
      <c r="AP121" s="152">
        <f>AVERAGE(AJ126:AJ128)</f>
        <v>6.4223337766666652E-2</v>
      </c>
      <c r="AQ121" s="152">
        <f>STDEV(AJ126:AJ128)</f>
        <v>6.1468656508083244E-3</v>
      </c>
    </row>
    <row r="122" spans="1:43">
      <c r="A122" s="69">
        <v>2021</v>
      </c>
      <c r="B122" s="70">
        <v>293</v>
      </c>
      <c r="C122" s="70">
        <v>2</v>
      </c>
      <c r="D122" s="70">
        <v>5</v>
      </c>
      <c r="E122" s="71" t="s">
        <v>804</v>
      </c>
      <c r="F122" s="70">
        <v>7</v>
      </c>
      <c r="G122" s="70">
        <v>7</v>
      </c>
      <c r="H122" s="70">
        <v>1506.8</v>
      </c>
      <c r="I122" s="97">
        <f t="shared" si="4"/>
        <v>1486.1</v>
      </c>
      <c r="J122" s="70">
        <v>137.39699999999999</v>
      </c>
      <c r="K122" s="70">
        <f t="shared" si="5"/>
        <v>112.38499999999999</v>
      </c>
      <c r="L122" s="70">
        <v>1192.5</v>
      </c>
      <c r="M122" s="70">
        <f t="shared" si="6"/>
        <v>1080.115</v>
      </c>
      <c r="N122" s="72"/>
      <c r="P122" s="74">
        <v>4</v>
      </c>
      <c r="Q122" s="74">
        <v>3</v>
      </c>
      <c r="R122" s="93" t="s">
        <v>253</v>
      </c>
      <c r="S122" s="74">
        <f>(I160+I161)/2</f>
        <v>1472.8</v>
      </c>
      <c r="T122" s="74">
        <f>(M160+M161)/2</f>
        <v>979.35649999999998</v>
      </c>
      <c r="U122" s="74">
        <f>Table9[[#This Row],[Wet Cob Weight (g) ]]-Table9[[#This Row],[Dried Grain Weight (g) ]]</f>
        <v>493.44349999999997</v>
      </c>
      <c r="V122" s="74">
        <f>(Table9[[#This Row],[Moisture Loss (g) ]]/Table9[[#This Row],[Wet Cob Weight (g) ]])*100</f>
        <v>33.503768332428031</v>
      </c>
      <c r="W122" s="74">
        <f>Table9[[#This Row],[Dried Grain Weight (g) ]]*(10000/1000)</f>
        <v>9793.5650000000005</v>
      </c>
      <c r="X122" s="125">
        <f>Table9[[#This Row],[Yield (kg/ha)]]*1.155</f>
        <v>11311.567575000001</v>
      </c>
      <c r="Y122" s="125">
        <f>Table9[[#This Row],[Yield (kg/ha)]]/1000</f>
        <v>9.793565000000001</v>
      </c>
      <c r="Z122" s="125">
        <f>Table9[[#This Row],[Yield (tons/ha)]]*1.15</f>
        <v>11.26259975</v>
      </c>
      <c r="AA122" s="125" t="s">
        <v>636</v>
      </c>
      <c r="AB122" s="125" t="s">
        <v>1038</v>
      </c>
      <c r="AD122" s="128">
        <v>3</v>
      </c>
      <c r="AE122" s="129">
        <v>6</v>
      </c>
      <c r="AF122" s="135">
        <f t="shared" si="12"/>
        <v>11.899832</v>
      </c>
      <c r="AG122" s="129" t="s">
        <v>1073</v>
      </c>
      <c r="AH122" s="163">
        <f t="shared" si="7"/>
        <v>4.8801211031999996</v>
      </c>
      <c r="AI122" s="129" t="s">
        <v>1074</v>
      </c>
      <c r="AJ122" s="174">
        <f t="shared" si="8"/>
        <v>0.15945774879999999</v>
      </c>
      <c r="AK122">
        <f>AVERAGE(AF93:AF101,AF105:AF113,AF117:AF125,AF129:AF137)</f>
        <v>12.451630898611109</v>
      </c>
      <c r="AM122" s="118" t="s">
        <v>678</v>
      </c>
      <c r="AN122" s="118">
        <f>AVERAGE(AJ129:AJ137)</f>
        <v>0.15456994558333331</v>
      </c>
      <c r="AO122" s="159">
        <f>STDEV(AJ129:AJ137)</f>
        <v>2.1959347249219663E-2</v>
      </c>
      <c r="AP122" s="159">
        <f>AVERAGE(AJ138:AJ140)</f>
        <v>0.11511899778333333</v>
      </c>
      <c r="AQ122" s="159">
        <f>STDEV(AJ138:AJ140)</f>
        <v>8.8633090335487372E-2</v>
      </c>
    </row>
    <row r="123" spans="1:43">
      <c r="A123" s="69">
        <v>2021</v>
      </c>
      <c r="B123" s="70">
        <v>293</v>
      </c>
      <c r="C123" s="70">
        <v>2</v>
      </c>
      <c r="D123" s="70">
        <v>5</v>
      </c>
      <c r="E123" s="70" t="s">
        <v>807</v>
      </c>
      <c r="F123" s="70">
        <v>7</v>
      </c>
      <c r="G123" s="70">
        <v>7</v>
      </c>
      <c r="H123" s="70">
        <v>1447.6</v>
      </c>
      <c r="I123" s="70">
        <f t="shared" si="4"/>
        <v>1426.8999999999999</v>
      </c>
      <c r="J123" s="70">
        <v>117.502</v>
      </c>
      <c r="K123" s="70">
        <f t="shared" si="5"/>
        <v>92.49</v>
      </c>
      <c r="L123" s="70">
        <v>1113</v>
      </c>
      <c r="M123" s="70">
        <f t="shared" si="6"/>
        <v>1020.51</v>
      </c>
      <c r="N123" s="72"/>
      <c r="P123" s="74">
        <v>4</v>
      </c>
      <c r="Q123" s="74">
        <v>4</v>
      </c>
      <c r="R123" s="93" t="s">
        <v>255</v>
      </c>
      <c r="S123" s="74">
        <f>(I162+I163)/2</f>
        <v>1844.6</v>
      </c>
      <c r="T123" s="74">
        <f>(M162+M163)/2</f>
        <v>1246.222</v>
      </c>
      <c r="U123" s="74">
        <f>Table9[[#This Row],[Wet Cob Weight (g) ]]-Table9[[#This Row],[Dried Grain Weight (g) ]]</f>
        <v>598.37799999999993</v>
      </c>
      <c r="V123" s="74">
        <f>(Table9[[#This Row],[Moisture Loss (g) ]]/Table9[[#This Row],[Wet Cob Weight (g) ]])*100</f>
        <v>32.439444866095627</v>
      </c>
      <c r="W123" s="74">
        <f>Table9[[#This Row],[Dried Grain Weight (g) ]]*(10000/1000)</f>
        <v>12462.22</v>
      </c>
      <c r="X123" s="125">
        <f>Table9[[#This Row],[Yield (kg/ha)]]*1.155</f>
        <v>14393.864099999999</v>
      </c>
      <c r="Y123" s="125">
        <f>Table9[[#This Row],[Yield (kg/ha)]]/1000</f>
        <v>12.462219999999999</v>
      </c>
      <c r="Z123" s="125">
        <f>Table9[[#This Row],[Yield (tons/ha)]]*1.15</f>
        <v>14.331552999999998</v>
      </c>
      <c r="AA123" s="125" t="s">
        <v>1081</v>
      </c>
      <c r="AB123" s="125" t="s">
        <v>1082</v>
      </c>
      <c r="AD123" s="128">
        <v>3</v>
      </c>
      <c r="AE123" s="129">
        <v>7</v>
      </c>
      <c r="AF123" s="135">
        <f t="shared" si="12"/>
        <v>12.069646749999997</v>
      </c>
      <c r="AG123" s="129" t="s">
        <v>1076</v>
      </c>
      <c r="AH123" s="163">
        <f t="shared" si="7"/>
        <v>4.8833790750499988</v>
      </c>
      <c r="AI123" s="129" t="s">
        <v>1066</v>
      </c>
      <c r="AJ123" s="174">
        <f t="shared" si="8"/>
        <v>0.13638700827499994</v>
      </c>
    </row>
    <row r="124" spans="1:43">
      <c r="A124" s="69">
        <v>2021</v>
      </c>
      <c r="B124" s="70">
        <v>293</v>
      </c>
      <c r="C124" s="70">
        <v>2</v>
      </c>
      <c r="D124" s="70">
        <v>6</v>
      </c>
      <c r="E124" s="70" t="s">
        <v>804</v>
      </c>
      <c r="F124" s="70">
        <v>7</v>
      </c>
      <c r="G124" s="70">
        <v>7</v>
      </c>
      <c r="H124" s="97">
        <v>1559.9</v>
      </c>
      <c r="I124" s="70">
        <f t="shared" si="4"/>
        <v>1539.2</v>
      </c>
      <c r="J124" s="70">
        <v>132.07599999999999</v>
      </c>
      <c r="K124" s="70">
        <f t="shared" si="5"/>
        <v>107.06399999999999</v>
      </c>
      <c r="L124" s="70">
        <v>1236.3</v>
      </c>
      <c r="M124" s="70">
        <f t="shared" si="6"/>
        <v>1129.2359999999999</v>
      </c>
      <c r="N124" s="72"/>
      <c r="P124" s="74">
        <v>4</v>
      </c>
      <c r="Q124" s="74">
        <v>5</v>
      </c>
      <c r="R124" s="93" t="s">
        <v>257</v>
      </c>
      <c r="S124" s="74">
        <f>(I164+I165)/2</f>
        <v>1672.1999999999998</v>
      </c>
      <c r="T124" s="74">
        <f>(M164+M165)/2</f>
        <v>1089.4025000000001</v>
      </c>
      <c r="U124" s="74">
        <f>Table9[[#This Row],[Wet Cob Weight (g) ]]-Table9[[#This Row],[Dried Grain Weight (g) ]]</f>
        <v>582.79749999999967</v>
      </c>
      <c r="V124" s="74">
        <f>(Table9[[#This Row],[Moisture Loss (g) ]]/Table9[[#This Row],[Wet Cob Weight (g) ]])*100</f>
        <v>34.852140892237756</v>
      </c>
      <c r="W124" s="74">
        <f>Table9[[#This Row],[Dried Grain Weight (g) ]]*(10000/1000)</f>
        <v>10894.025000000001</v>
      </c>
      <c r="X124" s="125">
        <f>Table9[[#This Row],[Yield (kg/ha)]]*1.155</f>
        <v>12582.598875000001</v>
      </c>
      <c r="Y124" s="125">
        <f>Table9[[#This Row],[Yield (kg/ha)]]/1000</f>
        <v>10.894025000000001</v>
      </c>
      <c r="Z124" s="125">
        <f>Table9[[#This Row],[Yield (tons/ha)]]*1.15</f>
        <v>12.52812875</v>
      </c>
      <c r="AA124" s="125" t="s">
        <v>1083</v>
      </c>
      <c r="AB124" s="125" t="s">
        <v>1035</v>
      </c>
      <c r="AD124" s="128">
        <v>3</v>
      </c>
      <c r="AE124" s="129">
        <v>8</v>
      </c>
      <c r="AF124" s="135">
        <f t="shared" si="12"/>
        <v>12.031616249999999</v>
      </c>
      <c r="AG124" s="129" t="s">
        <v>1077</v>
      </c>
      <c r="AH124" s="163">
        <f t="shared" si="7"/>
        <v>4.9269468543750001</v>
      </c>
      <c r="AI124" s="129" t="s">
        <v>1038</v>
      </c>
      <c r="AJ124" s="174">
        <f t="shared" si="8"/>
        <v>0.13956674849999998</v>
      </c>
      <c r="AN124" s="14" t="s">
        <v>1084</v>
      </c>
    </row>
    <row r="125" spans="1:43" ht="18.5">
      <c r="A125" s="69">
        <v>2021</v>
      </c>
      <c r="B125" s="70">
        <v>293</v>
      </c>
      <c r="C125" s="70">
        <v>2</v>
      </c>
      <c r="D125" s="70">
        <v>6</v>
      </c>
      <c r="E125" s="70" t="s">
        <v>807</v>
      </c>
      <c r="F125" s="70">
        <v>7</v>
      </c>
      <c r="G125" s="70">
        <v>7</v>
      </c>
      <c r="H125" s="70">
        <v>1442.4</v>
      </c>
      <c r="I125" s="96">
        <f t="shared" si="4"/>
        <v>1421.7</v>
      </c>
      <c r="J125" s="70">
        <v>122.86499999999999</v>
      </c>
      <c r="K125" s="70">
        <f t="shared" si="5"/>
        <v>97.852999999999994</v>
      </c>
      <c r="L125" s="70">
        <v>1128.5999999999999</v>
      </c>
      <c r="M125" s="70">
        <f t="shared" si="6"/>
        <v>1030.7469999999998</v>
      </c>
      <c r="N125" s="72" t="s">
        <v>1033</v>
      </c>
      <c r="P125" s="74">
        <v>4</v>
      </c>
      <c r="Q125" s="74">
        <v>6</v>
      </c>
      <c r="R125" s="93" t="s">
        <v>259</v>
      </c>
      <c r="S125" s="74">
        <f>(I166+I167)/2</f>
        <v>1539.5</v>
      </c>
      <c r="T125" s="74">
        <f>(M166+M167)/2</f>
        <v>1141.7909999999999</v>
      </c>
      <c r="U125" s="74">
        <f>Table9[[#This Row],[Wet Cob Weight (g) ]]-Table9[[#This Row],[Dried Grain Weight (g) ]]</f>
        <v>397.70900000000006</v>
      </c>
      <c r="V125" s="74">
        <f>(Table9[[#This Row],[Moisture Loss (g) ]]/Table9[[#This Row],[Wet Cob Weight (g) ]])*100</f>
        <v>25.833647288080545</v>
      </c>
      <c r="W125" s="74">
        <f>Table9[[#This Row],[Dried Grain Weight (g) ]]*(10000/1000)</f>
        <v>11417.91</v>
      </c>
      <c r="X125" s="125">
        <f>Table9[[#This Row],[Yield (kg/ha)]]*1.155</f>
        <v>13187.68605</v>
      </c>
      <c r="Y125" s="125">
        <f>Table9[[#This Row],[Yield (kg/ha)]]/1000</f>
        <v>11.417909999999999</v>
      </c>
      <c r="Z125" s="125">
        <f>Table9[[#This Row],[Yield (tons/ha)]]*1.15</f>
        <v>13.130596499999998</v>
      </c>
      <c r="AA125" s="125" t="s">
        <v>1085</v>
      </c>
      <c r="AB125" s="125" t="s">
        <v>1036</v>
      </c>
      <c r="AD125" s="128">
        <v>3</v>
      </c>
      <c r="AE125" s="129">
        <v>9</v>
      </c>
      <c r="AF125" s="135">
        <f t="shared" si="12"/>
        <v>12.096119749999996</v>
      </c>
      <c r="AG125" s="129" t="s">
        <v>766</v>
      </c>
      <c r="AH125" s="163">
        <f t="shared" si="7"/>
        <v>4.9279591861499989</v>
      </c>
      <c r="AI125" s="129" t="s">
        <v>1043</v>
      </c>
      <c r="AJ125" s="174">
        <f t="shared" si="8"/>
        <v>0.13305731724999997</v>
      </c>
      <c r="AM125" s="77" t="s">
        <v>918</v>
      </c>
      <c r="AN125" s="136" t="s">
        <v>1027</v>
      </c>
      <c r="AO125" s="147" t="s">
        <v>586</v>
      </c>
    </row>
    <row r="126" spans="1:43">
      <c r="A126" s="69">
        <v>2021</v>
      </c>
      <c r="B126" s="70">
        <v>293</v>
      </c>
      <c r="C126" s="70">
        <v>2</v>
      </c>
      <c r="D126" s="70">
        <v>7</v>
      </c>
      <c r="E126" s="71" t="s">
        <v>804</v>
      </c>
      <c r="F126" s="70">
        <v>8</v>
      </c>
      <c r="G126" s="70">
        <v>7</v>
      </c>
      <c r="H126" s="70">
        <v>1498.2</v>
      </c>
      <c r="I126" s="70">
        <f t="shared" si="4"/>
        <v>1477.5</v>
      </c>
      <c r="J126" s="70">
        <v>122.7</v>
      </c>
      <c r="K126" s="70">
        <f t="shared" si="5"/>
        <v>97.688000000000002</v>
      </c>
      <c r="L126" s="70">
        <v>1178.9000000000001</v>
      </c>
      <c r="M126" s="70">
        <f t="shared" si="6"/>
        <v>1081.212</v>
      </c>
      <c r="N126" s="72"/>
      <c r="P126" s="74">
        <v>4</v>
      </c>
      <c r="Q126" s="74">
        <v>7</v>
      </c>
      <c r="R126" s="93" t="s">
        <v>261</v>
      </c>
      <c r="S126" s="74">
        <f>(I168+I169)/2</f>
        <v>1667.4499999999998</v>
      </c>
      <c r="T126" s="74">
        <f>(M168+M169)/2</f>
        <v>1113.1295</v>
      </c>
      <c r="U126" s="74">
        <f>Table9[[#This Row],[Wet Cob Weight (g) ]]-Table9[[#This Row],[Dried Grain Weight (g) ]]</f>
        <v>554.32049999999981</v>
      </c>
      <c r="V126" s="74">
        <f>(Table9[[#This Row],[Moisture Loss (g) ]]/Table9[[#This Row],[Wet Cob Weight (g) ]])*100</f>
        <v>33.243605505412447</v>
      </c>
      <c r="W126" s="74">
        <f>Table9[[#This Row],[Dried Grain Weight (g) ]]*(10000/1000)</f>
        <v>11131.295</v>
      </c>
      <c r="X126" s="125">
        <f>Table9[[#This Row],[Yield (kg/ha)]]*1.155</f>
        <v>12856.645725</v>
      </c>
      <c r="Y126" s="125">
        <f>Table9[[#This Row],[Yield (kg/ha)]]/1000</f>
        <v>11.131295</v>
      </c>
      <c r="Z126" s="125">
        <f>Table9[[#This Row],[Yield (tons/ha)]]*1.15</f>
        <v>12.800989249999999</v>
      </c>
      <c r="AA126" s="125" t="s">
        <v>1067</v>
      </c>
      <c r="AB126" s="125" t="s">
        <v>1036</v>
      </c>
      <c r="AD126" s="130">
        <v>3</v>
      </c>
      <c r="AE126" s="131">
        <v>11</v>
      </c>
      <c r="AF126" s="131">
        <f>Z138</f>
        <v>6.3206759999999989</v>
      </c>
      <c r="AG126" s="131" t="s">
        <v>1086</v>
      </c>
      <c r="AH126" s="115">
        <f t="shared" si="7"/>
        <v>2.5567134419999995</v>
      </c>
      <c r="AI126" s="114" t="s">
        <v>1087</v>
      </c>
      <c r="AJ126" s="179">
        <f t="shared" si="8"/>
        <v>5.8782286799999993E-2</v>
      </c>
      <c r="AM126" s="74" t="s">
        <v>675</v>
      </c>
      <c r="AN126" s="74">
        <f>AVERAGE(Y93:Y101)</f>
        <v>10.82769</v>
      </c>
      <c r="AO126" s="74">
        <f>STDEV(Y93:Y101)</f>
        <v>0.75281945431408048</v>
      </c>
    </row>
    <row r="127" spans="1:43">
      <c r="A127" s="69">
        <v>2021</v>
      </c>
      <c r="B127" s="70">
        <v>293</v>
      </c>
      <c r="C127" s="70">
        <v>2</v>
      </c>
      <c r="D127" s="70">
        <v>7</v>
      </c>
      <c r="E127" s="70" t="s">
        <v>807</v>
      </c>
      <c r="F127" s="70">
        <v>7</v>
      </c>
      <c r="G127" s="70">
        <v>7</v>
      </c>
      <c r="H127" s="70">
        <v>1492.9</v>
      </c>
      <c r="I127" s="97">
        <f t="shared" si="4"/>
        <v>1472.2</v>
      </c>
      <c r="J127" s="70">
        <v>119.44799999999999</v>
      </c>
      <c r="K127" s="70">
        <f t="shared" si="5"/>
        <v>94.435999999999993</v>
      </c>
      <c r="L127" s="70">
        <v>1157.0999999999999</v>
      </c>
      <c r="M127" s="70">
        <f t="shared" si="6"/>
        <v>1062.664</v>
      </c>
      <c r="N127" s="72"/>
      <c r="P127" s="74">
        <v>4</v>
      </c>
      <c r="Q127" s="74">
        <v>8</v>
      </c>
      <c r="R127" s="93" t="s">
        <v>264</v>
      </c>
      <c r="S127" s="74">
        <f>(I170+I171)/2</f>
        <v>1638.75</v>
      </c>
      <c r="T127" s="74">
        <f>(M170+M171)/2</f>
        <v>1119.4195</v>
      </c>
      <c r="U127" s="74">
        <f>Table9[[#This Row],[Wet Cob Weight (g) ]]-Table9[[#This Row],[Dried Grain Weight (g) ]]</f>
        <v>519.33050000000003</v>
      </c>
      <c r="V127" s="74">
        <f>(Table9[[#This Row],[Moisture Loss (g) ]]/Table9[[#This Row],[Wet Cob Weight (g) ]])*100</f>
        <v>31.690648360030515</v>
      </c>
      <c r="W127" s="74">
        <f>Table9[[#This Row],[Dried Grain Weight (g) ]]*(10000/1000)</f>
        <v>11194.195</v>
      </c>
      <c r="X127" s="125">
        <f>Table9[[#This Row],[Yield (kg/ha)]]*1.155</f>
        <v>12929.295225</v>
      </c>
      <c r="Y127" s="125">
        <f>Table9[[#This Row],[Yield (kg/ha)]]/1000</f>
        <v>11.194195000000001</v>
      </c>
      <c r="Z127" s="125">
        <f>Table9[[#This Row],[Yield (tons/ha)]]*1.15</f>
        <v>12.87332425</v>
      </c>
      <c r="AA127" s="125" t="s">
        <v>1061</v>
      </c>
      <c r="AB127" s="125" t="s">
        <v>1046</v>
      </c>
      <c r="AD127" s="130">
        <v>3</v>
      </c>
      <c r="AE127" s="131">
        <v>12</v>
      </c>
      <c r="AF127" s="131">
        <f t="shared" ref="AF127:AF128" si="13">Z139</f>
        <v>5.3387025000000001</v>
      </c>
      <c r="AG127" s="131" t="s">
        <v>1088</v>
      </c>
      <c r="AH127" s="115">
        <f t="shared" si="7"/>
        <v>2.2059518730000001</v>
      </c>
      <c r="AI127" s="114" t="s">
        <v>1089</v>
      </c>
      <c r="AJ127" s="179">
        <f t="shared" si="8"/>
        <v>6.2996689499999994E-2</v>
      </c>
      <c r="AM127" s="118" t="s">
        <v>682</v>
      </c>
      <c r="AN127" s="118">
        <f>AVERAGE(Y132:Y134)</f>
        <v>8.9881966666666671</v>
      </c>
      <c r="AO127" s="118">
        <f>STDEV(Y132:Y134)</f>
        <v>1.7578422332602281</v>
      </c>
    </row>
    <row r="128" spans="1:43">
      <c r="A128" s="69">
        <v>2021</v>
      </c>
      <c r="B128" s="70">
        <v>293</v>
      </c>
      <c r="C128" s="70">
        <v>2</v>
      </c>
      <c r="D128" s="70">
        <v>8</v>
      </c>
      <c r="E128" s="70" t="s">
        <v>804</v>
      </c>
      <c r="F128" s="70">
        <v>7</v>
      </c>
      <c r="G128" s="70">
        <v>7</v>
      </c>
      <c r="H128" s="70">
        <v>1477.9</v>
      </c>
      <c r="I128" s="70">
        <f t="shared" si="4"/>
        <v>1457.2</v>
      </c>
      <c r="J128" s="70">
        <v>123.31</v>
      </c>
      <c r="K128" s="70">
        <f t="shared" si="5"/>
        <v>98.298000000000002</v>
      </c>
      <c r="L128" s="70">
        <v>1159.5</v>
      </c>
      <c r="M128" s="70">
        <f t="shared" si="6"/>
        <v>1061.202</v>
      </c>
      <c r="N128" s="72"/>
      <c r="P128" s="74">
        <v>4</v>
      </c>
      <c r="Q128" s="74">
        <v>9</v>
      </c>
      <c r="R128" s="93" t="s">
        <v>267</v>
      </c>
      <c r="S128" s="74">
        <f>(I172+I173)/2</f>
        <v>1747.05</v>
      </c>
      <c r="T128" s="74">
        <f>(M172+M173)/2</f>
        <v>1237.0619999999999</v>
      </c>
      <c r="U128" s="74">
        <f>Table9[[#This Row],[Wet Cob Weight (g) ]]-Table9[[#This Row],[Dried Grain Weight (g) ]]</f>
        <v>509.98800000000006</v>
      </c>
      <c r="V128" s="74">
        <f>(Table9[[#This Row],[Moisture Loss (g) ]]/Table9[[#This Row],[Wet Cob Weight (g) ]])*100</f>
        <v>29.191379754443208</v>
      </c>
      <c r="W128" s="74">
        <f>Table9[[#This Row],[Dried Grain Weight (g) ]]*(10000/1000)</f>
        <v>12370.619999999999</v>
      </c>
      <c r="X128" s="125">
        <f>Table9[[#This Row],[Yield (kg/ha)]]*1.155</f>
        <v>14288.0661</v>
      </c>
      <c r="Y128" s="125">
        <f>Table9[[#This Row],[Yield (kg/ha)]]/1000</f>
        <v>12.370619999999999</v>
      </c>
      <c r="Z128" s="125">
        <f>Table9[[#This Row],[Yield (tons/ha)]]*1.15</f>
        <v>14.226212999999998</v>
      </c>
      <c r="AA128" s="125" t="s">
        <v>1067</v>
      </c>
      <c r="AB128" s="125" t="s">
        <v>1039</v>
      </c>
      <c r="AD128" s="130">
        <v>3</v>
      </c>
      <c r="AE128" s="131">
        <v>13</v>
      </c>
      <c r="AF128" s="131">
        <f t="shared" si="13"/>
        <v>5.95723</v>
      </c>
      <c r="AG128" s="131" t="s">
        <v>1090</v>
      </c>
      <c r="AH128" s="115">
        <f t="shared" si="7"/>
        <v>2.452591591</v>
      </c>
      <c r="AI128" s="114" t="s">
        <v>1039</v>
      </c>
      <c r="AJ128" s="179">
        <f t="shared" si="8"/>
        <v>7.089103699999999E-2</v>
      </c>
      <c r="AM128" s="74" t="s">
        <v>676</v>
      </c>
      <c r="AN128" s="74">
        <f>AVERAGE(Y102:Y110)</f>
        <v>10.963520555555554</v>
      </c>
      <c r="AO128" s="74">
        <f>STDEV(Y102:Y110)</f>
        <v>0.28324771853057834</v>
      </c>
    </row>
    <row r="129" spans="1:43">
      <c r="A129" s="69">
        <v>2021</v>
      </c>
      <c r="B129" s="70">
        <v>293</v>
      </c>
      <c r="C129" s="70">
        <v>2</v>
      </c>
      <c r="D129" s="70">
        <v>8</v>
      </c>
      <c r="E129" s="70" t="s">
        <v>807</v>
      </c>
      <c r="F129" s="70">
        <v>7</v>
      </c>
      <c r="G129" s="70">
        <v>7</v>
      </c>
      <c r="H129" s="70">
        <v>1658.2</v>
      </c>
      <c r="I129" s="97">
        <f t="shared" si="4"/>
        <v>1637.5</v>
      </c>
      <c r="J129" s="70">
        <v>140.483</v>
      </c>
      <c r="K129" s="70">
        <f t="shared" si="5"/>
        <v>115.471</v>
      </c>
      <c r="L129" s="70">
        <v>1293.9000000000001</v>
      </c>
      <c r="M129" s="70">
        <f t="shared" si="6"/>
        <v>1178.4290000000001</v>
      </c>
      <c r="N129" s="72"/>
      <c r="P129" s="146"/>
      <c r="Q129" s="146"/>
      <c r="R129" s="146"/>
      <c r="S129" s="146"/>
      <c r="T129" s="146"/>
      <c r="U129" s="146"/>
      <c r="V129" s="146"/>
      <c r="W129" s="146"/>
      <c r="X129" s="146"/>
      <c r="Y129" s="146"/>
      <c r="Z129" s="146"/>
      <c r="AA129" s="161"/>
      <c r="AB129" s="161"/>
      <c r="AD129" s="128">
        <v>4</v>
      </c>
      <c r="AE129" s="129">
        <v>1</v>
      </c>
      <c r="AF129" s="135">
        <f>Z120</f>
        <v>10.132034750000001</v>
      </c>
      <c r="AG129" s="129" t="s">
        <v>1061</v>
      </c>
      <c r="AH129" s="163">
        <f t="shared" si="7"/>
        <v>4.1176589224000004</v>
      </c>
      <c r="AI129" s="129" t="s">
        <v>1066</v>
      </c>
      <c r="AJ129" s="174">
        <f t="shared" si="8"/>
        <v>0.114491992675</v>
      </c>
      <c r="AM129" s="118" t="s">
        <v>690</v>
      </c>
      <c r="AN129" s="118">
        <f>AVERAGE(Y135:Y137)</f>
        <v>7.9378633333333326</v>
      </c>
      <c r="AO129" s="118">
        <f>STDEV(Y135:Y137)</f>
        <v>1.5184965017191714</v>
      </c>
    </row>
    <row r="130" spans="1:43">
      <c r="A130" s="69">
        <v>2021</v>
      </c>
      <c r="B130" s="70">
        <v>293</v>
      </c>
      <c r="C130" s="70">
        <v>2</v>
      </c>
      <c r="D130" s="70">
        <v>9</v>
      </c>
      <c r="E130" s="71" t="s">
        <v>804</v>
      </c>
      <c r="F130" s="70">
        <v>7</v>
      </c>
      <c r="G130" s="70">
        <v>7</v>
      </c>
      <c r="H130" s="70">
        <v>1541</v>
      </c>
      <c r="I130" s="96">
        <f t="shared" si="4"/>
        <v>1520.3</v>
      </c>
      <c r="J130" s="70">
        <v>132.20099999999999</v>
      </c>
      <c r="K130" s="70">
        <f t="shared" si="5"/>
        <v>107.18899999999999</v>
      </c>
      <c r="L130" s="70">
        <v>1213.3</v>
      </c>
      <c r="M130" s="70">
        <f t="shared" si="6"/>
        <v>1106.1109999999999</v>
      </c>
      <c r="N130" s="72"/>
      <c r="P130" s="146"/>
      <c r="Q130" s="146"/>
      <c r="R130" s="146"/>
      <c r="S130" s="146"/>
      <c r="T130" s="146"/>
      <c r="U130" s="146"/>
      <c r="V130" s="146"/>
      <c r="W130" s="146"/>
      <c r="X130" s="146"/>
      <c r="Y130" s="146"/>
      <c r="Z130" s="146"/>
      <c r="AA130" s="161"/>
      <c r="AB130" s="161"/>
      <c r="AD130" s="128">
        <v>4</v>
      </c>
      <c r="AE130" s="129">
        <v>2</v>
      </c>
      <c r="AF130" s="135">
        <f t="shared" ref="AF130:AF137" si="14">Z121</f>
        <v>13.239559</v>
      </c>
      <c r="AG130" s="129" t="s">
        <v>752</v>
      </c>
      <c r="AH130" s="163">
        <f t="shared" si="7"/>
        <v>5.4494024843999993</v>
      </c>
      <c r="AI130" s="129" t="s">
        <v>1080</v>
      </c>
      <c r="AJ130" s="174">
        <f t="shared" si="8"/>
        <v>0.17079031110000001</v>
      </c>
      <c r="AM130" s="74" t="s">
        <v>677</v>
      </c>
      <c r="AN130" s="74">
        <f>AVERAGE(Y111:Y119)</f>
        <v>10.448209444444446</v>
      </c>
      <c r="AO130" s="74">
        <f>STDEV(Y111:Y119)</f>
        <v>0.55239457186668472</v>
      </c>
    </row>
    <row r="131" spans="1:43" ht="19" thickBot="1">
      <c r="A131" s="69">
        <v>2021</v>
      </c>
      <c r="B131" s="70">
        <v>293</v>
      </c>
      <c r="C131" s="70">
        <v>2</v>
      </c>
      <c r="D131" s="70">
        <v>9</v>
      </c>
      <c r="E131" s="70" t="s">
        <v>807</v>
      </c>
      <c r="F131" s="70">
        <v>7</v>
      </c>
      <c r="G131" s="70">
        <v>7</v>
      </c>
      <c r="H131" s="70">
        <v>1517.1</v>
      </c>
      <c r="I131" s="70">
        <f t="shared" si="4"/>
        <v>1496.3999999999999</v>
      </c>
      <c r="J131" s="70">
        <v>131.851</v>
      </c>
      <c r="K131" s="70">
        <f t="shared" si="5"/>
        <v>106.839</v>
      </c>
      <c r="L131" s="70">
        <v>1200.7</v>
      </c>
      <c r="M131" s="70">
        <f t="shared" si="6"/>
        <v>1093.8610000000001</v>
      </c>
      <c r="N131" s="72"/>
      <c r="P131" s="126" t="s">
        <v>784</v>
      </c>
      <c r="Q131" s="127" t="s">
        <v>785</v>
      </c>
      <c r="R131" s="127" t="s">
        <v>559</v>
      </c>
      <c r="S131" s="134" t="s">
        <v>1015</v>
      </c>
      <c r="T131" s="134" t="s">
        <v>1019</v>
      </c>
      <c r="U131" s="134" t="s">
        <v>904</v>
      </c>
      <c r="V131" s="134" t="s">
        <v>797</v>
      </c>
      <c r="W131" s="134" t="s">
        <v>663</v>
      </c>
      <c r="X131" s="134" t="s">
        <v>1021</v>
      </c>
      <c r="Y131" s="111" t="s">
        <v>799</v>
      </c>
      <c r="Z131" s="111" t="s">
        <v>1022</v>
      </c>
      <c r="AA131" s="160" t="s">
        <v>1023</v>
      </c>
      <c r="AB131" s="160" t="s">
        <v>1024</v>
      </c>
      <c r="AD131" s="128">
        <v>4</v>
      </c>
      <c r="AE131" s="129">
        <v>3</v>
      </c>
      <c r="AF131" s="135">
        <f t="shared" si="14"/>
        <v>11.26259975</v>
      </c>
      <c r="AG131" s="129" t="s">
        <v>636</v>
      </c>
      <c r="AH131" s="163">
        <f t="shared" si="7"/>
        <v>4.5804993183249998</v>
      </c>
      <c r="AI131" s="129" t="s">
        <v>1038</v>
      </c>
      <c r="AJ131" s="174">
        <f t="shared" si="8"/>
        <v>0.13064615709999999</v>
      </c>
      <c r="AM131" s="118" t="s">
        <v>695</v>
      </c>
      <c r="AN131" s="118">
        <f>AVERAGE(Y138:Y140)</f>
        <v>5.1062633333333336</v>
      </c>
      <c r="AO131" s="118">
        <f>STDEV(Y138:Y140)</f>
        <v>0.43171982353527949</v>
      </c>
    </row>
    <row r="132" spans="1:43" ht="16" thickTop="1">
      <c r="A132" s="113">
        <v>2021</v>
      </c>
      <c r="B132" s="114">
        <v>292</v>
      </c>
      <c r="C132" s="114">
        <v>2</v>
      </c>
      <c r="D132" s="114">
        <v>11</v>
      </c>
      <c r="E132" s="114" t="s">
        <v>804</v>
      </c>
      <c r="F132" s="114">
        <v>7</v>
      </c>
      <c r="G132" s="114">
        <v>7</v>
      </c>
      <c r="H132" s="114">
        <v>1186.5999999999999</v>
      </c>
      <c r="I132" s="114">
        <f t="shared" si="4"/>
        <v>1165.8999999999999</v>
      </c>
      <c r="J132" s="114">
        <v>98.429000000000002</v>
      </c>
      <c r="K132" s="114">
        <f t="shared" si="5"/>
        <v>73.417000000000002</v>
      </c>
      <c r="L132" s="114">
        <v>927.6</v>
      </c>
      <c r="M132" s="114">
        <f t="shared" si="6"/>
        <v>854.18299999999999</v>
      </c>
      <c r="N132" s="115" t="s">
        <v>1033</v>
      </c>
      <c r="P132" s="130">
        <v>1</v>
      </c>
      <c r="Q132" s="131">
        <v>11</v>
      </c>
      <c r="R132" s="140" t="s">
        <v>185</v>
      </c>
      <c r="S132" s="131">
        <v>1081.8</v>
      </c>
      <c r="T132" s="131">
        <v>779.81</v>
      </c>
      <c r="U132" s="131">
        <f>S132-T132</f>
        <v>301.99</v>
      </c>
      <c r="V132" s="118">
        <f>((Table9[[#This Row],[Wet Cob Weight (g) ]]-Table9[[#This Row],[Dried Grain Weight (g) ]])/Table9[[#This Row],[Wet Cob Weight (g) ]])*100</f>
        <v>27.915511185061938</v>
      </c>
      <c r="W132" s="131">
        <f>Table9[[#This Row],[Dried Grain Weight (g) ]]*(10000/1000)</f>
        <v>7798.0999999999995</v>
      </c>
      <c r="X132" s="131">
        <f>W132*1.155</f>
        <v>9006.8055000000004</v>
      </c>
      <c r="Y132" s="118">
        <f>Table9[[#This Row],[Yield (kg/ha)]]/1000</f>
        <v>7.7980999999999998</v>
      </c>
      <c r="Z132" s="118">
        <f>Table9[[#This Row],[Yield (tons/ha)]]*1.155</f>
        <v>9.0068055000000005</v>
      </c>
      <c r="AA132" s="162" t="s">
        <v>1044</v>
      </c>
      <c r="AB132" s="162" t="s">
        <v>1045</v>
      </c>
      <c r="AD132" s="128">
        <v>4</v>
      </c>
      <c r="AE132" s="129">
        <v>4</v>
      </c>
      <c r="AF132" s="135">
        <f t="shared" si="14"/>
        <v>14.331552999999998</v>
      </c>
      <c r="AG132" s="129" t="s">
        <v>1081</v>
      </c>
      <c r="AH132" s="163">
        <f t="shared" si="7"/>
        <v>5.7698832377999985</v>
      </c>
      <c r="AI132" s="129" t="s">
        <v>1082</v>
      </c>
      <c r="AJ132" s="174">
        <f t="shared" si="8"/>
        <v>0.15621392769999998</v>
      </c>
      <c r="AM132" s="74" t="s">
        <v>678</v>
      </c>
      <c r="AN132" s="74">
        <f>AVERAGE(Y120:Y128)</f>
        <v>11.065217222222222</v>
      </c>
      <c r="AO132" s="74">
        <f>STDEV(Y120:Y128)</f>
        <v>1.1582101322167073</v>
      </c>
    </row>
    <row r="133" spans="1:43">
      <c r="A133" s="113">
        <v>2021</v>
      </c>
      <c r="B133" s="114">
        <v>292</v>
      </c>
      <c r="C133" s="114">
        <v>2</v>
      </c>
      <c r="D133" s="114">
        <v>12</v>
      </c>
      <c r="E133" s="114" t="s">
        <v>804</v>
      </c>
      <c r="F133" s="114">
        <v>6</v>
      </c>
      <c r="G133" s="114">
        <v>6</v>
      </c>
      <c r="H133" s="114">
        <v>1311.9</v>
      </c>
      <c r="I133" s="116">
        <f t="shared" si="4"/>
        <v>1291.2</v>
      </c>
      <c r="J133" s="114">
        <v>107.267</v>
      </c>
      <c r="K133" s="114">
        <f t="shared" si="5"/>
        <v>82.254999999999995</v>
      </c>
      <c r="L133" s="114">
        <v>988.4</v>
      </c>
      <c r="M133" s="114">
        <f t="shared" si="6"/>
        <v>906.14499999999998</v>
      </c>
      <c r="N133" s="115" t="s">
        <v>1033</v>
      </c>
      <c r="P133" s="130">
        <v>1</v>
      </c>
      <c r="Q133" s="131">
        <v>12</v>
      </c>
      <c r="R133" s="140" t="s">
        <v>188</v>
      </c>
      <c r="S133" s="131">
        <v>1113.3999999999999</v>
      </c>
      <c r="T133" s="131">
        <v>815.92499999999995</v>
      </c>
      <c r="U133" s="131">
        <f t="shared" ref="U133:U143" si="15">S133-T133</f>
        <v>297.47499999999991</v>
      </c>
      <c r="V133" s="118">
        <f>((Table9[[#This Row],[Wet Cob Weight (g) ]]-Table9[[#This Row],[Dried Grain Weight (g) ]])/Table9[[#This Row],[Wet Cob Weight (g) ]])*100</f>
        <v>26.71771151428058</v>
      </c>
      <c r="W133" s="131">
        <f>Table9[[#This Row],[Dried Grain Weight (g) ]]*(10000/1000)</f>
        <v>8159.25</v>
      </c>
      <c r="X133" s="131">
        <f t="shared" ref="X133:X143" si="16">W133*1.155</f>
        <v>9423.9337500000001</v>
      </c>
      <c r="Y133" s="118">
        <f>Table9[[#This Row],[Yield (kg/ha)]]/1000</f>
        <v>8.1592500000000001</v>
      </c>
      <c r="Z133" s="118">
        <f>Table9[[#This Row],[Yield (tons/ha)]]*1.15</f>
        <v>9.3831375000000001</v>
      </c>
      <c r="AA133" s="162" t="s">
        <v>1047</v>
      </c>
      <c r="AB133" s="162" t="s">
        <v>1045</v>
      </c>
      <c r="AD133" s="128">
        <v>4</v>
      </c>
      <c r="AE133" s="129">
        <v>5</v>
      </c>
      <c r="AF133" s="135">
        <f t="shared" si="14"/>
        <v>12.52812875</v>
      </c>
      <c r="AG133" s="129" t="s">
        <v>1083</v>
      </c>
      <c r="AH133" s="163">
        <f t="shared" si="7"/>
        <v>5.1227518458750003</v>
      </c>
      <c r="AI133" s="129" t="s">
        <v>1035</v>
      </c>
      <c r="AJ133" s="174">
        <f t="shared" si="8"/>
        <v>0.144073480625</v>
      </c>
      <c r="AM133" s="118" t="s">
        <v>700</v>
      </c>
      <c r="AN133" s="118">
        <f>AVERAGE(Y141:Y143)</f>
        <v>7.7636566666666669</v>
      </c>
      <c r="AO133" s="118">
        <f>STDEV(Y141:Y143)</f>
        <v>3.0983944171350029</v>
      </c>
    </row>
    <row r="134" spans="1:43">
      <c r="A134" s="113">
        <v>2021</v>
      </c>
      <c r="B134" s="114">
        <v>292</v>
      </c>
      <c r="C134" s="114">
        <v>2</v>
      </c>
      <c r="D134" s="114">
        <v>13</v>
      </c>
      <c r="E134" s="117" t="s">
        <v>804</v>
      </c>
      <c r="F134" s="114">
        <v>6</v>
      </c>
      <c r="G134" s="114">
        <v>6</v>
      </c>
      <c r="H134" s="114">
        <v>851.1</v>
      </c>
      <c r="I134" s="118">
        <f t="shared" si="4"/>
        <v>830.4</v>
      </c>
      <c r="J134" s="114">
        <v>70.081000000000003</v>
      </c>
      <c r="K134" s="114">
        <f t="shared" si="5"/>
        <v>45.069000000000003</v>
      </c>
      <c r="L134" s="114">
        <v>666.1</v>
      </c>
      <c r="M134" s="114">
        <f t="shared" si="6"/>
        <v>621.03100000000006</v>
      </c>
      <c r="N134" s="115"/>
      <c r="P134" s="130">
        <v>1</v>
      </c>
      <c r="Q134" s="131">
        <v>13</v>
      </c>
      <c r="R134" s="140" t="s">
        <v>191</v>
      </c>
      <c r="S134" s="131">
        <v>1523</v>
      </c>
      <c r="T134" s="131">
        <v>1100.7239999999999</v>
      </c>
      <c r="U134" s="131">
        <f t="shared" si="15"/>
        <v>422.27600000000007</v>
      </c>
      <c r="V134" s="118">
        <f>((Table9[[#This Row],[Wet Cob Weight (g) ]]-Table9[[#This Row],[Dried Grain Weight (g) ]])/Table9[[#This Row],[Wet Cob Weight (g) ]])*100</f>
        <v>27.726592252133951</v>
      </c>
      <c r="W134" s="131">
        <f>Table9[[#This Row],[Dried Grain Weight (g) ]]*(10000/1000)</f>
        <v>11007.24</v>
      </c>
      <c r="X134" s="131">
        <f t="shared" si="16"/>
        <v>12713.3622</v>
      </c>
      <c r="Y134" s="118">
        <f>Table9[[#This Row],[Yield (kg/ha)]]/1000</f>
        <v>11.007239999999999</v>
      </c>
      <c r="Z134" s="118">
        <f>Table9[[#This Row],[Yield (tons/ha)]]*1.15</f>
        <v>12.658325999999999</v>
      </c>
      <c r="AA134" s="162" t="s">
        <v>1050</v>
      </c>
      <c r="AB134" s="162" t="s">
        <v>1032</v>
      </c>
      <c r="AD134" s="128">
        <v>4</v>
      </c>
      <c r="AE134" s="129">
        <v>6</v>
      </c>
      <c r="AF134" s="135">
        <f t="shared" si="14"/>
        <v>13.130596499999998</v>
      </c>
      <c r="AG134" s="129" t="s">
        <v>1085</v>
      </c>
      <c r="AH134" s="163">
        <f t="shared" si="7"/>
        <v>5.3205177017999992</v>
      </c>
      <c r="AI134" s="129" t="s">
        <v>1036</v>
      </c>
      <c r="AJ134" s="174">
        <f t="shared" si="8"/>
        <v>0.16150633694999997</v>
      </c>
    </row>
    <row r="135" spans="1:43">
      <c r="A135" s="69">
        <v>2021</v>
      </c>
      <c r="B135" s="70">
        <v>293</v>
      </c>
      <c r="C135" s="70">
        <v>3</v>
      </c>
      <c r="D135" s="70">
        <v>1</v>
      </c>
      <c r="E135" s="71" t="s">
        <v>804</v>
      </c>
      <c r="F135" s="70">
        <v>7</v>
      </c>
      <c r="G135" s="70">
        <v>7</v>
      </c>
      <c r="H135" s="73">
        <v>1541.1</v>
      </c>
      <c r="I135" s="70">
        <f t="shared" si="4"/>
        <v>1520.3999999999999</v>
      </c>
      <c r="J135" s="70">
        <v>133.066</v>
      </c>
      <c r="K135" s="70">
        <f t="shared" si="5"/>
        <v>108.054</v>
      </c>
      <c r="L135" s="70">
        <v>1199</v>
      </c>
      <c r="M135" s="70">
        <f t="shared" si="6"/>
        <v>1090.9459999999999</v>
      </c>
      <c r="N135" s="72"/>
      <c r="P135" s="130">
        <v>2</v>
      </c>
      <c r="Q135" s="131">
        <v>11</v>
      </c>
      <c r="R135" s="140" t="s">
        <v>213</v>
      </c>
      <c r="S135" s="131">
        <v>1165.8999999999999</v>
      </c>
      <c r="T135" s="131">
        <v>854.18299999999999</v>
      </c>
      <c r="U135" s="131">
        <f t="shared" si="15"/>
        <v>311.71699999999987</v>
      </c>
      <c r="V135" s="118">
        <f>((Table9[[#This Row],[Wet Cob Weight (g) ]]-Table9[[#This Row],[Dried Grain Weight (g) ]])/Table9[[#This Row],[Wet Cob Weight (g) ]])*100</f>
        <v>26.736169482802978</v>
      </c>
      <c r="W135" s="131">
        <f>Table9[[#This Row],[Dried Grain Weight (g) ]]*(10000/1000)</f>
        <v>8541.83</v>
      </c>
      <c r="X135" s="131">
        <f t="shared" si="16"/>
        <v>9865.8136500000001</v>
      </c>
      <c r="Y135" s="118">
        <f>Table9[[#This Row],[Yield (kg/ha)]]/1000</f>
        <v>8.5418299999999991</v>
      </c>
      <c r="Z135" s="118">
        <f>Table9[[#This Row],[Yield (tons/ha)]]*1.15</f>
        <v>9.8231044999999977</v>
      </c>
      <c r="AA135" s="162" t="s">
        <v>1068</v>
      </c>
      <c r="AB135" s="162" t="s">
        <v>1069</v>
      </c>
      <c r="AD135" s="128">
        <v>4</v>
      </c>
      <c r="AE135" s="129">
        <v>7</v>
      </c>
      <c r="AF135" s="135">
        <f t="shared" si="14"/>
        <v>12.800989249999999</v>
      </c>
      <c r="AG135" s="129" t="s">
        <v>1067</v>
      </c>
      <c r="AH135" s="163">
        <f t="shared" si="7"/>
        <v>5.2317643064749992</v>
      </c>
      <c r="AI135" s="129" t="s">
        <v>1036</v>
      </c>
      <c r="AJ135" s="174">
        <f t="shared" si="8"/>
        <v>0.15745216777499998</v>
      </c>
    </row>
    <row r="136" spans="1:43">
      <c r="A136" s="69">
        <v>2021</v>
      </c>
      <c r="B136" s="70">
        <v>293</v>
      </c>
      <c r="C136" s="70">
        <v>3</v>
      </c>
      <c r="D136" s="70">
        <v>1</v>
      </c>
      <c r="E136" s="70" t="s">
        <v>807</v>
      </c>
      <c r="F136" s="70">
        <v>7</v>
      </c>
      <c r="G136" s="70">
        <v>7</v>
      </c>
      <c r="H136" s="70">
        <v>1394.3</v>
      </c>
      <c r="I136" s="70">
        <f t="shared" si="4"/>
        <v>1373.6</v>
      </c>
      <c r="J136" s="70">
        <v>119.468</v>
      </c>
      <c r="K136" s="70">
        <f t="shared" si="5"/>
        <v>94.456000000000003</v>
      </c>
      <c r="L136" s="70">
        <v>1088.5999999999999</v>
      </c>
      <c r="M136" s="70">
        <f t="shared" si="6"/>
        <v>994.14399999999989</v>
      </c>
      <c r="N136" s="72"/>
      <c r="P136" s="130">
        <v>2</v>
      </c>
      <c r="Q136" s="131">
        <v>12</v>
      </c>
      <c r="R136" s="140" t="s">
        <v>216</v>
      </c>
      <c r="S136" s="131">
        <v>1291.2</v>
      </c>
      <c r="T136" s="131">
        <v>906.14499999999998</v>
      </c>
      <c r="U136" s="131">
        <f t="shared" si="15"/>
        <v>385.05500000000006</v>
      </c>
      <c r="V136" s="118">
        <f>((Table9[[#This Row],[Wet Cob Weight (g) ]]-Table9[[#This Row],[Dried Grain Weight (g) ]])/Table9[[#This Row],[Wet Cob Weight (g) ]])*100</f>
        <v>29.821483890954152</v>
      </c>
      <c r="W136" s="131">
        <f>Table9[[#This Row],[Dried Grain Weight (g) ]]*(10000/1000)</f>
        <v>9061.4500000000007</v>
      </c>
      <c r="X136" s="131">
        <f t="shared" si="16"/>
        <v>10465.974750000001</v>
      </c>
      <c r="Y136" s="118">
        <f>Table9[[#This Row],[Yield (kg/ha)]]/1000</f>
        <v>9.0614500000000007</v>
      </c>
      <c r="Z136" s="118">
        <f>Table9[[#This Row],[Yield (tons/ha)]]*1.15</f>
        <v>10.4206675</v>
      </c>
      <c r="AA136" s="162" t="s">
        <v>1071</v>
      </c>
      <c r="AB136" s="162" t="s">
        <v>1072</v>
      </c>
      <c r="AD136" s="128">
        <v>4</v>
      </c>
      <c r="AE136" s="129">
        <v>8</v>
      </c>
      <c r="AF136" s="135">
        <f t="shared" si="14"/>
        <v>12.87332425</v>
      </c>
      <c r="AG136" s="129" t="s">
        <v>1061</v>
      </c>
      <c r="AH136" s="163">
        <f t="shared" si="7"/>
        <v>5.2317189751999997</v>
      </c>
      <c r="AI136" s="129" t="s">
        <v>1046</v>
      </c>
      <c r="AJ136" s="174">
        <f t="shared" si="8"/>
        <v>0.18666320162499997</v>
      </c>
      <c r="AM136" t="s">
        <v>921</v>
      </c>
      <c r="AN136" t="s">
        <v>1051</v>
      </c>
      <c r="AO136" t="s">
        <v>586</v>
      </c>
      <c r="AP136" t="s">
        <v>1052</v>
      </c>
      <c r="AQ136" t="s">
        <v>586</v>
      </c>
    </row>
    <row r="137" spans="1:43">
      <c r="A137" s="69">
        <v>2021</v>
      </c>
      <c r="B137" s="70">
        <v>293</v>
      </c>
      <c r="C137" s="70">
        <v>3</v>
      </c>
      <c r="D137" s="70">
        <v>2</v>
      </c>
      <c r="E137" s="70" t="s">
        <v>804</v>
      </c>
      <c r="F137" s="70">
        <v>9</v>
      </c>
      <c r="G137" s="70">
        <v>8</v>
      </c>
      <c r="H137" s="70">
        <v>1456</v>
      </c>
      <c r="I137" s="98">
        <f t="shared" si="4"/>
        <v>1435.3</v>
      </c>
      <c r="J137" s="70">
        <v>141.69399999999999</v>
      </c>
      <c r="K137" s="70">
        <f t="shared" si="5"/>
        <v>116.68199999999999</v>
      </c>
      <c r="L137" s="70">
        <v>1148.4000000000001</v>
      </c>
      <c r="M137" s="70">
        <f t="shared" si="6"/>
        <v>1031.7180000000001</v>
      </c>
      <c r="N137" s="72"/>
      <c r="P137" s="130">
        <v>2</v>
      </c>
      <c r="Q137" s="131">
        <v>13</v>
      </c>
      <c r="R137" s="140" t="s">
        <v>219</v>
      </c>
      <c r="S137" s="131">
        <v>830.4</v>
      </c>
      <c r="T137" s="131">
        <v>621.03100000000006</v>
      </c>
      <c r="U137" s="131">
        <f t="shared" si="15"/>
        <v>209.36899999999991</v>
      </c>
      <c r="V137" s="118">
        <f>((Table9[[#This Row],[Wet Cob Weight (g) ]]-Table9[[#This Row],[Dried Grain Weight (g) ]])/Table9[[#This Row],[Wet Cob Weight (g) ]])*100</f>
        <v>25.213029865125229</v>
      </c>
      <c r="W137" s="131">
        <f>Table9[[#This Row],[Dried Grain Weight (g) ]]*(10000/1000)</f>
        <v>6210.31</v>
      </c>
      <c r="X137" s="131">
        <f t="shared" si="16"/>
        <v>7172.9080500000009</v>
      </c>
      <c r="Y137" s="118">
        <f>Table9[[#This Row],[Yield (kg/ha)]]/1000</f>
        <v>6.2103100000000007</v>
      </c>
      <c r="Z137" s="118">
        <f>Table9[[#This Row],[Yield (tons/ha)]]*1.15</f>
        <v>7.1418565000000003</v>
      </c>
      <c r="AA137" s="162" t="s">
        <v>1075</v>
      </c>
      <c r="AB137" s="162" t="s">
        <v>1029</v>
      </c>
      <c r="AD137" s="128">
        <v>4</v>
      </c>
      <c r="AE137" s="129">
        <v>9</v>
      </c>
      <c r="AF137" s="135">
        <f t="shared" si="14"/>
        <v>14.226212999999998</v>
      </c>
      <c r="AG137" s="129" t="s">
        <v>1067</v>
      </c>
      <c r="AH137" s="163">
        <f t="shared" si="7"/>
        <v>5.8142532530999986</v>
      </c>
      <c r="AI137" s="129" t="s">
        <v>1039</v>
      </c>
      <c r="AJ137" s="174">
        <f t="shared" si="8"/>
        <v>0.16929193469999995</v>
      </c>
      <c r="AM137" t="s">
        <v>675</v>
      </c>
      <c r="AN137">
        <f>AN105*1000</f>
        <v>12451.843500000001</v>
      </c>
      <c r="AO137">
        <f>AO105*1000</f>
        <v>865.74237246119253</v>
      </c>
      <c r="AP137">
        <v>10.336426166666666</v>
      </c>
      <c r="AQ137">
        <v>2.021518568249276</v>
      </c>
    </row>
    <row r="138" spans="1:43">
      <c r="A138" s="69">
        <v>2021</v>
      </c>
      <c r="B138" s="70">
        <v>293</v>
      </c>
      <c r="C138" s="70">
        <v>3</v>
      </c>
      <c r="D138" s="70">
        <v>2</v>
      </c>
      <c r="E138" s="70" t="s">
        <v>807</v>
      </c>
      <c r="F138" s="70">
        <v>8</v>
      </c>
      <c r="G138" s="70">
        <v>8</v>
      </c>
      <c r="H138" s="70">
        <v>1489.2</v>
      </c>
      <c r="I138" s="70">
        <f t="shared" si="4"/>
        <v>1468.5</v>
      </c>
      <c r="J138" s="70">
        <v>128.11600000000001</v>
      </c>
      <c r="K138" s="70">
        <f t="shared" si="5"/>
        <v>103.10400000000001</v>
      </c>
      <c r="L138" s="70">
        <v>1135.4000000000001</v>
      </c>
      <c r="M138" s="70">
        <f t="shared" si="6"/>
        <v>1032.296</v>
      </c>
      <c r="N138" s="72"/>
      <c r="P138" s="130">
        <v>3</v>
      </c>
      <c r="Q138" s="131">
        <v>11</v>
      </c>
      <c r="R138" s="140" t="s">
        <v>240</v>
      </c>
      <c r="S138" s="131">
        <v>745.09999999999991</v>
      </c>
      <c r="T138" s="131">
        <v>549.62400000000002</v>
      </c>
      <c r="U138" s="131">
        <f t="shared" si="15"/>
        <v>195.47599999999989</v>
      </c>
      <c r="V138" s="118">
        <f>((Table9[[#This Row],[Wet Cob Weight (g) ]]-Table9[[#This Row],[Dried Grain Weight (g) ]])/Table9[[#This Row],[Wet Cob Weight (g) ]])*100</f>
        <v>26.234867802979455</v>
      </c>
      <c r="W138" s="131">
        <f>Table9[[#This Row],[Dried Grain Weight (g) ]]*(10000/1000)</f>
        <v>5496.24</v>
      </c>
      <c r="X138" s="131">
        <f t="shared" si="16"/>
        <v>6348.1571999999996</v>
      </c>
      <c r="Y138" s="118">
        <f>Table9[[#This Row],[Yield (kg/ha)]]/1000</f>
        <v>5.4962399999999993</v>
      </c>
      <c r="Z138" s="118">
        <f>Table9[[#This Row],[Yield (tons/ha)]]*1.15</f>
        <v>6.3206759999999989</v>
      </c>
      <c r="AA138" s="162" t="s">
        <v>1086</v>
      </c>
      <c r="AB138" s="162" t="s">
        <v>1087</v>
      </c>
      <c r="AD138" s="130">
        <v>4</v>
      </c>
      <c r="AE138" s="131">
        <v>11</v>
      </c>
      <c r="AF138" s="131">
        <f>Z141</f>
        <v>13.0185175</v>
      </c>
      <c r="AG138" s="131" t="s">
        <v>1091</v>
      </c>
      <c r="AH138" s="115">
        <f t="shared" si="7"/>
        <v>5.4690792017499996</v>
      </c>
      <c r="AI138" s="114" t="s">
        <v>1092</v>
      </c>
      <c r="AJ138" s="179">
        <f t="shared" si="8"/>
        <v>0.21740924225</v>
      </c>
      <c r="AM138" t="s">
        <v>676</v>
      </c>
      <c r="AN138">
        <f t="shared" ref="AN138:AO139" si="17">AN106*1000</f>
        <v>12608.048638888888</v>
      </c>
      <c r="AO138">
        <f t="shared" si="17"/>
        <v>325.73487631016508</v>
      </c>
      <c r="AP138">
        <v>9.1285428333333325</v>
      </c>
      <c r="AQ138">
        <v>1.7462709769770335</v>
      </c>
    </row>
    <row r="139" spans="1:43">
      <c r="A139" s="69">
        <v>2021</v>
      </c>
      <c r="B139" s="70">
        <v>293</v>
      </c>
      <c r="C139" s="70">
        <v>3</v>
      </c>
      <c r="D139" s="70">
        <v>3</v>
      </c>
      <c r="E139" s="71" t="s">
        <v>804</v>
      </c>
      <c r="F139" s="70">
        <v>7</v>
      </c>
      <c r="G139" s="70">
        <v>7</v>
      </c>
      <c r="H139" s="70">
        <v>1536.4</v>
      </c>
      <c r="I139" s="97">
        <f t="shared" si="4"/>
        <v>1515.7</v>
      </c>
      <c r="J139" s="70">
        <v>122.69</v>
      </c>
      <c r="K139" s="70">
        <f t="shared" si="5"/>
        <v>97.677999999999997</v>
      </c>
      <c r="L139" s="70">
        <v>1168.2</v>
      </c>
      <c r="M139" s="70">
        <f t="shared" si="6"/>
        <v>1070.5219999999999</v>
      </c>
      <c r="N139" s="72"/>
      <c r="P139" s="130">
        <v>3</v>
      </c>
      <c r="Q139" s="131">
        <v>12</v>
      </c>
      <c r="R139" s="140" t="s">
        <v>243</v>
      </c>
      <c r="S139" s="131">
        <v>626.29999999999995</v>
      </c>
      <c r="T139" s="131">
        <v>464.23500000000001</v>
      </c>
      <c r="U139" s="131">
        <f t="shared" si="15"/>
        <v>162.06499999999994</v>
      </c>
      <c r="V139" s="118">
        <f>((Table9[[#This Row],[Wet Cob Weight (g) ]]-Table9[[#This Row],[Dried Grain Weight (g) ]])/Table9[[#This Row],[Wet Cob Weight (g) ]])*100</f>
        <v>25.876576720421518</v>
      </c>
      <c r="W139" s="131">
        <f>Table9[[#This Row],[Dried Grain Weight (g) ]]*(10000/1000)</f>
        <v>4642.3500000000004</v>
      </c>
      <c r="X139" s="131">
        <f t="shared" si="16"/>
        <v>5361.9142500000007</v>
      </c>
      <c r="Y139" s="118">
        <f>Table9[[#This Row],[Yield (kg/ha)]]/1000</f>
        <v>4.6423500000000004</v>
      </c>
      <c r="Z139" s="118">
        <f>Table9[[#This Row],[Yield (tons/ha)]]*1.15</f>
        <v>5.3387025000000001</v>
      </c>
      <c r="AA139" s="162" t="s">
        <v>1088</v>
      </c>
      <c r="AB139" s="162" t="s">
        <v>1089</v>
      </c>
      <c r="AD139" s="130">
        <v>4</v>
      </c>
      <c r="AE139" s="131">
        <v>12</v>
      </c>
      <c r="AF139" s="131">
        <f t="shared" ref="AF139:AF140" si="18">Z142</f>
        <v>7.2678504999999989</v>
      </c>
      <c r="AG139" s="131" t="s">
        <v>1093</v>
      </c>
      <c r="AH139" s="115">
        <f t="shared" si="7"/>
        <v>2.9180419757499991</v>
      </c>
      <c r="AI139" s="114" t="s">
        <v>1094</v>
      </c>
      <c r="AJ139" s="179">
        <f t="shared" si="8"/>
        <v>6.6864224599999994E-2</v>
      </c>
      <c r="AM139" t="s">
        <v>677</v>
      </c>
      <c r="AN139">
        <f t="shared" si="17"/>
        <v>12015.44086111111</v>
      </c>
      <c r="AO139">
        <f t="shared" si="17"/>
        <v>635.25375764668752</v>
      </c>
      <c r="AP139">
        <v>5.8722028333333327</v>
      </c>
      <c r="AQ139">
        <v>0.49647779706557144</v>
      </c>
    </row>
    <row r="140" spans="1:43">
      <c r="A140" s="69">
        <v>2021</v>
      </c>
      <c r="B140" s="70">
        <v>293</v>
      </c>
      <c r="C140" s="70">
        <v>3</v>
      </c>
      <c r="D140" s="70">
        <v>3</v>
      </c>
      <c r="E140" s="70" t="s">
        <v>807</v>
      </c>
      <c r="F140" s="70">
        <v>7</v>
      </c>
      <c r="G140" s="70">
        <v>7</v>
      </c>
      <c r="H140" s="70">
        <v>1864.2</v>
      </c>
      <c r="I140" s="73">
        <f t="shared" si="4"/>
        <v>1843.5</v>
      </c>
      <c r="J140" s="70">
        <v>143.23099999999999</v>
      </c>
      <c r="K140" s="70">
        <f t="shared" si="5"/>
        <v>118.21899999999999</v>
      </c>
      <c r="L140" s="70">
        <v>1376.6</v>
      </c>
      <c r="M140" s="70">
        <f t="shared" si="6"/>
        <v>1258.3809999999999</v>
      </c>
      <c r="N140" s="72" t="s">
        <v>1033</v>
      </c>
      <c r="P140" s="130">
        <v>3</v>
      </c>
      <c r="Q140" s="131">
        <v>13</v>
      </c>
      <c r="R140" s="140" t="s">
        <v>246</v>
      </c>
      <c r="S140" s="131">
        <v>711</v>
      </c>
      <c r="T140" s="131">
        <v>518.02</v>
      </c>
      <c r="U140" s="131">
        <f t="shared" si="15"/>
        <v>192.98000000000002</v>
      </c>
      <c r="V140" s="118">
        <f>((Table9[[#This Row],[Wet Cob Weight (g) ]]-Table9[[#This Row],[Dried Grain Weight (g) ]])/Table9[[#This Row],[Wet Cob Weight (g) ]])*100</f>
        <v>27.142053445850916</v>
      </c>
      <c r="W140" s="131">
        <f>Table9[[#This Row],[Dried Grain Weight (g) ]]*(10000/1000)</f>
        <v>5180.2</v>
      </c>
      <c r="X140" s="131">
        <f t="shared" si="16"/>
        <v>5983.1310000000003</v>
      </c>
      <c r="Y140" s="118">
        <f>Table9[[#This Row],[Yield (kg/ha)]]/1000</f>
        <v>5.1802000000000001</v>
      </c>
      <c r="Z140" s="118">
        <f>Table9[[#This Row],[Yield (tons/ha)]]*1.15</f>
        <v>5.95723</v>
      </c>
      <c r="AA140" s="162" t="s">
        <v>1090</v>
      </c>
      <c r="AB140" s="162" t="s">
        <v>1039</v>
      </c>
      <c r="AD140" s="132">
        <v>4</v>
      </c>
      <c r="AE140" s="133">
        <v>13</v>
      </c>
      <c r="AF140" s="131">
        <f t="shared" si="18"/>
        <v>6.4982475000000006</v>
      </c>
      <c r="AG140" s="133" t="s">
        <v>1095</v>
      </c>
      <c r="AH140" s="115">
        <f t="shared" si="7"/>
        <v>2.6304905880000002</v>
      </c>
      <c r="AI140" s="121" t="s">
        <v>1096</v>
      </c>
      <c r="AJ140" s="179">
        <f t="shared" si="8"/>
        <v>6.1083526499999999E-2</v>
      </c>
      <c r="AM140" t="s">
        <v>678</v>
      </c>
      <c r="AN140">
        <f>AN108*1000</f>
        <v>12724.999805555555</v>
      </c>
      <c r="AO140">
        <f t="shared" ref="AO140" si="19">AO108*1000</f>
        <v>1331.9416520492134</v>
      </c>
      <c r="AP140">
        <v>8.9282051666666664</v>
      </c>
      <c r="AQ140">
        <v>3.5631535797052494</v>
      </c>
    </row>
    <row r="141" spans="1:43">
      <c r="A141" s="69">
        <v>2021</v>
      </c>
      <c r="B141" s="70">
        <v>293</v>
      </c>
      <c r="C141" s="70">
        <v>3</v>
      </c>
      <c r="D141" s="70">
        <v>4</v>
      </c>
      <c r="E141" s="70" t="s">
        <v>804</v>
      </c>
      <c r="F141" s="70">
        <v>7</v>
      </c>
      <c r="G141" s="70">
        <v>7</v>
      </c>
      <c r="H141" s="70">
        <v>1445.4</v>
      </c>
      <c r="I141" s="70">
        <f t="shared" si="4"/>
        <v>1424.7</v>
      </c>
      <c r="J141" s="70">
        <v>135.19200000000001</v>
      </c>
      <c r="K141" s="70">
        <f t="shared" si="5"/>
        <v>110.18</v>
      </c>
      <c r="L141" s="70">
        <v>1116.4000000000001</v>
      </c>
      <c r="M141" s="70">
        <f t="shared" si="6"/>
        <v>1006.22</v>
      </c>
      <c r="N141" s="72" t="s">
        <v>1033</v>
      </c>
      <c r="P141" s="113">
        <v>4</v>
      </c>
      <c r="Q141" s="114">
        <v>11</v>
      </c>
      <c r="R141" s="142" t="s">
        <v>270</v>
      </c>
      <c r="S141" s="114">
        <v>1679.3</v>
      </c>
      <c r="T141" s="114">
        <v>1132.0450000000001</v>
      </c>
      <c r="U141" s="143">
        <f t="shared" si="15"/>
        <v>547.25499999999988</v>
      </c>
      <c r="V141" s="118">
        <f>((Table9[[#This Row],[Wet Cob Weight (g) ]]-Table9[[#This Row],[Dried Grain Weight (g) ]])/Table9[[#This Row],[Wet Cob Weight (g) ]])*100</f>
        <v>32.588280831298746</v>
      </c>
      <c r="W141" s="131">
        <f>Table9[[#This Row],[Dried Grain Weight (g) ]]*(10000/1000)</f>
        <v>11320.45</v>
      </c>
      <c r="X141" s="131">
        <f t="shared" si="16"/>
        <v>13075.119750000002</v>
      </c>
      <c r="Y141" s="118">
        <f>Table9[[#This Row],[Yield (kg/ha)]]/1000</f>
        <v>11.320450000000001</v>
      </c>
      <c r="Z141" s="118">
        <f>Table9[[#This Row],[Yield (tons/ha)]]*1.15</f>
        <v>13.0185175</v>
      </c>
      <c r="AA141" s="162" t="s">
        <v>1091</v>
      </c>
      <c r="AB141" s="162" t="s">
        <v>1092</v>
      </c>
    </row>
    <row r="142" spans="1:43">
      <c r="A142" s="69">
        <v>2021</v>
      </c>
      <c r="B142" s="70">
        <v>293</v>
      </c>
      <c r="C142" s="70">
        <v>3</v>
      </c>
      <c r="D142" s="70">
        <v>4</v>
      </c>
      <c r="E142" s="70" t="s">
        <v>807</v>
      </c>
      <c r="F142" s="70">
        <v>8</v>
      </c>
      <c r="G142" s="70">
        <v>7</v>
      </c>
      <c r="H142" s="70">
        <v>1620.9</v>
      </c>
      <c r="I142" s="97">
        <f t="shared" si="4"/>
        <v>1600.2</v>
      </c>
      <c r="J142" s="70">
        <v>130.46899999999999</v>
      </c>
      <c r="K142" s="70">
        <f t="shared" si="5"/>
        <v>105.45699999999999</v>
      </c>
      <c r="L142" s="70">
        <v>1170.3</v>
      </c>
      <c r="M142" s="70">
        <f t="shared" si="6"/>
        <v>1064.8429999999998</v>
      </c>
      <c r="N142" s="72"/>
      <c r="P142" s="113">
        <v>4</v>
      </c>
      <c r="Q142" s="114">
        <v>12</v>
      </c>
      <c r="R142" s="142" t="s">
        <v>274</v>
      </c>
      <c r="S142" s="114">
        <v>909.59999999999991</v>
      </c>
      <c r="T142" s="114">
        <v>631.98699999999997</v>
      </c>
      <c r="U142" s="143">
        <f t="shared" si="15"/>
        <v>277.61299999999994</v>
      </c>
      <c r="V142" s="118">
        <f>((Table9[[#This Row],[Wet Cob Weight (g) ]]-Table9[[#This Row],[Dried Grain Weight (g) ]])/Table9[[#This Row],[Wet Cob Weight (g) ]])*100</f>
        <v>30.520338610378182</v>
      </c>
      <c r="W142" s="131">
        <f>Table9[[#This Row],[Dried Grain Weight (g) ]]*(10000/1000)</f>
        <v>6319.87</v>
      </c>
      <c r="X142" s="131">
        <f t="shared" si="16"/>
        <v>7299.44985</v>
      </c>
      <c r="Y142" s="118">
        <f>Table9[[#This Row],[Yield (kg/ha)]]/1000</f>
        <v>6.3198699999999999</v>
      </c>
      <c r="Z142" s="118">
        <f>Table9[[#This Row],[Yield (tons/ha)]]*1.15</f>
        <v>7.2678504999999989</v>
      </c>
      <c r="AA142" s="162" t="s">
        <v>1093</v>
      </c>
      <c r="AB142" s="162" t="s">
        <v>1094</v>
      </c>
      <c r="AF142" s="292">
        <v>0.155</v>
      </c>
    </row>
    <row r="143" spans="1:43" ht="19" thickBot="1">
      <c r="A143" s="69">
        <v>2021</v>
      </c>
      <c r="B143" s="70">
        <v>293</v>
      </c>
      <c r="C143" s="70">
        <v>3</v>
      </c>
      <c r="D143" s="70">
        <v>5</v>
      </c>
      <c r="E143" s="71" t="s">
        <v>804</v>
      </c>
      <c r="F143" s="70">
        <v>8</v>
      </c>
      <c r="G143" s="70">
        <v>7</v>
      </c>
      <c r="H143" s="70">
        <v>1525.9</v>
      </c>
      <c r="I143" s="74">
        <f t="shared" si="4"/>
        <v>1505.2</v>
      </c>
      <c r="J143" s="70">
        <v>143.07900000000001</v>
      </c>
      <c r="K143" s="70">
        <f t="shared" si="5"/>
        <v>118.06700000000001</v>
      </c>
      <c r="L143" s="70">
        <v>1088.3</v>
      </c>
      <c r="M143" s="70">
        <f t="shared" si="6"/>
        <v>970.23299999999995</v>
      </c>
      <c r="N143" s="72"/>
      <c r="P143" s="120">
        <v>4</v>
      </c>
      <c r="Q143" s="121">
        <v>13</v>
      </c>
      <c r="R143" s="144" t="s">
        <v>278</v>
      </c>
      <c r="S143" s="121">
        <v>838.4</v>
      </c>
      <c r="T143" s="121">
        <v>565.06500000000005</v>
      </c>
      <c r="U143" s="145">
        <f t="shared" si="15"/>
        <v>273.33499999999992</v>
      </c>
      <c r="V143" s="118">
        <f>((Table9[[#This Row],[Wet Cob Weight (g) ]]-Table9[[#This Row],[Dried Grain Weight (g) ]])/Table9[[#This Row],[Wet Cob Weight (g) ]])*100</f>
        <v>32.60197996183205</v>
      </c>
      <c r="W143" s="131">
        <f>Table9[[#This Row],[Dried Grain Weight (g) ]]*(10000/1000)</f>
        <v>5650.6500000000005</v>
      </c>
      <c r="X143" s="131">
        <f t="shared" si="16"/>
        <v>6526.5007500000011</v>
      </c>
      <c r="Y143" s="118">
        <f>Table9[[#This Row],[Yield (kg/ha)]]/1000</f>
        <v>5.6506500000000006</v>
      </c>
      <c r="Z143" s="118">
        <f>Table9[[#This Row],[Yield (tons/ha)]]*1.15</f>
        <v>6.4982475000000006</v>
      </c>
      <c r="AA143" s="162" t="s">
        <v>1095</v>
      </c>
      <c r="AB143" s="162" t="s">
        <v>1096</v>
      </c>
      <c r="AD143" s="126" t="s">
        <v>784</v>
      </c>
      <c r="AE143" s="127" t="s">
        <v>785</v>
      </c>
      <c r="AF143" s="134" t="s">
        <v>663</v>
      </c>
      <c r="AG143" s="164" t="s">
        <v>1023</v>
      </c>
      <c r="AH143" s="165" t="s">
        <v>1097</v>
      </c>
      <c r="AI143" s="165" t="s">
        <v>1024</v>
      </c>
      <c r="AJ143" s="173" t="s">
        <v>1098</v>
      </c>
    </row>
    <row r="144" spans="1:43" ht="16" thickTop="1">
      <c r="A144" s="69">
        <v>2021</v>
      </c>
      <c r="B144" s="70">
        <v>293</v>
      </c>
      <c r="C144" s="70">
        <v>3</v>
      </c>
      <c r="D144" s="70">
        <v>5</v>
      </c>
      <c r="E144" s="70" t="s">
        <v>807</v>
      </c>
      <c r="F144" s="70">
        <v>6</v>
      </c>
      <c r="G144" s="70">
        <v>7</v>
      </c>
      <c r="H144" s="70">
        <v>1479.9</v>
      </c>
      <c r="I144" s="73">
        <f t="shared" si="4"/>
        <v>1459.2</v>
      </c>
      <c r="J144" s="70">
        <v>121.17100000000001</v>
      </c>
      <c r="K144" s="70">
        <f t="shared" si="5"/>
        <v>96.159000000000006</v>
      </c>
      <c r="L144" s="70">
        <v>1018.9</v>
      </c>
      <c r="M144" s="70">
        <f t="shared" si="6"/>
        <v>922.74099999999999</v>
      </c>
      <c r="N144" s="72"/>
      <c r="AD144" s="128">
        <v>1</v>
      </c>
      <c r="AE144" s="129">
        <v>1</v>
      </c>
      <c r="AF144" s="158">
        <f>Z93*1000</f>
        <v>12870.650100000003</v>
      </c>
      <c r="AG144" s="163" t="s">
        <v>1028</v>
      </c>
      <c r="AH144" s="163">
        <f>AF144*(AG144/100)</f>
        <v>5202.3167704200014</v>
      </c>
      <c r="AI144" s="163" t="s">
        <v>1029</v>
      </c>
      <c r="AJ144" s="174">
        <f>AF144*(AI144/100)</f>
        <v>146.72541114000001</v>
      </c>
      <c r="AK144">
        <f>AVERAGE(AJ144:AJ152)</f>
        <v>152.75828037388888</v>
      </c>
    </row>
    <row r="145" spans="1:37">
      <c r="A145" s="69">
        <v>2021</v>
      </c>
      <c r="B145" s="70">
        <v>293</v>
      </c>
      <c r="C145" s="70">
        <v>3</v>
      </c>
      <c r="D145" s="70">
        <v>6</v>
      </c>
      <c r="E145" s="70" t="s">
        <v>804</v>
      </c>
      <c r="F145" s="70">
        <v>7</v>
      </c>
      <c r="G145" s="70">
        <v>7</v>
      </c>
      <c r="H145" s="70">
        <v>1560.1</v>
      </c>
      <c r="I145" s="70">
        <f t="shared" si="4"/>
        <v>1539.3999999999999</v>
      </c>
      <c r="J145" s="70">
        <v>130.035</v>
      </c>
      <c r="K145" s="70">
        <f t="shared" si="5"/>
        <v>105.023</v>
      </c>
      <c r="L145" s="70">
        <v>1144.9000000000001</v>
      </c>
      <c r="M145" s="70">
        <f t="shared" si="6"/>
        <v>1039.8770000000002</v>
      </c>
      <c r="N145" s="72" t="s">
        <v>1033</v>
      </c>
      <c r="AD145" s="128">
        <v>1</v>
      </c>
      <c r="AE145" s="129">
        <v>2</v>
      </c>
      <c r="AF145" s="158">
        <f t="shared" ref="AF145:AF152" si="20">Z94*1000</f>
        <v>11195.405249999998</v>
      </c>
      <c r="AG145" s="163" t="s">
        <v>861</v>
      </c>
      <c r="AH145" s="163">
        <f t="shared" ref="AH145:AH191" si="21">AF145*(AG145/100)</f>
        <v>4643.8540976999984</v>
      </c>
      <c r="AI145" s="163" t="s">
        <v>1030</v>
      </c>
      <c r="AJ145" s="174">
        <f t="shared" ref="AJ145:AJ191" si="22">AF145*(AI145/100)</f>
        <v>152.25751139999997</v>
      </c>
    </row>
    <row r="146" spans="1:37">
      <c r="A146" s="69">
        <v>2021</v>
      </c>
      <c r="B146" s="70">
        <v>293</v>
      </c>
      <c r="C146" s="70">
        <v>3</v>
      </c>
      <c r="D146" s="70">
        <v>6</v>
      </c>
      <c r="E146" s="70" t="s">
        <v>807</v>
      </c>
      <c r="F146" s="70">
        <v>7</v>
      </c>
      <c r="G146" s="70">
        <v>6</v>
      </c>
      <c r="H146" s="70">
        <v>1439.4</v>
      </c>
      <c r="I146" s="97">
        <f t="shared" si="4"/>
        <v>1418.7</v>
      </c>
      <c r="J146" s="70">
        <v>126.753</v>
      </c>
      <c r="K146" s="70">
        <f t="shared" si="5"/>
        <v>101.741</v>
      </c>
      <c r="L146" s="70">
        <v>1131.4000000000001</v>
      </c>
      <c r="M146" s="70">
        <f t="shared" si="6"/>
        <v>1029.6590000000001</v>
      </c>
      <c r="N146" s="72"/>
      <c r="AD146" s="128">
        <v>1</v>
      </c>
      <c r="AE146" s="129">
        <v>3</v>
      </c>
      <c r="AF146" s="158">
        <f t="shared" si="20"/>
        <v>12667.077499999998</v>
      </c>
      <c r="AG146" s="163" t="s">
        <v>1031</v>
      </c>
      <c r="AH146" s="163">
        <f t="shared" si="21"/>
        <v>5225.1694687499985</v>
      </c>
      <c r="AI146" s="163" t="s">
        <v>1032</v>
      </c>
      <c r="AJ146" s="174">
        <f t="shared" si="22"/>
        <v>153.27163774999997</v>
      </c>
    </row>
    <row r="147" spans="1:37">
      <c r="A147" s="69">
        <v>2021</v>
      </c>
      <c r="B147" s="70">
        <v>293</v>
      </c>
      <c r="C147" s="70">
        <v>3</v>
      </c>
      <c r="D147" s="70">
        <v>7</v>
      </c>
      <c r="E147" s="71" t="s">
        <v>804</v>
      </c>
      <c r="F147" s="70">
        <v>7</v>
      </c>
      <c r="G147" s="70">
        <v>7</v>
      </c>
      <c r="H147" s="70">
        <v>1661</v>
      </c>
      <c r="I147" s="74">
        <f t="shared" si="4"/>
        <v>1640.3</v>
      </c>
      <c r="J147" s="70">
        <v>140.18</v>
      </c>
      <c r="K147" s="70">
        <f t="shared" si="5"/>
        <v>115.16800000000001</v>
      </c>
      <c r="L147" s="70">
        <v>1217.5999999999999</v>
      </c>
      <c r="M147" s="70">
        <f t="shared" si="6"/>
        <v>1102.4319999999998</v>
      </c>
      <c r="N147" s="72"/>
      <c r="AD147" s="128">
        <v>1</v>
      </c>
      <c r="AE147" s="129">
        <v>4</v>
      </c>
      <c r="AF147" s="158">
        <f t="shared" si="20"/>
        <v>13259.655249999998</v>
      </c>
      <c r="AG147" s="163" t="s">
        <v>1034</v>
      </c>
      <c r="AH147" s="163">
        <f t="shared" si="21"/>
        <v>5355.5747554749987</v>
      </c>
      <c r="AI147" s="163" t="s">
        <v>1035</v>
      </c>
      <c r="AJ147" s="174">
        <f t="shared" si="22"/>
        <v>152.48603537499997</v>
      </c>
    </row>
    <row r="148" spans="1:37">
      <c r="A148" s="69">
        <v>2021</v>
      </c>
      <c r="B148" s="70">
        <v>293</v>
      </c>
      <c r="C148" s="70">
        <v>3</v>
      </c>
      <c r="D148" s="70">
        <v>7</v>
      </c>
      <c r="E148" s="70" t="s">
        <v>807</v>
      </c>
      <c r="F148" s="70">
        <v>7</v>
      </c>
      <c r="G148" s="70">
        <v>7</v>
      </c>
      <c r="H148" s="70">
        <v>1449.9</v>
      </c>
      <c r="I148" s="70">
        <f t="shared" si="4"/>
        <v>1429.2</v>
      </c>
      <c r="J148" s="70">
        <v>119.77500000000001</v>
      </c>
      <c r="K148" s="70">
        <f t="shared" si="5"/>
        <v>94.763000000000005</v>
      </c>
      <c r="L148" s="70">
        <v>1091.4000000000001</v>
      </c>
      <c r="M148" s="70">
        <f t="shared" si="6"/>
        <v>996.63700000000006</v>
      </c>
      <c r="N148" s="72"/>
      <c r="AD148" s="128">
        <v>1</v>
      </c>
      <c r="AE148" s="129">
        <v>5</v>
      </c>
      <c r="AF148" s="158">
        <f t="shared" si="20"/>
        <v>12990.6875</v>
      </c>
      <c r="AG148" s="163" t="s">
        <v>766</v>
      </c>
      <c r="AH148" s="163">
        <f t="shared" si="21"/>
        <v>5292.4060875000005</v>
      </c>
      <c r="AI148" s="163" t="s">
        <v>1036</v>
      </c>
      <c r="AJ148" s="174">
        <f t="shared" si="22"/>
        <v>159.78545625000001</v>
      </c>
    </row>
    <row r="149" spans="1:37">
      <c r="A149" s="69">
        <v>2021</v>
      </c>
      <c r="B149" s="70">
        <v>293</v>
      </c>
      <c r="C149" s="70">
        <v>3</v>
      </c>
      <c r="D149" s="70">
        <v>8</v>
      </c>
      <c r="E149" s="70" t="s">
        <v>804</v>
      </c>
      <c r="F149" s="70">
        <v>7</v>
      </c>
      <c r="G149" s="70">
        <v>7</v>
      </c>
      <c r="H149" s="70">
        <v>1547.6</v>
      </c>
      <c r="I149" s="74">
        <f t="shared" si="4"/>
        <v>1526.8999999999999</v>
      </c>
      <c r="J149" s="70">
        <v>123.03700000000001</v>
      </c>
      <c r="K149" s="70">
        <f t="shared" si="5"/>
        <v>98.025000000000006</v>
      </c>
      <c r="L149" s="70">
        <v>1147.5</v>
      </c>
      <c r="M149" s="70">
        <f t="shared" si="6"/>
        <v>1049.4749999999999</v>
      </c>
      <c r="N149" s="72"/>
      <c r="AD149" s="128">
        <v>1</v>
      </c>
      <c r="AE149" s="129">
        <v>6</v>
      </c>
      <c r="AF149" s="158">
        <f t="shared" si="20"/>
        <v>12720.839999999997</v>
      </c>
      <c r="AG149" s="163" t="s">
        <v>1037</v>
      </c>
      <c r="AH149" s="163">
        <f t="shared" si="21"/>
        <v>5179.9260479999984</v>
      </c>
      <c r="AI149" s="163" t="s">
        <v>1038</v>
      </c>
      <c r="AJ149" s="174">
        <f t="shared" si="22"/>
        <v>147.56174399999995</v>
      </c>
    </row>
    <row r="150" spans="1:37">
      <c r="A150" s="69">
        <v>2021</v>
      </c>
      <c r="B150" s="70">
        <v>293</v>
      </c>
      <c r="C150" s="70">
        <v>3</v>
      </c>
      <c r="D150" s="70">
        <v>8</v>
      </c>
      <c r="E150" s="70" t="s">
        <v>807</v>
      </c>
      <c r="F150" s="70">
        <v>8</v>
      </c>
      <c r="G150" s="70">
        <v>6</v>
      </c>
      <c r="H150" s="70">
        <v>1569</v>
      </c>
      <c r="I150" s="70">
        <f t="shared" si="4"/>
        <v>1548.3</v>
      </c>
      <c r="J150" s="70">
        <v>104.732</v>
      </c>
      <c r="K150" s="70">
        <f t="shared" si="5"/>
        <v>79.72</v>
      </c>
      <c r="L150" s="70">
        <v>1122.7</v>
      </c>
      <c r="M150" s="70">
        <f t="shared" si="6"/>
        <v>1042.98</v>
      </c>
      <c r="N150" s="72" t="s">
        <v>1033</v>
      </c>
      <c r="AD150" s="128">
        <v>1</v>
      </c>
      <c r="AE150" s="129">
        <v>7</v>
      </c>
      <c r="AF150" s="158">
        <f t="shared" si="20"/>
        <v>13483.933999999999</v>
      </c>
      <c r="AG150" s="163" t="s">
        <v>642</v>
      </c>
      <c r="AH150" s="163">
        <f t="shared" si="21"/>
        <v>5500.0966785999999</v>
      </c>
      <c r="AI150" s="163" t="s">
        <v>1039</v>
      </c>
      <c r="AJ150" s="174">
        <f t="shared" si="22"/>
        <v>160.45881459999998</v>
      </c>
    </row>
    <row r="151" spans="1:37">
      <c r="A151" s="69">
        <v>2021</v>
      </c>
      <c r="B151" s="70">
        <v>293</v>
      </c>
      <c r="C151" s="70">
        <v>3</v>
      </c>
      <c r="D151" s="70">
        <v>9</v>
      </c>
      <c r="E151" s="71" t="s">
        <v>804</v>
      </c>
      <c r="F151" s="70">
        <v>7</v>
      </c>
      <c r="G151" s="70">
        <v>7</v>
      </c>
      <c r="H151" s="70">
        <v>1762.7</v>
      </c>
      <c r="I151" s="74">
        <f t="shared" si="4"/>
        <v>1742</v>
      </c>
      <c r="J151" s="70">
        <v>138.35499999999999</v>
      </c>
      <c r="K151" s="70">
        <f t="shared" si="5"/>
        <v>113.34299999999999</v>
      </c>
      <c r="L151" s="70">
        <v>1201.5999999999999</v>
      </c>
      <c r="M151" s="70">
        <f t="shared" si="6"/>
        <v>1088.2569999999998</v>
      </c>
      <c r="N151" s="72"/>
      <c r="AD151" s="128">
        <v>1</v>
      </c>
      <c r="AE151" s="129">
        <v>8</v>
      </c>
      <c r="AF151" s="158">
        <f t="shared" si="20"/>
        <v>11797.9995</v>
      </c>
      <c r="AG151" s="163" t="s">
        <v>828</v>
      </c>
      <c r="AH151" s="163">
        <f t="shared" si="21"/>
        <v>4989.3739885499999</v>
      </c>
      <c r="AI151" s="163" t="s">
        <v>1040</v>
      </c>
      <c r="AJ151" s="174">
        <f t="shared" si="22"/>
        <v>167.53159289999999</v>
      </c>
    </row>
    <row r="152" spans="1:37">
      <c r="A152" s="69">
        <v>2021</v>
      </c>
      <c r="B152" s="70">
        <v>293</v>
      </c>
      <c r="C152" s="70">
        <v>3</v>
      </c>
      <c r="D152" s="70">
        <v>9</v>
      </c>
      <c r="E152" s="70" t="s">
        <v>807</v>
      </c>
      <c r="F152" s="70">
        <v>7</v>
      </c>
      <c r="G152" s="70">
        <v>7</v>
      </c>
      <c r="H152" s="70">
        <v>1541.2</v>
      </c>
      <c r="I152" s="73">
        <f t="shared" si="4"/>
        <v>1520.5</v>
      </c>
      <c r="J152" s="70">
        <v>138.196</v>
      </c>
      <c r="K152" s="70">
        <f t="shared" si="5"/>
        <v>113.184</v>
      </c>
      <c r="L152" s="70">
        <v>1128.5999999999999</v>
      </c>
      <c r="M152" s="70">
        <f t="shared" si="6"/>
        <v>1015.4159999999999</v>
      </c>
      <c r="N152" s="72"/>
      <c r="AD152" s="128">
        <v>1</v>
      </c>
      <c r="AE152" s="129">
        <v>9</v>
      </c>
      <c r="AF152" s="158">
        <f t="shared" si="20"/>
        <v>11136.059499999999</v>
      </c>
      <c r="AG152" s="163" t="s">
        <v>1041</v>
      </c>
      <c r="AH152" s="163">
        <f t="shared" si="21"/>
        <v>4563.5571830999988</v>
      </c>
      <c r="AI152" s="163" t="s">
        <v>1032</v>
      </c>
      <c r="AJ152" s="174">
        <f t="shared" si="22"/>
        <v>134.74631994999999</v>
      </c>
    </row>
    <row r="153" spans="1:37">
      <c r="A153" s="113">
        <v>2021</v>
      </c>
      <c r="B153" s="114">
        <v>292</v>
      </c>
      <c r="C153" s="114">
        <v>3</v>
      </c>
      <c r="D153" s="114">
        <v>11</v>
      </c>
      <c r="E153" s="114" t="s">
        <v>804</v>
      </c>
      <c r="F153" s="114">
        <v>7</v>
      </c>
      <c r="G153" s="114">
        <v>7</v>
      </c>
      <c r="H153" s="114">
        <v>765.8</v>
      </c>
      <c r="I153" s="114">
        <f t="shared" si="4"/>
        <v>745.09999999999991</v>
      </c>
      <c r="J153" s="114">
        <v>59.287999999999997</v>
      </c>
      <c r="K153" s="114">
        <f t="shared" si="5"/>
        <v>34.275999999999996</v>
      </c>
      <c r="L153" s="114">
        <v>583.9</v>
      </c>
      <c r="M153" s="114">
        <f t="shared" si="6"/>
        <v>549.62400000000002</v>
      </c>
      <c r="N153" s="115"/>
      <c r="AD153" s="130">
        <v>1</v>
      </c>
      <c r="AE153" s="131">
        <v>11</v>
      </c>
      <c r="AF153" s="187">
        <f>Z132*1000</f>
        <v>9006.8055000000004</v>
      </c>
      <c r="AG153" s="114" t="s">
        <v>1044</v>
      </c>
      <c r="AH153" s="115">
        <f t="shared" si="21"/>
        <v>3713.5059076499997</v>
      </c>
      <c r="AI153" s="114" t="s">
        <v>1045</v>
      </c>
      <c r="AJ153" s="179">
        <f t="shared" si="22"/>
        <v>92.770096649999999</v>
      </c>
    </row>
    <row r="154" spans="1:37">
      <c r="A154" s="113">
        <v>2021</v>
      </c>
      <c r="B154" s="114">
        <v>292</v>
      </c>
      <c r="C154" s="114">
        <v>3</v>
      </c>
      <c r="D154" s="114">
        <v>12</v>
      </c>
      <c r="E154" s="114" t="s">
        <v>804</v>
      </c>
      <c r="F154" s="114">
        <v>7</v>
      </c>
      <c r="G154" s="114">
        <v>7</v>
      </c>
      <c r="H154" s="114">
        <v>647</v>
      </c>
      <c r="I154" s="119">
        <f t="shared" si="4"/>
        <v>626.29999999999995</v>
      </c>
      <c r="J154" s="114">
        <v>55.377000000000002</v>
      </c>
      <c r="K154" s="114">
        <f t="shared" si="5"/>
        <v>30.365000000000002</v>
      </c>
      <c r="L154" s="114">
        <v>494.6</v>
      </c>
      <c r="M154" s="114">
        <f t="shared" si="6"/>
        <v>464.23500000000001</v>
      </c>
      <c r="N154" s="115"/>
      <c r="AA154" t="s">
        <v>1099</v>
      </c>
      <c r="AB154">
        <f>AVERAGE(AF144:AF152)</f>
        <v>12458.03428888889</v>
      </c>
      <c r="AD154" s="130">
        <v>1</v>
      </c>
      <c r="AE154" s="131">
        <v>12</v>
      </c>
      <c r="AF154" s="187">
        <f t="shared" ref="AF154:AF155" si="23">Z133*1000</f>
        <v>9383.1375000000007</v>
      </c>
      <c r="AG154" s="114" t="s">
        <v>1047</v>
      </c>
      <c r="AH154" s="115">
        <f t="shared" si="21"/>
        <v>3776.7128437500005</v>
      </c>
      <c r="AI154" s="114" t="s">
        <v>1045</v>
      </c>
      <c r="AJ154" s="179">
        <f t="shared" si="22"/>
        <v>96.646316250000012</v>
      </c>
    </row>
    <row r="155" spans="1:37">
      <c r="A155" s="113">
        <v>2021</v>
      </c>
      <c r="B155" s="114">
        <v>292</v>
      </c>
      <c r="C155" s="114">
        <v>3</v>
      </c>
      <c r="D155" s="114">
        <v>13</v>
      </c>
      <c r="E155" s="117" t="s">
        <v>804</v>
      </c>
      <c r="F155" s="114">
        <v>6</v>
      </c>
      <c r="G155" s="114">
        <v>6</v>
      </c>
      <c r="H155" s="114">
        <v>731.7</v>
      </c>
      <c r="I155" s="114">
        <f t="shared" si="4"/>
        <v>711</v>
      </c>
      <c r="J155" s="114">
        <v>61.491999999999997</v>
      </c>
      <c r="K155" s="114">
        <f t="shared" si="5"/>
        <v>36.479999999999997</v>
      </c>
      <c r="L155" s="114">
        <v>554.5</v>
      </c>
      <c r="M155" s="114">
        <f t="shared" si="6"/>
        <v>518.02</v>
      </c>
      <c r="N155" s="115"/>
      <c r="AA155" t="s">
        <v>1100</v>
      </c>
      <c r="AB155">
        <f>AVERAGE(AF156:AF164)</f>
        <v>12608.048638888886</v>
      </c>
      <c r="AD155" s="130">
        <v>1</v>
      </c>
      <c r="AE155" s="131">
        <v>13</v>
      </c>
      <c r="AF155" s="187">
        <f t="shared" si="23"/>
        <v>12658.325999999999</v>
      </c>
      <c r="AG155" s="114" t="s">
        <v>1050</v>
      </c>
      <c r="AH155" s="115">
        <f t="shared" si="21"/>
        <v>5274.7244442000001</v>
      </c>
      <c r="AI155" s="114" t="s">
        <v>1032</v>
      </c>
      <c r="AJ155" s="160">
        <f t="shared" si="22"/>
        <v>153.16574459999998</v>
      </c>
    </row>
    <row r="156" spans="1:37">
      <c r="A156" s="69">
        <v>2021</v>
      </c>
      <c r="B156" s="70">
        <v>293</v>
      </c>
      <c r="C156" s="70">
        <v>4</v>
      </c>
      <c r="D156" s="70">
        <v>1</v>
      </c>
      <c r="E156" s="71" t="s">
        <v>804</v>
      </c>
      <c r="F156" s="70">
        <v>6</v>
      </c>
      <c r="G156" s="70">
        <v>6</v>
      </c>
      <c r="H156" s="70">
        <v>1283.5999999999999</v>
      </c>
      <c r="I156" s="97">
        <f t="shared" si="4"/>
        <v>1262.8999999999999</v>
      </c>
      <c r="J156" s="70">
        <v>91.381</v>
      </c>
      <c r="K156" s="70">
        <f t="shared" si="5"/>
        <v>66.369</v>
      </c>
      <c r="L156" s="70">
        <v>888</v>
      </c>
      <c r="M156" s="70">
        <f t="shared" si="6"/>
        <v>821.63099999999997</v>
      </c>
      <c r="N156" s="72"/>
      <c r="AA156" t="s">
        <v>1101</v>
      </c>
      <c r="AB156">
        <f>AVERAGE(AF168:AF176)</f>
        <v>12015.44086111111</v>
      </c>
      <c r="AD156" s="128">
        <v>2</v>
      </c>
      <c r="AE156" s="129">
        <v>1</v>
      </c>
      <c r="AF156" s="158">
        <f>Z102*1000</f>
        <v>12416.003749999998</v>
      </c>
      <c r="AG156" s="129" t="s">
        <v>1042</v>
      </c>
      <c r="AH156" s="163">
        <f t="shared" si="21"/>
        <v>4951.5022954999995</v>
      </c>
      <c r="AI156" s="129" t="s">
        <v>1043</v>
      </c>
      <c r="AJ156" s="174">
        <f t="shared" si="22"/>
        <v>136.57604125</v>
      </c>
      <c r="AK156">
        <f>AVERAGE(AJ156:AJ164)</f>
        <v>157.24331007777775</v>
      </c>
    </row>
    <row r="157" spans="1:37">
      <c r="A157" s="69">
        <v>2021</v>
      </c>
      <c r="B157" s="70">
        <v>293</v>
      </c>
      <c r="C157" s="70">
        <v>4</v>
      </c>
      <c r="D157" s="70">
        <v>1</v>
      </c>
      <c r="E157" s="70" t="s">
        <v>807</v>
      </c>
      <c r="F157" s="70">
        <v>7</v>
      </c>
      <c r="G157" s="70">
        <v>6</v>
      </c>
      <c r="H157" s="70">
        <v>1464.5</v>
      </c>
      <c r="I157" s="70">
        <f t="shared" si="4"/>
        <v>1443.8</v>
      </c>
      <c r="J157" s="70">
        <v>115.95</v>
      </c>
      <c r="K157" s="70">
        <f t="shared" si="5"/>
        <v>90.938000000000002</v>
      </c>
      <c r="L157" s="70">
        <v>1031.4000000000001</v>
      </c>
      <c r="M157" s="70">
        <f t="shared" si="6"/>
        <v>940.4620000000001</v>
      </c>
      <c r="N157" s="72"/>
      <c r="AA157" t="s">
        <v>1102</v>
      </c>
      <c r="AB157">
        <f>AVERAGE(AF180:AF188)</f>
        <v>12724.999805555555</v>
      </c>
      <c r="AD157" s="128">
        <v>2</v>
      </c>
      <c r="AE157" s="129">
        <v>2</v>
      </c>
      <c r="AF157" s="158">
        <f t="shared" ref="AF157:AF164" si="24">Z103*1000</f>
        <v>13124.553249999999</v>
      </c>
      <c r="AG157" s="129" t="s">
        <v>750</v>
      </c>
      <c r="AH157" s="163">
        <f t="shared" si="21"/>
        <v>5386.3166537999996</v>
      </c>
      <c r="AI157" s="129" t="s">
        <v>1046</v>
      </c>
      <c r="AJ157" s="174">
        <f t="shared" si="22"/>
        <v>190.30602212499997</v>
      </c>
    </row>
    <row r="158" spans="1:37">
      <c r="A158" s="69">
        <v>2021</v>
      </c>
      <c r="B158" s="70">
        <v>293</v>
      </c>
      <c r="C158" s="70">
        <v>4</v>
      </c>
      <c r="D158" s="70">
        <v>2</v>
      </c>
      <c r="E158" s="70" t="s">
        <v>804</v>
      </c>
      <c r="F158" s="70">
        <v>7</v>
      </c>
      <c r="G158" s="70">
        <v>7</v>
      </c>
      <c r="H158" s="70">
        <v>1679.8</v>
      </c>
      <c r="I158" s="97">
        <f t="shared" ref="I158:I176" si="25">H158-20.7</f>
        <v>1659.1</v>
      </c>
      <c r="J158" s="70">
        <v>134.22</v>
      </c>
      <c r="K158" s="70">
        <f t="shared" ref="K158:K176" si="26">J158-25.012</f>
        <v>109.208</v>
      </c>
      <c r="L158" s="70">
        <v>1259</v>
      </c>
      <c r="M158" s="70">
        <f t="shared" ref="M158:M176" si="27">L158-K158</f>
        <v>1149.7919999999999</v>
      </c>
      <c r="N158" s="72"/>
      <c r="AD158" s="128">
        <v>2</v>
      </c>
      <c r="AE158" s="129">
        <v>3</v>
      </c>
      <c r="AF158" s="158">
        <f t="shared" si="24"/>
        <v>12716.941499999997</v>
      </c>
      <c r="AG158" s="129" t="s">
        <v>1048</v>
      </c>
      <c r="AH158" s="163">
        <f t="shared" si="21"/>
        <v>5260.9986985499982</v>
      </c>
      <c r="AI158" s="129" t="s">
        <v>1049</v>
      </c>
      <c r="AJ158" s="174">
        <f t="shared" si="22"/>
        <v>181.85226344999995</v>
      </c>
    </row>
    <row r="159" spans="1:37">
      <c r="A159" s="69">
        <v>2021</v>
      </c>
      <c r="B159" s="70">
        <v>293</v>
      </c>
      <c r="C159" s="70">
        <v>4</v>
      </c>
      <c r="D159" s="70">
        <v>2</v>
      </c>
      <c r="E159" s="70" t="s">
        <v>807</v>
      </c>
      <c r="F159" s="70">
        <v>7</v>
      </c>
      <c r="G159" s="70">
        <v>7</v>
      </c>
      <c r="H159" s="70">
        <v>1735</v>
      </c>
      <c r="I159" s="97">
        <f t="shared" si="25"/>
        <v>1714.3</v>
      </c>
      <c r="J159" s="70">
        <v>135.77199999999999</v>
      </c>
      <c r="K159" s="70">
        <f t="shared" si="26"/>
        <v>110.75999999999999</v>
      </c>
      <c r="L159" s="70">
        <v>1263.5</v>
      </c>
      <c r="M159" s="70">
        <f t="shared" si="27"/>
        <v>1152.74</v>
      </c>
      <c r="N159" s="72"/>
      <c r="AD159" s="128">
        <v>2</v>
      </c>
      <c r="AE159" s="129">
        <v>4</v>
      </c>
      <c r="AF159" s="158">
        <f t="shared" si="24"/>
        <v>12861.439</v>
      </c>
      <c r="AG159" s="129" t="s">
        <v>1053</v>
      </c>
      <c r="AH159" s="163">
        <f t="shared" si="21"/>
        <v>5147.1478878000007</v>
      </c>
      <c r="AI159" s="129" t="s">
        <v>1029</v>
      </c>
      <c r="AJ159" s="174">
        <f t="shared" si="22"/>
        <v>146.6204046</v>
      </c>
    </row>
    <row r="160" spans="1:37">
      <c r="A160" s="69">
        <v>2021</v>
      </c>
      <c r="B160" s="70">
        <v>293</v>
      </c>
      <c r="C160" s="70">
        <v>4</v>
      </c>
      <c r="D160" s="70">
        <v>3</v>
      </c>
      <c r="E160" s="71" t="s">
        <v>804</v>
      </c>
      <c r="F160" s="70">
        <v>6</v>
      </c>
      <c r="G160" s="70">
        <v>6</v>
      </c>
      <c r="H160" s="70">
        <v>1323.4</v>
      </c>
      <c r="I160" s="97">
        <f t="shared" si="25"/>
        <v>1302.7</v>
      </c>
      <c r="J160" s="70">
        <v>110.58199999999999</v>
      </c>
      <c r="K160" s="70">
        <f t="shared" si="26"/>
        <v>85.57</v>
      </c>
      <c r="L160" s="70">
        <v>946.7</v>
      </c>
      <c r="M160" s="70">
        <f t="shared" si="27"/>
        <v>861.13000000000011</v>
      </c>
      <c r="N160" s="72"/>
      <c r="AD160" s="128">
        <v>2</v>
      </c>
      <c r="AE160" s="129">
        <v>5</v>
      </c>
      <c r="AF160" s="158">
        <f t="shared" si="24"/>
        <v>12078.59375</v>
      </c>
      <c r="AG160" s="129" t="s">
        <v>1054</v>
      </c>
      <c r="AH160" s="163">
        <f t="shared" si="21"/>
        <v>4911.1562187499994</v>
      </c>
      <c r="AI160" s="129" t="s">
        <v>1055</v>
      </c>
      <c r="AJ160" s="174">
        <f t="shared" si="22"/>
        <v>165.47673437500001</v>
      </c>
    </row>
    <row r="161" spans="1:37">
      <c r="A161" s="69">
        <v>2021</v>
      </c>
      <c r="B161" s="70">
        <v>293</v>
      </c>
      <c r="C161" s="70">
        <v>4</v>
      </c>
      <c r="D161" s="70">
        <v>3</v>
      </c>
      <c r="E161" s="70" t="s">
        <v>807</v>
      </c>
      <c r="F161" s="70">
        <v>7</v>
      </c>
      <c r="G161" s="70">
        <v>7</v>
      </c>
      <c r="H161" s="70">
        <v>1663.6</v>
      </c>
      <c r="I161" s="70">
        <f t="shared" si="25"/>
        <v>1642.8999999999999</v>
      </c>
      <c r="J161" s="70">
        <v>133.22900000000001</v>
      </c>
      <c r="K161" s="70">
        <f t="shared" si="26"/>
        <v>108.21700000000001</v>
      </c>
      <c r="L161" s="70">
        <v>1205.8</v>
      </c>
      <c r="M161" s="70">
        <f t="shared" si="27"/>
        <v>1097.5829999999999</v>
      </c>
      <c r="N161" s="72" t="s">
        <v>1033</v>
      </c>
      <c r="AD161" s="128">
        <v>2</v>
      </c>
      <c r="AE161" s="129">
        <v>6</v>
      </c>
      <c r="AF161" s="158">
        <f t="shared" si="24"/>
        <v>12419.902249999997</v>
      </c>
      <c r="AG161" s="129" t="s">
        <v>1056</v>
      </c>
      <c r="AH161" s="163">
        <f t="shared" si="21"/>
        <v>5035.0283721499991</v>
      </c>
      <c r="AI161" s="129" t="s">
        <v>1057</v>
      </c>
      <c r="AJ161" s="174">
        <f t="shared" si="22"/>
        <v>149.03882699999997</v>
      </c>
    </row>
    <row r="162" spans="1:37">
      <c r="A162" s="69">
        <v>2021</v>
      </c>
      <c r="B162" s="70">
        <v>293</v>
      </c>
      <c r="C162" s="70">
        <v>4</v>
      </c>
      <c r="D162" s="70">
        <v>4</v>
      </c>
      <c r="E162" s="70" t="s">
        <v>804</v>
      </c>
      <c r="F162" s="70">
        <v>7</v>
      </c>
      <c r="G162" s="70">
        <v>7</v>
      </c>
      <c r="H162" s="70">
        <v>1806.3</v>
      </c>
      <c r="I162" s="97">
        <f t="shared" si="25"/>
        <v>1785.6</v>
      </c>
      <c r="J162" s="70">
        <v>142.21</v>
      </c>
      <c r="K162" s="70">
        <f t="shared" si="26"/>
        <v>117.19800000000001</v>
      </c>
      <c r="L162" s="70">
        <v>1310.3</v>
      </c>
      <c r="M162" s="70">
        <f t="shared" si="27"/>
        <v>1193.1019999999999</v>
      </c>
      <c r="N162" s="72"/>
      <c r="AD162" s="128">
        <v>2</v>
      </c>
      <c r="AE162" s="129">
        <v>7</v>
      </c>
      <c r="AF162" s="158">
        <f t="shared" si="24"/>
        <v>12327.287</v>
      </c>
      <c r="AG162" s="129" t="s">
        <v>705</v>
      </c>
      <c r="AH162" s="163">
        <f t="shared" si="21"/>
        <v>4969.1293897000005</v>
      </c>
      <c r="AI162" s="129" t="s">
        <v>1058</v>
      </c>
      <c r="AJ162" s="174">
        <f t="shared" si="22"/>
        <v>144.22925789999999</v>
      </c>
    </row>
    <row r="163" spans="1:37">
      <c r="A163" s="69">
        <v>2021</v>
      </c>
      <c r="B163" s="70">
        <v>293</v>
      </c>
      <c r="C163" s="70">
        <v>4</v>
      </c>
      <c r="D163" s="70">
        <v>4</v>
      </c>
      <c r="E163" s="70" t="s">
        <v>807</v>
      </c>
      <c r="F163" s="70">
        <v>7</v>
      </c>
      <c r="G163" s="70">
        <v>7</v>
      </c>
      <c r="H163" s="70">
        <v>1924.3</v>
      </c>
      <c r="I163" s="70">
        <f t="shared" si="25"/>
        <v>1903.6</v>
      </c>
      <c r="J163" s="70">
        <v>144.87</v>
      </c>
      <c r="K163" s="70">
        <f t="shared" si="26"/>
        <v>119.858</v>
      </c>
      <c r="L163" s="70">
        <v>1419.2</v>
      </c>
      <c r="M163" s="70">
        <f t="shared" si="27"/>
        <v>1299.3420000000001</v>
      </c>
      <c r="N163" s="72"/>
      <c r="AD163" s="128">
        <v>2</v>
      </c>
      <c r="AE163" s="129">
        <v>8</v>
      </c>
      <c r="AF163" s="158">
        <f t="shared" si="24"/>
        <v>12877.87825</v>
      </c>
      <c r="AG163" s="129" t="s">
        <v>1059</v>
      </c>
      <c r="AH163" s="163">
        <f t="shared" si="21"/>
        <v>5178.1948443250003</v>
      </c>
      <c r="AI163" s="129" t="s">
        <v>1060</v>
      </c>
      <c r="AJ163" s="174">
        <f t="shared" si="22"/>
        <v>144.23223640000001</v>
      </c>
    </row>
    <row r="164" spans="1:37">
      <c r="A164" s="69">
        <v>2021</v>
      </c>
      <c r="B164" s="70">
        <v>293</v>
      </c>
      <c r="C164" s="70">
        <v>4</v>
      </c>
      <c r="D164" s="70">
        <v>5</v>
      </c>
      <c r="E164" s="71" t="s">
        <v>804</v>
      </c>
      <c r="F164" s="70">
        <v>7</v>
      </c>
      <c r="G164" s="70">
        <v>7</v>
      </c>
      <c r="H164" s="70">
        <v>1733.1</v>
      </c>
      <c r="I164" s="97">
        <f t="shared" si="25"/>
        <v>1712.3999999999999</v>
      </c>
      <c r="J164" s="70">
        <v>136.90700000000001</v>
      </c>
      <c r="K164" s="70">
        <f t="shared" si="26"/>
        <v>111.89500000000001</v>
      </c>
      <c r="L164" s="70">
        <v>1303</v>
      </c>
      <c r="M164" s="70">
        <f t="shared" si="27"/>
        <v>1191.105</v>
      </c>
      <c r="N164" s="72"/>
      <c r="AD164" s="128">
        <v>2</v>
      </c>
      <c r="AE164" s="129">
        <v>9</v>
      </c>
      <c r="AF164" s="158">
        <f t="shared" si="24"/>
        <v>12649.838999999996</v>
      </c>
      <c r="AG164" s="129" t="s">
        <v>1061</v>
      </c>
      <c r="AH164" s="163">
        <f t="shared" si="21"/>
        <v>5140.8945695999982</v>
      </c>
      <c r="AI164" s="129" t="s">
        <v>1062</v>
      </c>
      <c r="AJ164" s="174">
        <f t="shared" si="22"/>
        <v>156.85800359999996</v>
      </c>
    </row>
    <row r="165" spans="1:37">
      <c r="A165" s="69">
        <v>2021</v>
      </c>
      <c r="B165" s="70">
        <v>293</v>
      </c>
      <c r="C165" s="70">
        <v>4</v>
      </c>
      <c r="D165" s="70">
        <v>5</v>
      </c>
      <c r="E165" s="70" t="s">
        <v>807</v>
      </c>
      <c r="F165" s="70">
        <v>7</v>
      </c>
      <c r="G165" s="70">
        <v>7</v>
      </c>
      <c r="H165" s="70">
        <v>1652.7</v>
      </c>
      <c r="I165" s="96">
        <f t="shared" si="25"/>
        <v>1632</v>
      </c>
      <c r="J165" s="70">
        <v>123.212</v>
      </c>
      <c r="K165" s="70">
        <f t="shared" si="26"/>
        <v>98.2</v>
      </c>
      <c r="L165" s="70">
        <v>1085.9000000000001</v>
      </c>
      <c r="M165" s="70">
        <f t="shared" si="27"/>
        <v>987.7</v>
      </c>
      <c r="N165" s="72"/>
      <c r="AD165" s="130">
        <v>2</v>
      </c>
      <c r="AE165" s="131">
        <v>11</v>
      </c>
      <c r="AF165" s="187">
        <f>Z135*1000</f>
        <v>9823.1044999999976</v>
      </c>
      <c r="AG165" s="114" t="s">
        <v>1068</v>
      </c>
      <c r="AH165" s="115">
        <f t="shared" si="21"/>
        <v>3944.9587671999984</v>
      </c>
      <c r="AI165" s="114" t="s">
        <v>1069</v>
      </c>
      <c r="AJ165" s="179">
        <f t="shared" si="22"/>
        <v>94.301803199999966</v>
      </c>
    </row>
    <row r="166" spans="1:37">
      <c r="A166" s="69">
        <v>2021</v>
      </c>
      <c r="B166" s="70">
        <v>293</v>
      </c>
      <c r="C166" s="70">
        <v>4</v>
      </c>
      <c r="D166" s="70">
        <v>6</v>
      </c>
      <c r="E166" s="70" t="s">
        <v>804</v>
      </c>
      <c r="F166" s="70">
        <v>7</v>
      </c>
      <c r="G166" s="70">
        <v>7</v>
      </c>
      <c r="H166" s="70">
        <v>1672.3</v>
      </c>
      <c r="I166" s="70">
        <f t="shared" si="25"/>
        <v>1651.6</v>
      </c>
      <c r="J166" s="70">
        <v>135.08500000000001</v>
      </c>
      <c r="K166" s="70">
        <f t="shared" si="26"/>
        <v>110.07300000000001</v>
      </c>
      <c r="L166" s="70">
        <v>1255</v>
      </c>
      <c r="M166" s="70">
        <f t="shared" si="27"/>
        <v>1144.9269999999999</v>
      </c>
      <c r="N166" s="72"/>
      <c r="AD166" s="130">
        <v>2</v>
      </c>
      <c r="AE166" s="131">
        <v>12</v>
      </c>
      <c r="AF166" s="187">
        <f t="shared" ref="AF166:AF167" si="28">Z136*1000</f>
        <v>10420.6675</v>
      </c>
      <c r="AG166" s="114" t="s">
        <v>1071</v>
      </c>
      <c r="AH166" s="115">
        <f t="shared" si="21"/>
        <v>4196.4028022500006</v>
      </c>
      <c r="AI166" s="114" t="s">
        <v>1072</v>
      </c>
      <c r="AJ166" s="179">
        <f t="shared" si="22"/>
        <v>106.2908085</v>
      </c>
    </row>
    <row r="167" spans="1:37">
      <c r="A167" s="69">
        <v>2021</v>
      </c>
      <c r="B167" s="70">
        <v>293</v>
      </c>
      <c r="C167" s="70">
        <v>4</v>
      </c>
      <c r="D167" s="70">
        <v>6</v>
      </c>
      <c r="E167" s="70" t="s">
        <v>807</v>
      </c>
      <c r="F167" s="70">
        <v>7</v>
      </c>
      <c r="G167" s="70">
        <v>6</v>
      </c>
      <c r="H167" s="70">
        <v>1448.1</v>
      </c>
      <c r="I167" s="97">
        <f t="shared" si="25"/>
        <v>1427.3999999999999</v>
      </c>
      <c r="J167" s="70">
        <v>133.15700000000001</v>
      </c>
      <c r="K167" s="70">
        <f t="shared" si="26"/>
        <v>108.14500000000001</v>
      </c>
      <c r="L167" s="70">
        <v>1246.8</v>
      </c>
      <c r="M167" s="70">
        <f t="shared" si="27"/>
        <v>1138.655</v>
      </c>
      <c r="N167" s="72"/>
      <c r="AD167" s="130">
        <v>2</v>
      </c>
      <c r="AE167" s="131">
        <v>13</v>
      </c>
      <c r="AF167" s="187">
        <f t="shared" si="28"/>
        <v>7141.8564999999999</v>
      </c>
      <c r="AG167" s="114" t="s">
        <v>1075</v>
      </c>
      <c r="AH167" s="115">
        <f t="shared" si="21"/>
        <v>2907.44978115</v>
      </c>
      <c r="AI167" s="114" t="s">
        <v>1029</v>
      </c>
      <c r="AJ167" s="179">
        <f t="shared" si="22"/>
        <v>81.417164099999994</v>
      </c>
    </row>
    <row r="168" spans="1:37">
      <c r="A168" s="69">
        <v>2021</v>
      </c>
      <c r="B168" s="70">
        <v>293</v>
      </c>
      <c r="C168" s="70">
        <v>4</v>
      </c>
      <c r="D168" s="70">
        <v>7</v>
      </c>
      <c r="E168" s="71" t="s">
        <v>804</v>
      </c>
      <c r="F168" s="70">
        <v>7</v>
      </c>
      <c r="G168" s="70">
        <v>7</v>
      </c>
      <c r="H168" s="70">
        <v>1600</v>
      </c>
      <c r="I168" s="74">
        <f t="shared" si="25"/>
        <v>1579.3</v>
      </c>
      <c r="J168" s="70">
        <v>122.182</v>
      </c>
      <c r="K168" s="70">
        <f t="shared" si="26"/>
        <v>97.17</v>
      </c>
      <c r="L168" s="70">
        <v>1158.3</v>
      </c>
      <c r="M168" s="70">
        <f t="shared" si="27"/>
        <v>1061.1299999999999</v>
      </c>
      <c r="N168" s="72"/>
      <c r="AD168" s="128">
        <v>3</v>
      </c>
      <c r="AE168" s="129">
        <v>1</v>
      </c>
      <c r="AF168" s="158">
        <f>Z111*1000</f>
        <v>11989.267499999998</v>
      </c>
      <c r="AG168" s="129" t="s">
        <v>638</v>
      </c>
      <c r="AH168" s="163">
        <f t="shared" si="21"/>
        <v>4856.8522642499984</v>
      </c>
      <c r="AI168" s="129" t="s">
        <v>1035</v>
      </c>
      <c r="AJ168" s="174">
        <f t="shared" si="22"/>
        <v>137.87657624999997</v>
      </c>
      <c r="AK168">
        <f>AVERAGE(AJ168:AJ176)</f>
        <v>141.04981105277773</v>
      </c>
    </row>
    <row r="169" spans="1:37">
      <c r="A169" s="69">
        <v>2021</v>
      </c>
      <c r="B169" s="70">
        <v>293</v>
      </c>
      <c r="C169" s="70">
        <v>4</v>
      </c>
      <c r="D169" s="70">
        <v>7</v>
      </c>
      <c r="E169" s="70" t="s">
        <v>807</v>
      </c>
      <c r="F169" s="70">
        <v>7</v>
      </c>
      <c r="G169" s="70">
        <v>7</v>
      </c>
      <c r="H169" s="70">
        <v>1776.3</v>
      </c>
      <c r="I169" s="73">
        <f t="shared" si="25"/>
        <v>1755.6</v>
      </c>
      <c r="J169" s="70">
        <v>132.583</v>
      </c>
      <c r="K169" s="70">
        <f t="shared" si="26"/>
        <v>107.571</v>
      </c>
      <c r="L169" s="70">
        <v>1272.7</v>
      </c>
      <c r="M169" s="70">
        <f t="shared" si="27"/>
        <v>1165.1290000000001</v>
      </c>
      <c r="N169" s="72"/>
      <c r="AD169" s="128">
        <v>3</v>
      </c>
      <c r="AE169" s="129">
        <v>2</v>
      </c>
      <c r="AF169" s="158">
        <f t="shared" ref="AF169:AF176" si="29">Z112*1000</f>
        <v>11868.080499999998</v>
      </c>
      <c r="AG169" s="129" t="s">
        <v>1065</v>
      </c>
      <c r="AH169" s="163">
        <f t="shared" si="21"/>
        <v>4812.5066427499987</v>
      </c>
      <c r="AI169" s="129" t="s">
        <v>1032</v>
      </c>
      <c r="AJ169" s="174">
        <f t="shared" si="22"/>
        <v>143.60377404999997</v>
      </c>
    </row>
    <row r="170" spans="1:37">
      <c r="A170" s="69">
        <v>2021</v>
      </c>
      <c r="B170" s="70">
        <v>293</v>
      </c>
      <c r="C170" s="70">
        <v>4</v>
      </c>
      <c r="D170" s="70">
        <v>8</v>
      </c>
      <c r="E170" s="70" t="s">
        <v>804</v>
      </c>
      <c r="F170" s="70">
        <v>7</v>
      </c>
      <c r="G170" s="70">
        <v>7</v>
      </c>
      <c r="H170" s="70">
        <v>1750.7</v>
      </c>
      <c r="I170" s="73">
        <f t="shared" si="25"/>
        <v>1730</v>
      </c>
      <c r="J170" s="70">
        <v>140.91200000000001</v>
      </c>
      <c r="K170" s="70">
        <f t="shared" si="26"/>
        <v>115.9</v>
      </c>
      <c r="L170" s="70">
        <v>1313.3</v>
      </c>
      <c r="M170" s="70">
        <f t="shared" si="27"/>
        <v>1197.3999999999999</v>
      </c>
      <c r="N170" s="72"/>
      <c r="AD170" s="128">
        <v>3</v>
      </c>
      <c r="AE170" s="129">
        <v>3</v>
      </c>
      <c r="AF170" s="158">
        <f t="shared" si="29"/>
        <v>13391.19225</v>
      </c>
      <c r="AG170" s="129" t="s">
        <v>1061</v>
      </c>
      <c r="AH170" s="163">
        <f t="shared" si="21"/>
        <v>5442.1805304</v>
      </c>
      <c r="AI170" s="129" t="s">
        <v>1066</v>
      </c>
      <c r="AJ170" s="174">
        <f t="shared" si="22"/>
        <v>151.32047242499999</v>
      </c>
    </row>
    <row r="171" spans="1:37">
      <c r="A171" s="69">
        <v>2021</v>
      </c>
      <c r="B171" s="70">
        <v>293</v>
      </c>
      <c r="C171" s="70">
        <v>4</v>
      </c>
      <c r="D171" s="70">
        <v>8</v>
      </c>
      <c r="E171" s="70" t="s">
        <v>807</v>
      </c>
      <c r="F171" s="70">
        <v>8</v>
      </c>
      <c r="G171" s="70">
        <v>7</v>
      </c>
      <c r="H171" s="70">
        <v>1568.2</v>
      </c>
      <c r="I171" s="70">
        <f t="shared" si="25"/>
        <v>1547.5</v>
      </c>
      <c r="J171" s="70">
        <v>122.57299999999999</v>
      </c>
      <c r="K171" s="70">
        <f t="shared" si="26"/>
        <v>97.560999999999993</v>
      </c>
      <c r="L171" s="70">
        <v>1139</v>
      </c>
      <c r="M171" s="70">
        <f t="shared" si="27"/>
        <v>1041.4390000000001</v>
      </c>
      <c r="N171" s="72"/>
      <c r="AD171" s="128">
        <v>3</v>
      </c>
      <c r="AE171" s="129">
        <v>4</v>
      </c>
      <c r="AF171" s="158">
        <f t="shared" si="29"/>
        <v>11908.61225</v>
      </c>
      <c r="AG171" s="129" t="s">
        <v>1067</v>
      </c>
      <c r="AH171" s="163">
        <f t="shared" si="21"/>
        <v>4867.0498265749993</v>
      </c>
      <c r="AI171" s="129" t="s">
        <v>1032</v>
      </c>
      <c r="AJ171" s="174">
        <f t="shared" si="22"/>
        <v>144.09420822499999</v>
      </c>
    </row>
    <row r="172" spans="1:37">
      <c r="A172" s="69">
        <v>2021</v>
      </c>
      <c r="B172" s="70">
        <v>293</v>
      </c>
      <c r="C172" s="70">
        <v>4</v>
      </c>
      <c r="D172" s="70">
        <v>9</v>
      </c>
      <c r="E172" s="71" t="s">
        <v>804</v>
      </c>
      <c r="F172" s="70">
        <v>8</v>
      </c>
      <c r="G172" s="70">
        <v>8</v>
      </c>
      <c r="H172" s="70">
        <v>1891.6</v>
      </c>
      <c r="I172" s="97">
        <f t="shared" si="25"/>
        <v>1870.8999999999999</v>
      </c>
      <c r="J172" s="70">
        <v>156.44200000000001</v>
      </c>
      <c r="K172" s="70">
        <f t="shared" si="26"/>
        <v>131.43</v>
      </c>
      <c r="L172" s="70">
        <v>1455.9</v>
      </c>
      <c r="M172" s="70">
        <f t="shared" si="27"/>
        <v>1324.47</v>
      </c>
      <c r="N172" s="72"/>
      <c r="AD172" s="128">
        <v>3</v>
      </c>
      <c r="AE172" s="129">
        <v>5</v>
      </c>
      <c r="AF172" s="158">
        <f t="shared" si="29"/>
        <v>10884.600499999997</v>
      </c>
      <c r="AG172" s="129" t="s">
        <v>1070</v>
      </c>
      <c r="AH172" s="163">
        <f t="shared" si="21"/>
        <v>4411.5285826499985</v>
      </c>
      <c r="AI172" s="129" t="s">
        <v>1029</v>
      </c>
      <c r="AJ172" s="174">
        <f t="shared" si="22"/>
        <v>124.08444569999995</v>
      </c>
    </row>
    <row r="173" spans="1:37">
      <c r="A173" s="69">
        <v>2021</v>
      </c>
      <c r="B173" s="70">
        <v>293</v>
      </c>
      <c r="C173" s="70">
        <v>4</v>
      </c>
      <c r="D173" s="70">
        <v>9</v>
      </c>
      <c r="E173" s="70" t="s">
        <v>807</v>
      </c>
      <c r="F173" s="70">
        <v>7</v>
      </c>
      <c r="G173" s="70">
        <v>7</v>
      </c>
      <c r="H173" s="70">
        <v>1643.9</v>
      </c>
      <c r="I173" s="70">
        <f t="shared" si="25"/>
        <v>1623.2</v>
      </c>
      <c r="J173" s="70">
        <v>130.55799999999999</v>
      </c>
      <c r="K173" s="70">
        <f t="shared" si="26"/>
        <v>105.54599999999999</v>
      </c>
      <c r="L173" s="70">
        <v>1255.2</v>
      </c>
      <c r="M173" s="70">
        <f t="shared" si="27"/>
        <v>1149.654</v>
      </c>
      <c r="N173" s="72"/>
      <c r="AD173" s="128">
        <v>3</v>
      </c>
      <c r="AE173" s="129">
        <v>6</v>
      </c>
      <c r="AF173" s="158">
        <f t="shared" si="29"/>
        <v>11899.832</v>
      </c>
      <c r="AG173" s="129" t="s">
        <v>1073</v>
      </c>
      <c r="AH173" s="163">
        <f t="shared" si="21"/>
        <v>4880.1211032000001</v>
      </c>
      <c r="AI173" s="129" t="s">
        <v>1074</v>
      </c>
      <c r="AJ173" s="174">
        <f t="shared" si="22"/>
        <v>159.45774880000002</v>
      </c>
    </row>
    <row r="174" spans="1:37">
      <c r="A174" s="113">
        <v>2021</v>
      </c>
      <c r="B174" s="114">
        <v>292</v>
      </c>
      <c r="C174" s="114">
        <v>4</v>
      </c>
      <c r="D174" s="114">
        <v>11</v>
      </c>
      <c r="E174" s="114" t="s">
        <v>804</v>
      </c>
      <c r="F174" s="114">
        <v>7</v>
      </c>
      <c r="G174" s="114">
        <v>7</v>
      </c>
      <c r="H174" s="114">
        <v>1700</v>
      </c>
      <c r="I174" s="116">
        <f t="shared" si="25"/>
        <v>1679.3</v>
      </c>
      <c r="J174" s="114">
        <v>127.367</v>
      </c>
      <c r="K174" s="114">
        <f t="shared" si="26"/>
        <v>102.355</v>
      </c>
      <c r="L174" s="114">
        <v>1234.4000000000001</v>
      </c>
      <c r="M174" s="114">
        <f t="shared" si="27"/>
        <v>1132.0450000000001</v>
      </c>
      <c r="N174" s="115"/>
      <c r="AD174" s="128">
        <v>3</v>
      </c>
      <c r="AE174" s="129">
        <v>7</v>
      </c>
      <c r="AF174" s="158">
        <f t="shared" si="29"/>
        <v>12069.646749999996</v>
      </c>
      <c r="AG174" s="129" t="s">
        <v>1076</v>
      </c>
      <c r="AH174" s="163">
        <f t="shared" si="21"/>
        <v>4883.3790750499984</v>
      </c>
      <c r="AI174" s="129" t="s">
        <v>1066</v>
      </c>
      <c r="AJ174" s="174">
        <f t="shared" si="22"/>
        <v>136.38700827499994</v>
      </c>
    </row>
    <row r="175" spans="1:37">
      <c r="A175" s="113">
        <v>2021</v>
      </c>
      <c r="B175" s="114">
        <v>292</v>
      </c>
      <c r="C175" s="114">
        <v>4</v>
      </c>
      <c r="D175" s="114">
        <v>12</v>
      </c>
      <c r="E175" s="114" t="s">
        <v>804</v>
      </c>
      <c r="F175" s="114">
        <v>7</v>
      </c>
      <c r="G175" s="114">
        <v>7</v>
      </c>
      <c r="H175" s="114">
        <v>930.3</v>
      </c>
      <c r="I175" s="114">
        <f t="shared" si="25"/>
        <v>909.59999999999991</v>
      </c>
      <c r="J175" s="114">
        <v>68.325000000000003</v>
      </c>
      <c r="K175" s="114">
        <f t="shared" si="26"/>
        <v>43.313000000000002</v>
      </c>
      <c r="L175" s="114">
        <v>675.3</v>
      </c>
      <c r="M175" s="114">
        <f t="shared" si="27"/>
        <v>631.98699999999997</v>
      </c>
      <c r="N175" s="115"/>
      <c r="AD175" s="128">
        <v>3</v>
      </c>
      <c r="AE175" s="129">
        <v>8</v>
      </c>
      <c r="AF175" s="158">
        <f t="shared" si="29"/>
        <v>12031.616249999999</v>
      </c>
      <c r="AG175" s="129" t="s">
        <v>1077</v>
      </c>
      <c r="AH175" s="163">
        <f t="shared" si="21"/>
        <v>4926.9468543749999</v>
      </c>
      <c r="AI175" s="129" t="s">
        <v>1038</v>
      </c>
      <c r="AJ175" s="174">
        <f t="shared" si="22"/>
        <v>139.56674849999999</v>
      </c>
    </row>
    <row r="176" spans="1:37">
      <c r="A176" s="120">
        <v>2021</v>
      </c>
      <c r="B176" s="114">
        <v>292</v>
      </c>
      <c r="C176" s="121">
        <v>4</v>
      </c>
      <c r="D176" s="121">
        <v>13</v>
      </c>
      <c r="E176" s="122" t="s">
        <v>804</v>
      </c>
      <c r="F176" s="121">
        <v>7</v>
      </c>
      <c r="G176" s="121">
        <v>7</v>
      </c>
      <c r="H176" s="121">
        <v>859.1</v>
      </c>
      <c r="I176" s="114">
        <f t="shared" si="25"/>
        <v>838.4</v>
      </c>
      <c r="J176" s="121">
        <v>64.647000000000006</v>
      </c>
      <c r="K176" s="114">
        <f t="shared" si="26"/>
        <v>39.635000000000005</v>
      </c>
      <c r="L176" s="121">
        <v>604.70000000000005</v>
      </c>
      <c r="M176" s="114">
        <f t="shared" si="27"/>
        <v>565.06500000000005</v>
      </c>
      <c r="N176" s="123"/>
      <c r="AD176" s="128">
        <v>3</v>
      </c>
      <c r="AE176" s="129">
        <v>9</v>
      </c>
      <c r="AF176" s="158">
        <f t="shared" si="29"/>
        <v>12096.119749999996</v>
      </c>
      <c r="AG176" s="129" t="s">
        <v>766</v>
      </c>
      <c r="AH176" s="163">
        <f t="shared" si="21"/>
        <v>4927.9591861499994</v>
      </c>
      <c r="AI176" s="129" t="s">
        <v>1043</v>
      </c>
      <c r="AJ176" s="174">
        <f t="shared" si="22"/>
        <v>133.05731724999998</v>
      </c>
    </row>
    <row r="177" spans="1:37">
      <c r="A177" s="77"/>
      <c r="B177" s="77"/>
      <c r="C177" s="77"/>
      <c r="D177" s="77"/>
      <c r="E177" s="77"/>
      <c r="F177" s="77"/>
      <c r="G177" s="77"/>
      <c r="H177" s="77"/>
      <c r="I177" s="77"/>
      <c r="J177" s="77"/>
      <c r="K177" s="77"/>
      <c r="L177" s="77"/>
      <c r="M177" s="77"/>
      <c r="N177" s="77"/>
      <c r="AD177" s="130">
        <v>3</v>
      </c>
      <c r="AE177" s="131">
        <v>11</v>
      </c>
      <c r="AF177" s="187">
        <f>Z138*1000</f>
        <v>6320.6759999999986</v>
      </c>
      <c r="AG177" s="114" t="s">
        <v>1086</v>
      </c>
      <c r="AH177" s="115">
        <f t="shared" si="21"/>
        <v>2556.7134419999998</v>
      </c>
      <c r="AI177" s="114" t="s">
        <v>1087</v>
      </c>
      <c r="AJ177" s="179">
        <f t="shared" si="22"/>
        <v>58.782286799999994</v>
      </c>
    </row>
    <row r="178" spans="1:37">
      <c r="AD178" s="130">
        <v>3</v>
      </c>
      <c r="AE178" s="131">
        <v>12</v>
      </c>
      <c r="AF178" s="187">
        <f t="shared" ref="AF178:AF179" si="30">Z139*1000</f>
        <v>5338.7025000000003</v>
      </c>
      <c r="AG178" s="114" t="s">
        <v>1088</v>
      </c>
      <c r="AH178" s="115">
        <f t="shared" si="21"/>
        <v>2205.951873</v>
      </c>
      <c r="AI178" s="114" t="s">
        <v>1089</v>
      </c>
      <c r="AJ178" s="179">
        <f t="shared" si="22"/>
        <v>62.996689500000002</v>
      </c>
    </row>
    <row r="179" spans="1:37">
      <c r="N179" t="s">
        <v>1103</v>
      </c>
      <c r="O179">
        <f>AVERAGE(O182:O265)</f>
        <v>51.218955417904617</v>
      </c>
      <c r="AD179" s="130">
        <v>3</v>
      </c>
      <c r="AE179" s="131">
        <v>13</v>
      </c>
      <c r="AF179" s="187">
        <f t="shared" si="30"/>
        <v>5957.2300000000005</v>
      </c>
      <c r="AG179" s="114" t="s">
        <v>1090</v>
      </c>
      <c r="AH179" s="115">
        <f t="shared" si="21"/>
        <v>2452.5915910000003</v>
      </c>
      <c r="AI179" s="114" t="s">
        <v>1039</v>
      </c>
      <c r="AJ179" s="179">
        <f t="shared" si="22"/>
        <v>70.891036999999997</v>
      </c>
    </row>
    <row r="180" spans="1:37">
      <c r="AD180" s="128">
        <v>4</v>
      </c>
      <c r="AE180" s="129">
        <v>1</v>
      </c>
      <c r="AF180" s="158">
        <f>Z120*1000</f>
        <v>10132.034750000001</v>
      </c>
      <c r="AG180" s="129" t="s">
        <v>1061</v>
      </c>
      <c r="AH180" s="163">
        <f t="shared" si="21"/>
        <v>4117.6589223999999</v>
      </c>
      <c r="AI180" s="129" t="s">
        <v>1066</v>
      </c>
      <c r="AJ180" s="174">
        <f t="shared" si="22"/>
        <v>114.49199267500001</v>
      </c>
      <c r="AK180">
        <f>AVERAGE(AJ180:AJ188)</f>
        <v>154.56994558333332</v>
      </c>
    </row>
    <row r="181" spans="1:37">
      <c r="M181" t="s">
        <v>1020</v>
      </c>
      <c r="N181" t="s">
        <v>905</v>
      </c>
      <c r="O181" t="s">
        <v>1104</v>
      </c>
      <c r="AD181" s="128">
        <v>4</v>
      </c>
      <c r="AE181" s="129">
        <v>2</v>
      </c>
      <c r="AF181" s="158">
        <f t="shared" ref="AF181:AF188" si="31">Z121*1000</f>
        <v>13239.558999999999</v>
      </c>
      <c r="AG181" s="129" t="s">
        <v>752</v>
      </c>
      <c r="AH181" s="163">
        <f t="shared" si="21"/>
        <v>5449.4024843999996</v>
      </c>
      <c r="AI181" s="129" t="s">
        <v>1080</v>
      </c>
      <c r="AJ181" s="174">
        <f t="shared" si="22"/>
        <v>170.7903111</v>
      </c>
    </row>
    <row r="182" spans="1:37">
      <c r="M182">
        <v>1160.2460000000001</v>
      </c>
      <c r="N182">
        <v>498.63333333333333</v>
      </c>
      <c r="O182">
        <f>((M182-N182)/M182)*100</f>
        <v>57.023481801847772</v>
      </c>
      <c r="AD182" s="128">
        <v>4</v>
      </c>
      <c r="AE182" s="129">
        <v>3</v>
      </c>
      <c r="AF182" s="158">
        <f t="shared" si="31"/>
        <v>11262.599749999999</v>
      </c>
      <c r="AG182" s="129" t="s">
        <v>636</v>
      </c>
      <c r="AH182" s="163">
        <f t="shared" si="21"/>
        <v>4580.4993183249999</v>
      </c>
      <c r="AI182" s="129" t="s">
        <v>1038</v>
      </c>
      <c r="AJ182" s="174">
        <f t="shared" si="22"/>
        <v>130.64615709999998</v>
      </c>
    </row>
    <row r="183" spans="1:37">
      <c r="M183">
        <v>1068.4379999999999</v>
      </c>
      <c r="N183">
        <v>493.73333333333323</v>
      </c>
      <c r="O183">
        <f t="shared" ref="O183:O246" si="32">((M183-N183)/M183)*100</f>
        <v>53.789238745408404</v>
      </c>
      <c r="AD183" s="128">
        <v>4</v>
      </c>
      <c r="AE183" s="129">
        <v>4</v>
      </c>
      <c r="AF183" s="158">
        <f>Z123*1000</f>
        <v>14331.552999999998</v>
      </c>
      <c r="AG183" s="129" t="s">
        <v>1081</v>
      </c>
      <c r="AH183" s="163">
        <f t="shared" si="21"/>
        <v>5769.8832377999988</v>
      </c>
      <c r="AI183" s="129" t="s">
        <v>1082</v>
      </c>
      <c r="AJ183" s="174">
        <f t="shared" si="22"/>
        <v>156.21392769999997</v>
      </c>
    </row>
    <row r="184" spans="1:37">
      <c r="M184">
        <v>1060.3230000000001</v>
      </c>
      <c r="N184">
        <v>476.6</v>
      </c>
      <c r="O184">
        <f t="shared" si="32"/>
        <v>55.051432440869434</v>
      </c>
      <c r="AD184" s="128">
        <v>4</v>
      </c>
      <c r="AE184" s="129">
        <v>5</v>
      </c>
      <c r="AF184" s="158">
        <f t="shared" si="31"/>
        <v>12528.12875</v>
      </c>
      <c r="AG184" s="129" t="s">
        <v>1083</v>
      </c>
      <c r="AH184" s="163">
        <f t="shared" si="21"/>
        <v>5122.7518458750001</v>
      </c>
      <c r="AI184" s="129" t="s">
        <v>1035</v>
      </c>
      <c r="AJ184" s="174">
        <f t="shared" si="22"/>
        <v>144.073480625</v>
      </c>
    </row>
    <row r="185" spans="1:37">
      <c r="M185">
        <v>886.70400000000006</v>
      </c>
      <c r="N185">
        <v>420.33333333333331</v>
      </c>
      <c r="O185">
        <f t="shared" si="32"/>
        <v>52.595980921104079</v>
      </c>
      <c r="AD185" s="128">
        <v>4</v>
      </c>
      <c r="AE185" s="129">
        <v>6</v>
      </c>
      <c r="AF185" s="158">
        <f t="shared" si="31"/>
        <v>13130.596499999998</v>
      </c>
      <c r="AG185" s="129" t="s">
        <v>1085</v>
      </c>
      <c r="AH185" s="163">
        <f t="shared" si="21"/>
        <v>5320.5177017999995</v>
      </c>
      <c r="AI185" s="129" t="s">
        <v>1036</v>
      </c>
      <c r="AJ185" s="174">
        <f t="shared" si="22"/>
        <v>161.50633694999996</v>
      </c>
    </row>
    <row r="186" spans="1:37">
      <c r="M186">
        <v>1108.8809999999999</v>
      </c>
      <c r="N186">
        <v>507.96666666666664</v>
      </c>
      <c r="O186">
        <f t="shared" si="32"/>
        <v>54.19105687024426</v>
      </c>
      <c r="AD186" s="128">
        <v>4</v>
      </c>
      <c r="AE186" s="129">
        <v>7</v>
      </c>
      <c r="AF186" s="158">
        <f t="shared" si="31"/>
        <v>12800.989249999999</v>
      </c>
      <c r="AG186" s="129" t="s">
        <v>1067</v>
      </c>
      <c r="AH186" s="163">
        <f t="shared" si="21"/>
        <v>5231.7643064749991</v>
      </c>
      <c r="AI186" s="129" t="s">
        <v>1036</v>
      </c>
      <c r="AJ186" s="174">
        <f t="shared" si="22"/>
        <v>157.45216777499999</v>
      </c>
    </row>
    <row r="187" spans="1:37">
      <c r="M187">
        <v>1094.0889999999999</v>
      </c>
      <c r="N187">
        <v>557.89999999999986</v>
      </c>
      <c r="O187">
        <f t="shared" si="32"/>
        <v>49.007804666713596</v>
      </c>
      <c r="AD187" s="128">
        <v>4</v>
      </c>
      <c r="AE187" s="129">
        <v>8</v>
      </c>
      <c r="AF187" s="158">
        <f t="shared" si="31"/>
        <v>12873.32425</v>
      </c>
      <c r="AG187" s="129" t="s">
        <v>1061</v>
      </c>
      <c r="AH187" s="163">
        <f t="shared" si="21"/>
        <v>5231.7189751999995</v>
      </c>
      <c r="AI187" s="129" t="s">
        <v>1046</v>
      </c>
      <c r="AJ187" s="174">
        <f t="shared" si="22"/>
        <v>186.66320162499997</v>
      </c>
    </row>
    <row r="188" spans="1:37">
      <c r="M188">
        <v>1258.425</v>
      </c>
      <c r="N188">
        <v>469.33333333333331</v>
      </c>
      <c r="O188">
        <f t="shared" si="32"/>
        <v>62.704703630861339</v>
      </c>
      <c r="AD188" s="128">
        <v>4</v>
      </c>
      <c r="AE188" s="129">
        <v>9</v>
      </c>
      <c r="AF188" s="158">
        <f t="shared" si="31"/>
        <v>14226.212999999998</v>
      </c>
      <c r="AG188" s="129" t="s">
        <v>1067</v>
      </c>
      <c r="AH188" s="163">
        <f t="shared" si="21"/>
        <v>5814.2532530999988</v>
      </c>
      <c r="AI188" s="129" t="s">
        <v>1039</v>
      </c>
      <c r="AJ188" s="174">
        <f t="shared" si="22"/>
        <v>169.29193469999996</v>
      </c>
    </row>
    <row r="189" spans="1:37">
      <c r="M189">
        <v>1047.6020000000001</v>
      </c>
      <c r="N189">
        <v>511</v>
      </c>
      <c r="O189">
        <f t="shared" si="32"/>
        <v>51.221933520554565</v>
      </c>
      <c r="AD189" s="130">
        <v>4</v>
      </c>
      <c r="AE189" s="131">
        <v>11</v>
      </c>
      <c r="AF189" s="187">
        <f>Z141*1000</f>
        <v>13018.5175</v>
      </c>
      <c r="AG189" s="114" t="s">
        <v>1091</v>
      </c>
      <c r="AH189" s="115">
        <f t="shared" si="21"/>
        <v>5469.0792017499998</v>
      </c>
      <c r="AI189" s="114" t="s">
        <v>1092</v>
      </c>
      <c r="AJ189" s="160">
        <f t="shared" si="22"/>
        <v>217.40924225000001</v>
      </c>
    </row>
    <row r="190" spans="1:37">
      <c r="M190">
        <v>1117.4590000000001</v>
      </c>
      <c r="N190">
        <v>455.70000000000005</v>
      </c>
      <c r="O190">
        <f t="shared" si="32"/>
        <v>59.219980330374533</v>
      </c>
      <c r="AD190" s="130">
        <v>4</v>
      </c>
      <c r="AE190" s="131">
        <v>12</v>
      </c>
      <c r="AF190" s="187">
        <f t="shared" ref="AF190:AF191" si="33">Z142*1000</f>
        <v>7267.8504999999986</v>
      </c>
      <c r="AG190" s="114" t="s">
        <v>1093</v>
      </c>
      <c r="AH190" s="115">
        <f t="shared" si="21"/>
        <v>2918.0419757499994</v>
      </c>
      <c r="AI190" s="114" t="s">
        <v>1094</v>
      </c>
      <c r="AJ190" s="179">
        <f t="shared" si="22"/>
        <v>66.864224599999986</v>
      </c>
    </row>
    <row r="191" spans="1:37">
      <c r="M191">
        <v>1141.7909999999999</v>
      </c>
      <c r="N191">
        <v>596.16666666666674</v>
      </c>
      <c r="O191">
        <f t="shared" si="32"/>
        <v>47.786708192071337</v>
      </c>
      <c r="AD191" s="132">
        <v>4</v>
      </c>
      <c r="AE191" s="133">
        <v>13</v>
      </c>
      <c r="AF191" s="187">
        <f t="shared" si="33"/>
        <v>6498.2475000000004</v>
      </c>
      <c r="AG191" s="121" t="s">
        <v>1095</v>
      </c>
      <c r="AH191" s="115">
        <f t="shared" si="21"/>
        <v>2630.4905880000001</v>
      </c>
      <c r="AI191" s="121" t="s">
        <v>1096</v>
      </c>
      <c r="AJ191" s="179">
        <f t="shared" si="22"/>
        <v>61.083526499999998</v>
      </c>
    </row>
    <row r="192" spans="1:37">
      <c r="M192">
        <v>1211.6959999999999</v>
      </c>
      <c r="N192">
        <v>590.33333333333326</v>
      </c>
      <c r="O192">
        <f t="shared" si="32"/>
        <v>51.280409167535979</v>
      </c>
    </row>
    <row r="193" spans="13:15">
      <c r="M193">
        <v>1000.624</v>
      </c>
      <c r="N193">
        <v>501.79999999999995</v>
      </c>
      <c r="O193">
        <f t="shared" si="32"/>
        <v>49.851292793296984</v>
      </c>
    </row>
    <row r="194" spans="13:15">
      <c r="M194">
        <v>1122.038</v>
      </c>
      <c r="N194">
        <v>550.43333333333328</v>
      </c>
      <c r="O194">
        <f t="shared" si="32"/>
        <v>50.943432100041775</v>
      </c>
    </row>
    <row r="195" spans="13:15">
      <c r="M195">
        <v>1222.9940000000001</v>
      </c>
      <c r="N195">
        <v>572.83333333333326</v>
      </c>
      <c r="O195">
        <f t="shared" si="32"/>
        <v>53.161394632080516</v>
      </c>
    </row>
    <row r="196" spans="13:15">
      <c r="M196">
        <v>1069.05</v>
      </c>
      <c r="N196">
        <v>525.4666666666667</v>
      </c>
      <c r="O196">
        <f t="shared" si="32"/>
        <v>50.847325507070138</v>
      </c>
    </row>
    <row r="197" spans="13:15">
      <c r="M197">
        <v>982.77600000000007</v>
      </c>
      <c r="N197">
        <v>442.40000000000009</v>
      </c>
      <c r="O197">
        <f t="shared" si="32"/>
        <v>54.984655709948136</v>
      </c>
    </row>
    <row r="198" spans="13:15">
      <c r="M198">
        <v>1005.48</v>
      </c>
      <c r="N198">
        <v>404.83333333333337</v>
      </c>
      <c r="O198">
        <f t="shared" si="32"/>
        <v>59.737306228534294</v>
      </c>
    </row>
    <row r="199" spans="13:15">
      <c r="M199">
        <v>931.226</v>
      </c>
      <c r="N199">
        <v>401.09999999999991</v>
      </c>
      <c r="O199">
        <f t="shared" si="32"/>
        <v>56.927749010444309</v>
      </c>
    </row>
    <row r="200" spans="13:15">
      <c r="M200">
        <v>779.81</v>
      </c>
      <c r="N200">
        <v>400.63333333333327</v>
      </c>
      <c r="O200">
        <f t="shared" si="32"/>
        <v>48.62423752794485</v>
      </c>
    </row>
    <row r="201" spans="13:15">
      <c r="M201">
        <v>815.92499999999995</v>
      </c>
      <c r="N201">
        <v>308.79999999999995</v>
      </c>
      <c r="O201">
        <f t="shared" si="32"/>
        <v>62.153384195851338</v>
      </c>
    </row>
    <row r="202" spans="13:15">
      <c r="M202">
        <v>1100.7239999999999</v>
      </c>
      <c r="N202">
        <v>566.66666666666663</v>
      </c>
      <c r="O202">
        <f t="shared" si="32"/>
        <v>48.518732519081382</v>
      </c>
    </row>
    <row r="203" spans="13:15">
      <c r="M203">
        <v>1072.5709999999999</v>
      </c>
      <c r="N203">
        <v>470.63333333333333</v>
      </c>
      <c r="O203">
        <f t="shared" si="32"/>
        <v>56.121008927769502</v>
      </c>
    </row>
    <row r="204" spans="13:15">
      <c r="M204">
        <v>1086.7339999999999</v>
      </c>
      <c r="N204">
        <v>528.5</v>
      </c>
      <c r="O204">
        <f t="shared" si="32"/>
        <v>51.368044065981188</v>
      </c>
    </row>
    <row r="205" spans="13:15">
      <c r="M205">
        <v>1110.922</v>
      </c>
      <c r="N205">
        <v>513.33333333333326</v>
      </c>
      <c r="O205">
        <f t="shared" si="32"/>
        <v>53.792135421448741</v>
      </c>
    </row>
    <row r="206" spans="13:15">
      <c r="M206">
        <v>1171.6089999999999</v>
      </c>
      <c r="N206">
        <v>538.06666666666661</v>
      </c>
      <c r="O206">
        <f t="shared" si="32"/>
        <v>54.074553313719285</v>
      </c>
    </row>
    <row r="207" spans="13:15">
      <c r="M207">
        <v>1139.3920000000001</v>
      </c>
      <c r="N207">
        <v>482.76666666666659</v>
      </c>
      <c r="O207">
        <f t="shared" si="32"/>
        <v>57.629449156509203</v>
      </c>
    </row>
    <row r="208" spans="13:15">
      <c r="M208">
        <v>1072.25</v>
      </c>
      <c r="N208">
        <v>561.33333333333337</v>
      </c>
      <c r="O208">
        <f t="shared" si="32"/>
        <v>47.649024636667441</v>
      </c>
    </row>
    <row r="209" spans="13:15">
      <c r="M209">
        <v>1146.4499999999998</v>
      </c>
      <c r="N209">
        <v>476.23333333333323</v>
      </c>
      <c r="O209">
        <f t="shared" si="32"/>
        <v>58.460174160815271</v>
      </c>
    </row>
    <row r="210" spans="13:15">
      <c r="M210">
        <v>1090.3219999999999</v>
      </c>
      <c r="N210">
        <v>522.43333333333328</v>
      </c>
      <c r="O210">
        <f t="shared" si="32"/>
        <v>52.084491248151153</v>
      </c>
    </row>
    <row r="211" spans="13:15">
      <c r="M211">
        <v>1080.115</v>
      </c>
      <c r="N211">
        <v>498.16666666666669</v>
      </c>
      <c r="O211">
        <f t="shared" si="32"/>
        <v>53.878367889838884</v>
      </c>
    </row>
    <row r="212" spans="13:15">
      <c r="M212">
        <v>1020.51</v>
      </c>
      <c r="N212">
        <v>477.86666666666667</v>
      </c>
      <c r="O212">
        <f t="shared" si="32"/>
        <v>53.173739927421906</v>
      </c>
    </row>
    <row r="213" spans="13:15">
      <c r="M213">
        <v>1129.2359999999999</v>
      </c>
      <c r="N213">
        <v>537.6</v>
      </c>
      <c r="O213">
        <f t="shared" si="32"/>
        <v>52.392591096989463</v>
      </c>
    </row>
    <row r="214" spans="13:15">
      <c r="M214">
        <v>1030.7469999999998</v>
      </c>
      <c r="N214">
        <v>471.33333333333331</v>
      </c>
      <c r="O214">
        <f t="shared" si="32"/>
        <v>54.27264563143688</v>
      </c>
    </row>
    <row r="215" spans="13:15">
      <c r="M215">
        <v>1081.212</v>
      </c>
      <c r="N215">
        <v>578.93333333333328</v>
      </c>
      <c r="O215">
        <f t="shared" si="32"/>
        <v>46.455150947886878</v>
      </c>
    </row>
    <row r="216" spans="13:15">
      <c r="M216">
        <v>1062.664</v>
      </c>
      <c r="N216">
        <v>463.63333333333333</v>
      </c>
      <c r="O216">
        <f t="shared" si="32"/>
        <v>56.370655886213015</v>
      </c>
    </row>
    <row r="217" spans="13:15">
      <c r="M217">
        <v>1061.202</v>
      </c>
      <c r="N217">
        <v>463.63333333333333</v>
      </c>
      <c r="O217">
        <f t="shared" si="32"/>
        <v>56.310548478674818</v>
      </c>
    </row>
    <row r="218" spans="13:15">
      <c r="M218">
        <v>1178.4290000000001</v>
      </c>
      <c r="N218">
        <v>555.33333333333326</v>
      </c>
      <c r="O218">
        <f t="shared" si="32"/>
        <v>52.875113109628735</v>
      </c>
    </row>
    <row r="219" spans="13:15">
      <c r="M219">
        <v>1106.1109999999999</v>
      </c>
      <c r="N219">
        <v>537.83333333333326</v>
      </c>
      <c r="O219">
        <f t="shared" si="32"/>
        <v>51.376187983544753</v>
      </c>
    </row>
    <row r="220" spans="13:15">
      <c r="M220">
        <v>1093.8610000000001</v>
      </c>
      <c r="N220">
        <v>530.6</v>
      </c>
      <c r="O220">
        <f t="shared" si="32"/>
        <v>51.492922775380059</v>
      </c>
    </row>
    <row r="221" spans="13:15">
      <c r="M221">
        <v>854.18299999999999</v>
      </c>
      <c r="N221">
        <v>466.20000000000005</v>
      </c>
      <c r="O221">
        <f t="shared" si="32"/>
        <v>45.421531451691258</v>
      </c>
    </row>
    <row r="222" spans="13:15">
      <c r="M222">
        <v>906.14499999999998</v>
      </c>
      <c r="N222">
        <v>501.19999999999993</v>
      </c>
      <c r="O222">
        <f t="shared" si="32"/>
        <v>44.688763939546106</v>
      </c>
    </row>
    <row r="223" spans="13:15">
      <c r="M223">
        <v>621.03100000000006</v>
      </c>
      <c r="N223">
        <v>299.79999999999995</v>
      </c>
      <c r="O223">
        <f t="shared" si="32"/>
        <v>51.725437216499671</v>
      </c>
    </row>
    <row r="224" spans="13:15">
      <c r="M224">
        <v>1090.9459999999999</v>
      </c>
      <c r="N224">
        <v>567.70000000000005</v>
      </c>
      <c r="O224">
        <f t="shared" si="32"/>
        <v>47.962593932238619</v>
      </c>
    </row>
    <row r="225" spans="13:15">
      <c r="M225">
        <v>994.14399999999989</v>
      </c>
      <c r="N225">
        <v>482.76666666666659</v>
      </c>
      <c r="O225">
        <f t="shared" si="32"/>
        <v>51.438959882404703</v>
      </c>
    </row>
    <row r="226" spans="13:15">
      <c r="M226">
        <v>1031.7180000000001</v>
      </c>
      <c r="N226">
        <v>593.40000000000009</v>
      </c>
      <c r="O226">
        <f t="shared" si="32"/>
        <v>42.484283496071598</v>
      </c>
    </row>
    <row r="227" spans="13:15">
      <c r="M227">
        <v>1032.296</v>
      </c>
      <c r="N227">
        <v>515.73333333333323</v>
      </c>
      <c r="O227">
        <f t="shared" si="32"/>
        <v>50.040169357109477</v>
      </c>
    </row>
    <row r="228" spans="13:15">
      <c r="M228">
        <v>1070.5219999999999</v>
      </c>
      <c r="N228">
        <v>532.4666666666667</v>
      </c>
      <c r="O228">
        <f t="shared" si="32"/>
        <v>50.261025306657245</v>
      </c>
    </row>
    <row r="229" spans="13:15">
      <c r="M229">
        <v>1258.3809999999999</v>
      </c>
      <c r="N229">
        <v>500.73333333333323</v>
      </c>
      <c r="O229">
        <f t="shared" si="32"/>
        <v>60.208129864219714</v>
      </c>
    </row>
    <row r="230" spans="13:15">
      <c r="M230">
        <v>1006.22</v>
      </c>
      <c r="N230">
        <v>514.9666666666667</v>
      </c>
      <c r="O230">
        <f t="shared" si="32"/>
        <v>48.821662592011023</v>
      </c>
    </row>
    <row r="231" spans="13:15">
      <c r="M231">
        <v>1064.8429999999998</v>
      </c>
      <c r="N231">
        <v>599.73333333333323</v>
      </c>
      <c r="O231">
        <f t="shared" si="32"/>
        <v>43.678708191411005</v>
      </c>
    </row>
    <row r="232" spans="13:15">
      <c r="M232">
        <v>970.23299999999995</v>
      </c>
      <c r="N232">
        <v>534.66666666666663</v>
      </c>
      <c r="O232">
        <f t="shared" si="32"/>
        <v>44.892962137273557</v>
      </c>
    </row>
    <row r="233" spans="13:15">
      <c r="M233">
        <v>922.74099999999999</v>
      </c>
      <c r="N233">
        <v>512.79999999999995</v>
      </c>
      <c r="O233">
        <f t="shared" si="32"/>
        <v>44.426442522874787</v>
      </c>
    </row>
    <row r="234" spans="13:15">
      <c r="M234">
        <v>1039.8770000000002</v>
      </c>
      <c r="N234">
        <v>576.1</v>
      </c>
      <c r="O234">
        <f t="shared" si="32"/>
        <v>44.599217022782511</v>
      </c>
    </row>
    <row r="235" spans="13:15">
      <c r="M235">
        <v>1029.6590000000001</v>
      </c>
      <c r="N235">
        <v>534.56666666666661</v>
      </c>
      <c r="O235">
        <f t="shared" si="32"/>
        <v>48.083135614153178</v>
      </c>
    </row>
    <row r="236" spans="13:15">
      <c r="M236">
        <v>1102.4319999999998</v>
      </c>
      <c r="N236">
        <v>489.06666666666661</v>
      </c>
      <c r="O236">
        <f t="shared" si="32"/>
        <v>55.637475448221139</v>
      </c>
    </row>
    <row r="237" spans="13:15">
      <c r="M237">
        <v>996.63700000000006</v>
      </c>
      <c r="N237">
        <v>441.93333333333328</v>
      </c>
      <c r="O237">
        <f t="shared" si="32"/>
        <v>55.65754298372093</v>
      </c>
    </row>
    <row r="238" spans="13:15">
      <c r="M238">
        <v>1049.4749999999999</v>
      </c>
      <c r="N238">
        <v>524.76666666666654</v>
      </c>
      <c r="O238">
        <f t="shared" si="32"/>
        <v>49.997220832638547</v>
      </c>
    </row>
    <row r="239" spans="13:15">
      <c r="M239">
        <v>1042.98</v>
      </c>
      <c r="N239">
        <v>501.06666666666661</v>
      </c>
      <c r="O239">
        <f t="shared" si="32"/>
        <v>51.958171137829432</v>
      </c>
    </row>
    <row r="240" spans="13:15">
      <c r="M240">
        <v>1088.2569999999998</v>
      </c>
      <c r="N240">
        <v>461.06666666666672</v>
      </c>
      <c r="O240">
        <f t="shared" si="32"/>
        <v>57.632556770444218</v>
      </c>
    </row>
    <row r="241" spans="13:15">
      <c r="M241">
        <v>1015.4159999999999</v>
      </c>
      <c r="N241">
        <v>518.23333333333323</v>
      </c>
      <c r="O241">
        <f t="shared" si="32"/>
        <v>48.963446180350388</v>
      </c>
    </row>
    <row r="242" spans="13:15">
      <c r="M242">
        <v>549.62400000000002</v>
      </c>
      <c r="N242">
        <v>389.90000000000009</v>
      </c>
      <c r="O242">
        <f t="shared" si="32"/>
        <v>29.060594151638199</v>
      </c>
    </row>
    <row r="243" spans="13:15">
      <c r="M243">
        <v>464.23500000000001</v>
      </c>
      <c r="N243">
        <v>292.83333333333337</v>
      </c>
      <c r="O243">
        <f t="shared" si="32"/>
        <v>36.921314994919953</v>
      </c>
    </row>
    <row r="244" spans="13:15">
      <c r="M244">
        <v>518.02</v>
      </c>
      <c r="N244">
        <v>340.20000000000005</v>
      </c>
      <c r="O244">
        <f t="shared" si="32"/>
        <v>34.326859966796633</v>
      </c>
    </row>
    <row r="245" spans="13:15">
      <c r="M245">
        <v>821.63099999999997</v>
      </c>
      <c r="N245">
        <v>372</v>
      </c>
      <c r="O245">
        <f t="shared" si="32"/>
        <v>54.724201009942419</v>
      </c>
    </row>
    <row r="246" spans="13:15">
      <c r="M246">
        <v>940.4620000000001</v>
      </c>
      <c r="N246">
        <v>574.4666666666667</v>
      </c>
      <c r="O246">
        <f t="shared" si="32"/>
        <v>38.916546690172851</v>
      </c>
    </row>
    <row r="247" spans="13:15">
      <c r="M247">
        <v>1149.7919999999999</v>
      </c>
      <c r="N247">
        <v>553.23333333333323</v>
      </c>
      <c r="O247">
        <f t="shared" ref="O247:O265" si="34">((M247-N247)/M247)*100</f>
        <v>51.884050912396916</v>
      </c>
    </row>
    <row r="248" spans="13:15">
      <c r="M248">
        <v>1152.74</v>
      </c>
      <c r="N248">
        <v>512.63333333333333</v>
      </c>
      <c r="O248">
        <f t="shared" si="34"/>
        <v>55.529145051500485</v>
      </c>
    </row>
    <row r="249" spans="13:15">
      <c r="M249">
        <v>861.13000000000011</v>
      </c>
      <c r="N249">
        <v>387</v>
      </c>
      <c r="O249">
        <f t="shared" si="34"/>
        <v>55.059050317605937</v>
      </c>
    </row>
    <row r="250" spans="13:15">
      <c r="M250">
        <v>1097.5829999999999</v>
      </c>
      <c r="N250">
        <v>539.93333333333328</v>
      </c>
      <c r="O250">
        <f t="shared" si="34"/>
        <v>50.807061212379082</v>
      </c>
    </row>
    <row r="251" spans="13:15">
      <c r="M251">
        <v>1193.1019999999999</v>
      </c>
      <c r="N251">
        <v>521.73333333333323</v>
      </c>
      <c r="O251">
        <f t="shared" si="34"/>
        <v>56.270852506044463</v>
      </c>
    </row>
    <row r="252" spans="13:15">
      <c r="M252">
        <v>1299.3420000000001</v>
      </c>
      <c r="N252">
        <v>595.23333333333323</v>
      </c>
      <c r="O252">
        <f t="shared" si="34"/>
        <v>54.18963341958213</v>
      </c>
    </row>
    <row r="253" spans="13:15">
      <c r="M253">
        <v>1191.105</v>
      </c>
      <c r="N253">
        <v>507.96666666666664</v>
      </c>
      <c r="O253">
        <f t="shared" si="34"/>
        <v>57.353325973220947</v>
      </c>
    </row>
    <row r="254" spans="13:15">
      <c r="M254">
        <v>987.7</v>
      </c>
      <c r="N254">
        <v>569.79999999999995</v>
      </c>
      <c r="O254">
        <f t="shared" si="34"/>
        <v>42.310418143160888</v>
      </c>
    </row>
    <row r="255" spans="13:15">
      <c r="M255">
        <v>1144.9269999999999</v>
      </c>
      <c r="N255">
        <v>534.79999999999995</v>
      </c>
      <c r="O255">
        <f t="shared" si="34"/>
        <v>53.289598376141015</v>
      </c>
    </row>
    <row r="256" spans="13:15">
      <c r="M256">
        <v>1138.655</v>
      </c>
      <c r="N256">
        <v>481.59999999999997</v>
      </c>
      <c r="O256">
        <f t="shared" si="34"/>
        <v>57.704484677097113</v>
      </c>
    </row>
    <row r="257" spans="13:15">
      <c r="M257">
        <v>1061.1299999999999</v>
      </c>
      <c r="N257">
        <v>429.09999999999991</v>
      </c>
      <c r="O257">
        <f t="shared" si="34"/>
        <v>59.561976383666469</v>
      </c>
    </row>
    <row r="258" spans="13:15">
      <c r="M258">
        <v>1165.1290000000001</v>
      </c>
      <c r="N258">
        <v>555.1</v>
      </c>
      <c r="O258">
        <f t="shared" si="34"/>
        <v>52.357206798560505</v>
      </c>
    </row>
    <row r="259" spans="13:15">
      <c r="M259">
        <v>1197.3999999999999</v>
      </c>
      <c r="N259">
        <v>535.9666666666667</v>
      </c>
      <c r="O259">
        <f t="shared" si="34"/>
        <v>55.239129224430705</v>
      </c>
    </row>
    <row r="260" spans="13:15">
      <c r="M260">
        <v>1041.4390000000001</v>
      </c>
      <c r="N260">
        <v>552.5333333333333</v>
      </c>
      <c r="O260">
        <f t="shared" si="34"/>
        <v>46.945204343861406</v>
      </c>
    </row>
    <row r="261" spans="13:15">
      <c r="M261">
        <v>1324.47</v>
      </c>
      <c r="N261">
        <v>603.19999999999993</v>
      </c>
      <c r="O261">
        <f t="shared" si="34"/>
        <v>54.457254599953195</v>
      </c>
    </row>
    <row r="262" spans="13:15">
      <c r="M262">
        <v>1149.654</v>
      </c>
      <c r="N262">
        <v>514.5</v>
      </c>
      <c r="O262">
        <f t="shared" si="34"/>
        <v>55.247404871378691</v>
      </c>
    </row>
    <row r="263" spans="13:15">
      <c r="M263">
        <v>1132.0450000000001</v>
      </c>
      <c r="N263">
        <v>535.0333333333333</v>
      </c>
      <c r="O263">
        <f t="shared" si="34"/>
        <v>52.737450071920001</v>
      </c>
    </row>
    <row r="264" spans="13:15">
      <c r="M264">
        <v>631.98699999999997</v>
      </c>
      <c r="N264">
        <v>419.06666666666672</v>
      </c>
      <c r="O264">
        <f t="shared" si="34"/>
        <v>33.690619163579825</v>
      </c>
    </row>
    <row r="265" spans="13:15">
      <c r="M265">
        <v>565.06500000000005</v>
      </c>
      <c r="N265">
        <v>362.59999999999991</v>
      </c>
      <c r="O265">
        <f t="shared" si="34"/>
        <v>35.830391193933465</v>
      </c>
    </row>
  </sheetData>
  <phoneticPr fontId="30" type="noConversion"/>
  <pageMargins left="0.7" right="0.7" top="0.75" bottom="0.75" header="0.3" footer="0.3"/>
  <ignoredErrors>
    <ignoredError sqref="R93:R101" twoDigitTextYear="1"/>
  </ignoredErrors>
  <drawing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55693-C099-CD45-8BC9-D91E2911DB5B}">
  <dimension ref="A2:Q10"/>
  <sheetViews>
    <sheetView topLeftCell="D16" zoomScale="90" zoomScaleNormal="90" workbookViewId="0">
      <selection activeCell="A11" sqref="A11"/>
    </sheetView>
  </sheetViews>
  <sheetFormatPr defaultColWidth="11" defaultRowHeight="15.5"/>
  <cols>
    <col min="1" max="1" width="21.08203125" customWidth="1"/>
    <col min="2" max="2" width="21.83203125" customWidth="1"/>
    <col min="3" max="3" width="18.33203125" customWidth="1"/>
    <col min="4" max="4" width="23" customWidth="1"/>
    <col min="5" max="5" width="20.58203125" customWidth="1"/>
    <col min="6" max="6" width="19.5" customWidth="1"/>
    <col min="7" max="7" width="22.58203125" customWidth="1"/>
    <col min="9" max="9" width="12.58203125" customWidth="1"/>
    <col min="10" max="10" width="13.5" customWidth="1"/>
    <col min="11" max="11" width="16" customWidth="1"/>
    <col min="12" max="12" width="18.58203125" customWidth="1"/>
    <col min="13" max="13" width="20.5" customWidth="1"/>
    <col min="16" max="16" width="12.08203125" customWidth="1"/>
    <col min="17" max="17" width="15.33203125" customWidth="1"/>
  </cols>
  <sheetData>
    <row r="2" spans="1:17">
      <c r="A2" t="s">
        <v>672</v>
      </c>
      <c r="B2" t="s">
        <v>1105</v>
      </c>
      <c r="C2" t="s">
        <v>1106</v>
      </c>
      <c r="D2" t="s">
        <v>1107</v>
      </c>
      <c r="E2" t="s">
        <v>1108</v>
      </c>
      <c r="F2" t="s">
        <v>1109</v>
      </c>
      <c r="G2" t="s">
        <v>1110</v>
      </c>
      <c r="I2" t="s">
        <v>1111</v>
      </c>
      <c r="J2" t="s">
        <v>1099</v>
      </c>
      <c r="K2" t="s">
        <v>1112</v>
      </c>
      <c r="L2" t="s">
        <v>1100</v>
      </c>
      <c r="M2" t="s">
        <v>1113</v>
      </c>
      <c r="N2" t="s">
        <v>1101</v>
      </c>
      <c r="O2" t="s">
        <v>1114</v>
      </c>
      <c r="P2" t="s">
        <v>1102</v>
      </c>
      <c r="Q2" t="s">
        <v>1115</v>
      </c>
    </row>
    <row r="3" spans="1:17">
      <c r="A3" t="s">
        <v>675</v>
      </c>
      <c r="B3">
        <v>1.5043874999999998</v>
      </c>
      <c r="C3">
        <v>5.287407303703703</v>
      </c>
      <c r="D3">
        <v>5.7350287037037022</v>
      </c>
      <c r="E3">
        <v>0.10549501812881969</v>
      </c>
      <c r="F3">
        <v>0.42311997701204301</v>
      </c>
      <c r="G3">
        <v>0.5764822479244851</v>
      </c>
      <c r="I3" t="s">
        <v>1105</v>
      </c>
      <c r="J3">
        <v>1.5043874999999998</v>
      </c>
      <c r="K3">
        <v>1.08185</v>
      </c>
      <c r="L3">
        <v>1.4539800000000001</v>
      </c>
      <c r="M3">
        <v>1.15577</v>
      </c>
      <c r="N3">
        <v>1.3496816666666667</v>
      </c>
      <c r="O3">
        <v>0.99060499999999996</v>
      </c>
      <c r="P3">
        <v>1.4209066666666665</v>
      </c>
      <c r="Q3">
        <v>0.97366499999999989</v>
      </c>
    </row>
    <row r="4" spans="1:17">
      <c r="A4" t="s">
        <v>943</v>
      </c>
      <c r="B4">
        <v>1.08185</v>
      </c>
      <c r="C4">
        <v>5.227243477777777</v>
      </c>
      <c r="D4">
        <v>4.8917166666666656</v>
      </c>
      <c r="E4">
        <v>3.4656416072640701E-2</v>
      </c>
      <c r="F4">
        <v>0.51978432472544123</v>
      </c>
      <c r="G4">
        <v>1.5030551814923871</v>
      </c>
      <c r="I4" t="s">
        <v>1106</v>
      </c>
      <c r="J4">
        <v>4.0231111111111106</v>
      </c>
      <c r="K4">
        <v>1.9886666666666668</v>
      </c>
      <c r="L4">
        <v>4.5348888888888892</v>
      </c>
      <c r="M4">
        <v>1.9113333333333331</v>
      </c>
      <c r="N4">
        <v>3.3101111111111114</v>
      </c>
      <c r="O4">
        <v>1.3426666666666665</v>
      </c>
      <c r="P4">
        <v>3.3356666666666666</v>
      </c>
      <c r="Q4">
        <v>1.5763333333333334</v>
      </c>
    </row>
    <row r="5" spans="1:17">
      <c r="A5" t="s">
        <v>676</v>
      </c>
      <c r="B5">
        <v>1.4539800000000001</v>
      </c>
      <c r="C5">
        <v>6.0843092592592587</v>
      </c>
      <c r="D5">
        <v>5.8830379629629617</v>
      </c>
      <c r="E5">
        <v>0.21881324725665022</v>
      </c>
      <c r="F5">
        <v>0.44140244282909641</v>
      </c>
      <c r="G5">
        <v>0.17346019821997319</v>
      </c>
      <c r="I5" t="s">
        <v>1107</v>
      </c>
      <c r="J5">
        <v>5.7350287037037022</v>
      </c>
      <c r="K5">
        <v>4.8917166666666656</v>
      </c>
      <c r="L5">
        <v>5.8830379629629617</v>
      </c>
      <c r="M5">
        <v>4.8575999999999988</v>
      </c>
      <c r="N5">
        <v>5.8930898148148128</v>
      </c>
      <c r="O5">
        <v>3.921244444444445</v>
      </c>
      <c r="P5">
        <v>5.9677333333333316</v>
      </c>
      <c r="Q5">
        <v>5.0473499999999989</v>
      </c>
    </row>
    <row r="6" spans="1:17">
      <c r="A6" t="s">
        <v>948</v>
      </c>
      <c r="B6">
        <v>1.15577</v>
      </c>
      <c r="C6">
        <v>5.1287444444444441</v>
      </c>
      <c r="D6">
        <v>4.8575999999999988</v>
      </c>
      <c r="E6">
        <v>7.4534051110884875E-2</v>
      </c>
      <c r="F6">
        <v>0.56998152024949522</v>
      </c>
      <c r="G6">
        <v>1.237483361504307</v>
      </c>
    </row>
    <row r="7" spans="1:17">
      <c r="A7" t="s">
        <v>677</v>
      </c>
      <c r="B7">
        <v>1.3496816666666667</v>
      </c>
      <c r="C7">
        <v>4.5616089537037032</v>
      </c>
      <c r="D7">
        <v>5.8930898148148128</v>
      </c>
      <c r="E7">
        <v>0.15606729001459557</v>
      </c>
      <c r="F7">
        <v>0.49070190432824917</v>
      </c>
      <c r="G7">
        <v>0.4081335786442658</v>
      </c>
    </row>
    <row r="8" spans="1:17">
      <c r="A8" t="s">
        <v>952</v>
      </c>
      <c r="B8">
        <v>0.99060499999999996</v>
      </c>
      <c r="C8">
        <v>3.7006131111111107</v>
      </c>
      <c r="D8">
        <v>3.921244444444445</v>
      </c>
      <c r="E8">
        <v>7.7706124758605735E-2</v>
      </c>
      <c r="F8">
        <v>0.39100994786827775</v>
      </c>
      <c r="G8">
        <v>0.55818708341611856</v>
      </c>
    </row>
    <row r="9" spans="1:17">
      <c r="A9" t="s">
        <v>678</v>
      </c>
      <c r="B9">
        <v>1.4209066666666665</v>
      </c>
      <c r="C9">
        <v>4.4753527777777773</v>
      </c>
      <c r="D9">
        <v>5.9677333333333316</v>
      </c>
      <c r="E9">
        <v>0.17733649155630649</v>
      </c>
      <c r="F9">
        <v>0.47627182470407031</v>
      </c>
      <c r="G9">
        <v>0.41449389039358686</v>
      </c>
    </row>
    <row r="10" spans="1:17">
      <c r="A10" t="s">
        <v>957</v>
      </c>
      <c r="B10">
        <v>0.97366499999999989</v>
      </c>
      <c r="C10">
        <v>4.2298277777777775</v>
      </c>
      <c r="D10">
        <v>5.0473499999999989</v>
      </c>
      <c r="E10">
        <v>0.14390298841580809</v>
      </c>
      <c r="F10">
        <v>1.3357107580832228</v>
      </c>
      <c r="G10">
        <v>1.0109758801661781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97CA-8186-7A4C-94DD-86F4D1E3B109}">
  <dimension ref="A1:BM111"/>
  <sheetViews>
    <sheetView tabSelected="1" topLeftCell="A43" zoomScale="80" zoomScaleNormal="80" workbookViewId="0">
      <selection activeCell="T36" sqref="T36"/>
    </sheetView>
  </sheetViews>
  <sheetFormatPr defaultColWidth="11" defaultRowHeight="15.5"/>
  <cols>
    <col min="2" max="2" width="15.33203125" customWidth="1"/>
    <col min="5" max="5" width="19.5" customWidth="1"/>
    <col min="6" max="6" width="21" customWidth="1"/>
    <col min="7" max="7" width="25.08203125" customWidth="1"/>
    <col min="8" max="8" width="21.33203125" customWidth="1"/>
    <col min="9" max="9" width="24.33203125" customWidth="1"/>
    <col min="10" max="10" width="16.08203125" customWidth="1"/>
    <col min="11" max="11" width="12" customWidth="1"/>
    <col min="13" max="13" width="35.83203125" customWidth="1"/>
    <col min="14" max="14" width="14.83203125" customWidth="1"/>
    <col min="15" max="15" width="40.5" customWidth="1"/>
    <col min="16" max="16" width="21.08203125" customWidth="1"/>
    <col min="17" max="18" width="20.08203125" customWidth="1"/>
    <col min="19" max="19" width="18.83203125" customWidth="1"/>
    <col min="20" max="20" width="16" customWidth="1"/>
    <col min="21" max="21" width="18.5" customWidth="1"/>
    <col min="22" max="22" width="17.33203125" customWidth="1"/>
    <col min="23" max="23" width="20.58203125" customWidth="1"/>
    <col min="24" max="24" width="19" customWidth="1"/>
    <col min="26" max="26" width="15.58203125" customWidth="1"/>
    <col min="30" max="30" width="24.08203125" customWidth="1"/>
    <col min="31" max="31" width="29.83203125" customWidth="1"/>
    <col min="32" max="32" width="26.5" customWidth="1"/>
    <col min="33" max="33" width="31.33203125" customWidth="1"/>
    <col min="39" max="39" width="14.83203125" customWidth="1"/>
    <col min="41" max="41" width="22.83203125" customWidth="1"/>
    <col min="42" max="42" width="28.83203125" customWidth="1"/>
    <col min="43" max="43" width="27.58203125" customWidth="1"/>
    <col min="44" max="44" width="32.08203125" customWidth="1"/>
    <col min="50" max="50" width="17.5" customWidth="1"/>
    <col min="51" max="51" width="15.5" customWidth="1"/>
    <col min="52" max="52" width="15.83203125" customWidth="1"/>
    <col min="53" max="53" width="14.5" customWidth="1"/>
  </cols>
  <sheetData>
    <row r="1" spans="1:65" ht="23.5">
      <c r="A1">
        <v>2021</v>
      </c>
      <c r="M1" s="63"/>
      <c r="N1" s="63"/>
    </row>
    <row r="2" spans="1:65" ht="23.5">
      <c r="M2" s="63"/>
      <c r="N2" s="63"/>
      <c r="U2" t="s">
        <v>1116</v>
      </c>
      <c r="AX2" s="14"/>
      <c r="AY2" s="14"/>
      <c r="AZ2" s="14"/>
      <c r="BA2" s="14"/>
      <c r="BB2" s="14"/>
      <c r="BC2" s="14"/>
      <c r="BD2" s="14"/>
      <c r="BE2" s="14"/>
      <c r="BF2" s="14"/>
      <c r="BG2" s="14"/>
      <c r="BH2" s="14"/>
      <c r="BI2" s="14"/>
      <c r="BJ2" s="14"/>
      <c r="BK2" s="14"/>
      <c r="BL2" s="14"/>
      <c r="BM2" s="14"/>
    </row>
    <row r="3" spans="1:65" ht="23">
      <c r="A3" s="94" t="s">
        <v>1117</v>
      </c>
      <c r="E3" t="s">
        <v>1118</v>
      </c>
      <c r="F3">
        <v>20.7</v>
      </c>
      <c r="AS3">
        <f>AS5*1000</f>
        <v>201.03427015754744</v>
      </c>
      <c r="AX3" s="14"/>
      <c r="AY3" s="14"/>
      <c r="AZ3" s="14"/>
      <c r="BA3" s="14"/>
      <c r="BB3" s="14"/>
      <c r="BC3" s="14"/>
      <c r="BD3" s="14"/>
      <c r="BE3" s="14"/>
      <c r="BF3" s="14"/>
      <c r="BG3" s="14"/>
      <c r="BH3" s="14"/>
      <c r="BI3" s="14"/>
      <c r="BJ3" s="14"/>
      <c r="BK3" s="14"/>
      <c r="BL3" s="14"/>
      <c r="BM3" s="14"/>
    </row>
    <row r="4" spans="1:65">
      <c r="A4" s="76" t="s">
        <v>50</v>
      </c>
      <c r="B4" s="76" t="s">
        <v>897</v>
      </c>
      <c r="C4" s="76" t="s">
        <v>559</v>
      </c>
      <c r="D4" s="76" t="s">
        <v>52</v>
      </c>
      <c r="E4" s="76" t="s">
        <v>785</v>
      </c>
      <c r="F4" s="76" t="s">
        <v>1119</v>
      </c>
      <c r="G4" s="76" t="s">
        <v>1120</v>
      </c>
      <c r="H4" s="76" t="s">
        <v>1121</v>
      </c>
      <c r="I4" s="76" t="s">
        <v>1122</v>
      </c>
      <c r="J4" s="76" t="s">
        <v>904</v>
      </c>
      <c r="K4" s="76" t="s">
        <v>624</v>
      </c>
      <c r="L4" s="76" t="s">
        <v>663</v>
      </c>
      <c r="M4" s="76" t="s">
        <v>1123</v>
      </c>
      <c r="N4" s="76" t="s">
        <v>799</v>
      </c>
      <c r="O4" s="76" t="s">
        <v>911</v>
      </c>
      <c r="P4" s="76" t="s">
        <v>522</v>
      </c>
      <c r="Q4" s="76" t="s">
        <v>1124</v>
      </c>
      <c r="R4" s="76" t="s">
        <v>524</v>
      </c>
      <c r="S4" s="76" t="s">
        <v>1125</v>
      </c>
      <c r="U4" s="76" t="s">
        <v>52</v>
      </c>
      <c r="V4" s="76" t="s">
        <v>1126</v>
      </c>
      <c r="W4" s="76" t="s">
        <v>1127</v>
      </c>
      <c r="X4" s="76" t="s">
        <v>586</v>
      </c>
      <c r="Y4" s="76" t="s">
        <v>50</v>
      </c>
      <c r="Z4" s="76" t="s">
        <v>897</v>
      </c>
      <c r="AA4" s="76" t="s">
        <v>559</v>
      </c>
      <c r="AB4" s="76" t="s">
        <v>52</v>
      </c>
      <c r="AC4" s="76" t="s">
        <v>785</v>
      </c>
      <c r="AD4" s="76" t="s">
        <v>1128</v>
      </c>
      <c r="AE4" s="76" t="s">
        <v>1129</v>
      </c>
      <c r="AF4" s="76" t="s">
        <v>1130</v>
      </c>
      <c r="AG4" s="76" t="s">
        <v>1131</v>
      </c>
      <c r="AH4" s="76" t="s">
        <v>1132</v>
      </c>
      <c r="AI4" s="76" t="s">
        <v>1133</v>
      </c>
      <c r="AJ4" s="76" t="s">
        <v>1134</v>
      </c>
      <c r="AL4" s="76" t="s">
        <v>50</v>
      </c>
      <c r="AM4" s="76" t="s">
        <v>897</v>
      </c>
      <c r="AN4" s="76" t="s">
        <v>52</v>
      </c>
      <c r="AO4" s="76" t="s">
        <v>1135</v>
      </c>
      <c r="AP4" s="76" t="s">
        <v>1136</v>
      </c>
      <c r="AQ4" s="76" t="s">
        <v>1137</v>
      </c>
      <c r="AR4" s="76" t="s">
        <v>1131</v>
      </c>
      <c r="AS4" s="3" t="s">
        <v>586</v>
      </c>
      <c r="AT4" s="76" t="s">
        <v>1132</v>
      </c>
      <c r="AU4" s="76" t="s">
        <v>1133</v>
      </c>
      <c r="AV4" s="76" t="s">
        <v>1134</v>
      </c>
      <c r="AX4" s="76" t="s">
        <v>1138</v>
      </c>
      <c r="AY4" s="76" t="s">
        <v>1139</v>
      </c>
      <c r="AZ4" s="76" t="s">
        <v>1140</v>
      </c>
      <c r="BA4" s="14"/>
      <c r="BB4" s="76" t="s">
        <v>1141</v>
      </c>
      <c r="BC4" s="76" t="s">
        <v>819</v>
      </c>
      <c r="BD4" s="76"/>
      <c r="BE4" s="76" t="s">
        <v>1141</v>
      </c>
      <c r="BF4" s="76">
        <v>4</v>
      </c>
      <c r="BG4" s="76"/>
      <c r="BH4" s="76" t="s">
        <v>1141</v>
      </c>
      <c r="BI4" s="76" t="s">
        <v>823</v>
      </c>
      <c r="BJ4" s="76"/>
      <c r="BK4" s="14"/>
      <c r="BL4" s="14"/>
      <c r="BM4" s="14"/>
    </row>
    <row r="5" spans="1:65">
      <c r="A5" s="10">
        <v>2021</v>
      </c>
      <c r="B5" s="10">
        <v>292</v>
      </c>
      <c r="C5" s="10" t="s">
        <v>433</v>
      </c>
      <c r="D5" s="10">
        <v>3</v>
      </c>
      <c r="E5" s="10">
        <v>1</v>
      </c>
      <c r="F5" s="10">
        <v>139.6</v>
      </c>
      <c r="G5" s="10">
        <f>F5-20.7</f>
        <v>118.89999999999999</v>
      </c>
      <c r="H5" s="10">
        <v>40.299999999999997</v>
      </c>
      <c r="I5" s="10">
        <f t="shared" ref="I5:I28" si="0">H5-20.7</f>
        <v>19.599999999999998</v>
      </c>
      <c r="J5" s="10">
        <f>G5-I5</f>
        <v>99.3</v>
      </c>
      <c r="K5" s="10">
        <f>(J5/G5)*100</f>
        <v>83.515559293523978</v>
      </c>
      <c r="L5" s="10">
        <f>(I5/1000)/0.0001</f>
        <v>195.99999999999997</v>
      </c>
      <c r="M5" s="10">
        <f>L5*1.155</f>
        <v>226.37999999999997</v>
      </c>
      <c r="N5" s="10">
        <f>L5*(1/1000)</f>
        <v>0.19599999999999998</v>
      </c>
      <c r="O5" s="10">
        <f>N5*1.15</f>
        <v>0.22539999999999996</v>
      </c>
      <c r="P5" s="79">
        <v>35.340000000000003</v>
      </c>
      <c r="Q5" s="10">
        <f>N5*(P5/100)</f>
        <v>6.9266400000000006E-2</v>
      </c>
      <c r="R5" s="79">
        <v>4.8600000000000003</v>
      </c>
      <c r="S5" s="10">
        <f>N5*(R5/100)</f>
        <v>9.5256000000000004E-3</v>
      </c>
      <c r="U5" s="153">
        <v>3</v>
      </c>
      <c r="V5" s="7">
        <f>AVERAGE(N5:N13)</f>
        <v>0.23299999999999998</v>
      </c>
      <c r="W5" s="7">
        <f>AVERAGE(O5:O13)</f>
        <v>0.26794999999999997</v>
      </c>
      <c r="X5" s="7">
        <f>STDEV(O5:O13)</f>
        <v>0.19244726875172852</v>
      </c>
      <c r="Y5" s="10">
        <v>2021</v>
      </c>
      <c r="Z5" s="10">
        <v>292</v>
      </c>
      <c r="AA5" s="10" t="s">
        <v>433</v>
      </c>
      <c r="AB5" s="10">
        <v>3</v>
      </c>
      <c r="AC5" s="10">
        <v>1</v>
      </c>
      <c r="AD5" s="10">
        <v>0.19599999999999998</v>
      </c>
      <c r="AE5" s="10">
        <v>0</v>
      </c>
      <c r="AF5" s="10">
        <v>0.27700000000000002</v>
      </c>
      <c r="AG5" s="10">
        <f>SUM(AD5:AF5)</f>
        <v>0.47299999999999998</v>
      </c>
      <c r="AH5" s="10">
        <f t="shared" ref="AH5:AH28" si="1">(AD5/AG5)*100</f>
        <v>41.437632135306551</v>
      </c>
      <c r="AI5" s="10">
        <f>0</f>
        <v>0</v>
      </c>
      <c r="AJ5" s="10">
        <f t="shared" ref="AJ5:AJ28" si="2">(AF5/AG5)*100</f>
        <v>58.562367864693456</v>
      </c>
      <c r="AL5" s="10">
        <v>2021</v>
      </c>
      <c r="AM5" s="10">
        <v>292</v>
      </c>
      <c r="AN5" s="10">
        <v>3</v>
      </c>
      <c r="AO5" s="312">
        <f t="shared" ref="AO5:AR5" si="3">AVERAGE(AD5:AD13)</f>
        <v>0.23299999999999998</v>
      </c>
      <c r="AP5" s="312">
        <f t="shared" si="3"/>
        <v>9.3333333333333324E-3</v>
      </c>
      <c r="AQ5" s="10">
        <f t="shared" si="3"/>
        <v>4.0222222222222229E-2</v>
      </c>
      <c r="AR5" s="10">
        <f t="shared" si="3"/>
        <v>0.28255555555555556</v>
      </c>
      <c r="AS5" s="10">
        <f>STDEV(AG5:AG13)</f>
        <v>0.20103427015754743</v>
      </c>
      <c r="AT5" s="10">
        <f>AVERAGE(AH5:AH13)</f>
        <v>88.118724250665394</v>
      </c>
      <c r="AU5" s="10">
        <f>AVERAGE(AI5:AI13)</f>
        <v>2.1767725849358501</v>
      </c>
      <c r="AV5" s="10">
        <f>AVERAGE(AJ5:AJ13)</f>
        <v>9.7045031643987514</v>
      </c>
      <c r="AX5" s="14">
        <f>STDEV(AD5:AD13)</f>
        <v>0.16734545108845958</v>
      </c>
      <c r="AY5" s="14">
        <f>STDEV(AE5:AE13)</f>
        <v>1.9767397400770794E-2</v>
      </c>
      <c r="AZ5" s="14">
        <f>STDEV(AF5:AF13)</f>
        <v>9.0747972123042212E-2</v>
      </c>
      <c r="BA5" s="14"/>
      <c r="BB5" s="14" t="s">
        <v>1142</v>
      </c>
      <c r="BC5" s="14">
        <v>0.10999999999999999</v>
      </c>
      <c r="BD5" s="14"/>
      <c r="BE5" s="14" t="s">
        <v>1142</v>
      </c>
      <c r="BF5" s="14">
        <v>0.2638888888888889</v>
      </c>
      <c r="BG5" s="14"/>
      <c r="BH5" s="14" t="s">
        <v>1142</v>
      </c>
      <c r="BI5" s="14">
        <v>0.18899999999999997</v>
      </c>
      <c r="BJ5" s="14"/>
      <c r="BK5" s="14"/>
      <c r="BL5" s="14"/>
      <c r="BM5" s="14"/>
    </row>
    <row r="6" spans="1:65">
      <c r="A6" s="10">
        <v>2021</v>
      </c>
      <c r="B6" s="10">
        <v>292</v>
      </c>
      <c r="C6" s="10" t="s">
        <v>435</v>
      </c>
      <c r="D6" s="10">
        <v>3</v>
      </c>
      <c r="E6" s="10">
        <v>2</v>
      </c>
      <c r="F6" s="10">
        <v>371</v>
      </c>
      <c r="G6" s="10">
        <f t="shared" ref="G6:G28" si="4">F6-20.7</f>
        <v>350.3</v>
      </c>
      <c r="H6" s="10">
        <v>81.2</v>
      </c>
      <c r="I6" s="10">
        <f t="shared" si="0"/>
        <v>60.5</v>
      </c>
      <c r="J6" s="10">
        <f t="shared" ref="J6:J28" si="5">G6-I6</f>
        <v>289.8</v>
      </c>
      <c r="K6" s="10">
        <f t="shared" ref="K6:K28" si="6">(J6/G6)*100</f>
        <v>82.729089351984015</v>
      </c>
      <c r="L6" s="10">
        <f t="shared" ref="L6:L28" si="7">(I6/1000)/0.0001</f>
        <v>605</v>
      </c>
      <c r="M6" s="10">
        <f t="shared" ref="M6:M28" si="8">L6*1.155</f>
        <v>698.77499999999998</v>
      </c>
      <c r="N6" s="10">
        <f t="shared" ref="N6:N28" si="9">L6*(1/1000)</f>
        <v>0.60499999999999998</v>
      </c>
      <c r="O6" s="10">
        <f t="shared" ref="O6:O28" si="10">N6*1.15</f>
        <v>0.69574999999999998</v>
      </c>
      <c r="P6" s="79">
        <v>35.93</v>
      </c>
      <c r="Q6" s="10">
        <f t="shared" ref="Q6:Q28" si="11">N6*(P6/100)</f>
        <v>0.2173765</v>
      </c>
      <c r="R6" s="79">
        <v>4.72</v>
      </c>
      <c r="S6" s="10">
        <f t="shared" ref="S6:S28" si="12">N6*(R6/100)</f>
        <v>2.8555999999999998E-2</v>
      </c>
      <c r="U6" s="153" t="s">
        <v>819</v>
      </c>
      <c r="V6" s="7">
        <f>AVERAGE(N14:N16)</f>
        <v>0.10999999999999999</v>
      </c>
      <c r="W6" s="7">
        <f>AVERAGE(O14:O16)</f>
        <v>0.1265</v>
      </c>
      <c r="X6" s="7">
        <f>STDEV(O14:O16)</f>
        <v>0.10164985243471825</v>
      </c>
      <c r="Y6" s="10">
        <v>2021</v>
      </c>
      <c r="Z6" s="10">
        <v>292</v>
      </c>
      <c r="AA6" s="10" t="s">
        <v>435</v>
      </c>
      <c r="AB6" s="10">
        <v>3</v>
      </c>
      <c r="AC6" s="10">
        <v>2</v>
      </c>
      <c r="AD6" s="10">
        <v>0.60499999999999998</v>
      </c>
      <c r="AE6" s="10">
        <v>6.0999999999999999E-2</v>
      </c>
      <c r="AF6" s="10">
        <v>0.02</v>
      </c>
      <c r="AG6" s="10">
        <f t="shared" ref="AG6:AG28" si="13">SUM(AD6:AF6)</f>
        <v>0.68599999999999994</v>
      </c>
      <c r="AH6" s="10">
        <f t="shared" si="1"/>
        <v>88.192419825072889</v>
      </c>
      <c r="AI6" s="10">
        <f t="shared" ref="AI6:AI28" si="14">(AE6/AG6)*100</f>
        <v>8.8921282798833818</v>
      </c>
      <c r="AJ6" s="10">
        <f t="shared" si="2"/>
        <v>2.915451895043732</v>
      </c>
      <c r="AL6" s="6">
        <v>2021</v>
      </c>
      <c r="AM6" s="6">
        <v>292</v>
      </c>
      <c r="AN6" s="6" t="s">
        <v>819</v>
      </c>
      <c r="AO6" s="6">
        <f t="shared" ref="AO6:AR6" si="15">AVERAGE(AD14:AD16)</f>
        <v>0.10999999999999999</v>
      </c>
      <c r="AP6" s="6">
        <f t="shared" si="15"/>
        <v>7.0000000000000001E-3</v>
      </c>
      <c r="AQ6" s="6">
        <f t="shared" si="15"/>
        <v>0</v>
      </c>
      <c r="AR6" s="6">
        <f t="shared" si="15"/>
        <v>0.11699999999999999</v>
      </c>
      <c r="AS6" s="6">
        <f>STDEV(AG14:AG16)</f>
        <v>8.4326745460737415E-2</v>
      </c>
      <c r="AT6" s="6">
        <f>AVERAGE(AH14:AH16)</f>
        <v>89.412437359163221</v>
      </c>
      <c r="AU6" s="6">
        <f>AVERAGE(AI14:AI16)</f>
        <v>10.587562640836779</v>
      </c>
      <c r="AV6" s="6">
        <f>AVERAGE(AJ14:AJ16)</f>
        <v>0</v>
      </c>
      <c r="AX6" s="14">
        <f>STDEV(AD14:AD16)</f>
        <v>8.8391176030189825E-2</v>
      </c>
      <c r="AY6" s="14">
        <f>STDEV(AE14:AE16)</f>
        <v>4.5825756949558413E-3</v>
      </c>
      <c r="AZ6" s="14">
        <f>STDEV(AF14:AF16)</f>
        <v>0</v>
      </c>
      <c r="BA6" s="14"/>
      <c r="BB6" s="14" t="s">
        <v>1136</v>
      </c>
      <c r="BC6" s="166">
        <v>7.0000000000000001E-3</v>
      </c>
      <c r="BD6" s="14"/>
      <c r="BE6" s="14" t="s">
        <v>1136</v>
      </c>
      <c r="BF6" s="14">
        <v>2.9111111111111112E-2</v>
      </c>
      <c r="BG6" s="14"/>
      <c r="BH6" s="14" t="s">
        <v>1136</v>
      </c>
      <c r="BI6" s="14">
        <v>1.6333333333333335E-2</v>
      </c>
      <c r="BJ6" s="14"/>
      <c r="BK6" s="14"/>
      <c r="BL6" s="14"/>
      <c r="BM6" s="14"/>
    </row>
    <row r="7" spans="1:65">
      <c r="A7" s="10">
        <v>2021</v>
      </c>
      <c r="B7" s="10">
        <v>292</v>
      </c>
      <c r="C7" s="10" t="s">
        <v>436</v>
      </c>
      <c r="D7" s="10">
        <v>3</v>
      </c>
      <c r="E7" s="10">
        <v>3</v>
      </c>
      <c r="F7" s="10">
        <v>188.7</v>
      </c>
      <c r="G7" s="10">
        <f t="shared" si="4"/>
        <v>168</v>
      </c>
      <c r="H7" s="10">
        <v>49.9</v>
      </c>
      <c r="I7" s="10">
        <f t="shared" si="0"/>
        <v>29.2</v>
      </c>
      <c r="J7" s="10">
        <f t="shared" si="5"/>
        <v>138.80000000000001</v>
      </c>
      <c r="K7" s="10">
        <f t="shared" si="6"/>
        <v>82.61904761904762</v>
      </c>
      <c r="L7" s="10">
        <f t="shared" si="7"/>
        <v>292</v>
      </c>
      <c r="M7" s="10">
        <f t="shared" si="8"/>
        <v>337.26</v>
      </c>
      <c r="N7" s="10">
        <f t="shared" si="9"/>
        <v>0.29199999999999998</v>
      </c>
      <c r="O7" s="10">
        <f t="shared" si="10"/>
        <v>0.33579999999999993</v>
      </c>
      <c r="P7" s="79">
        <v>31.41</v>
      </c>
      <c r="Q7" s="10">
        <f t="shared" si="11"/>
        <v>9.1717199999999985E-2</v>
      </c>
      <c r="R7" s="79">
        <v>4.1500000000000004</v>
      </c>
      <c r="S7" s="10">
        <f t="shared" si="12"/>
        <v>1.2118E-2</v>
      </c>
      <c r="U7" s="153">
        <v>4</v>
      </c>
      <c r="V7" s="7">
        <f>AVERAGE(N17:N25)</f>
        <v>0.2638888888888889</v>
      </c>
      <c r="W7" s="7">
        <f>AVERAGE(O17:O25)</f>
        <v>0.3034722222222222</v>
      </c>
      <c r="X7" s="7">
        <f>STDEV(O17:O25)</f>
        <v>0.29462252874558736</v>
      </c>
      <c r="Y7" s="10">
        <v>2021</v>
      </c>
      <c r="Z7" s="10">
        <v>292</v>
      </c>
      <c r="AA7" s="10" t="s">
        <v>436</v>
      </c>
      <c r="AB7" s="10">
        <v>3</v>
      </c>
      <c r="AC7" s="10">
        <v>3</v>
      </c>
      <c r="AD7" s="10">
        <v>0.29199999999999998</v>
      </c>
      <c r="AE7" s="10">
        <v>7.9999999999999984E-3</v>
      </c>
      <c r="AF7" s="10">
        <v>7.9999999999999984E-3</v>
      </c>
      <c r="AG7" s="10">
        <f t="shared" si="13"/>
        <v>0.308</v>
      </c>
      <c r="AH7" s="10">
        <f t="shared" si="1"/>
        <v>94.805194805194802</v>
      </c>
      <c r="AI7" s="10">
        <f t="shared" si="14"/>
        <v>2.5974025974025969</v>
      </c>
      <c r="AJ7" s="10">
        <f t="shared" si="2"/>
        <v>2.5974025974025969</v>
      </c>
      <c r="AL7" s="10">
        <v>2021</v>
      </c>
      <c r="AM7" s="10">
        <v>292</v>
      </c>
      <c r="AN7" s="10">
        <v>4</v>
      </c>
      <c r="AO7" s="312">
        <f t="shared" ref="AO7:AR7" si="16">AVERAGE(AD17:AD25)</f>
        <v>0.2638888888888889</v>
      </c>
      <c r="AP7" s="312">
        <f t="shared" si="16"/>
        <v>2.9111111111111112E-2</v>
      </c>
      <c r="AQ7" s="10">
        <f t="shared" si="16"/>
        <v>1.1000000000000003E-2</v>
      </c>
      <c r="AR7" s="10">
        <f t="shared" si="16"/>
        <v>0.30400000000000005</v>
      </c>
      <c r="AS7" s="10">
        <f>STDEV(AG17:AG25)</f>
        <v>0.26080260734892968</v>
      </c>
      <c r="AT7" s="10">
        <f>AVERAGE(AH17:AH25)</f>
        <v>84.853005695749403</v>
      </c>
      <c r="AU7" s="10">
        <f>AVERAGE(AI17:AI25)</f>
        <v>11.921760899350422</v>
      </c>
      <c r="AV7" s="10">
        <f>AVERAGE(AJ17:AJ25)</f>
        <v>3.2252334049001785</v>
      </c>
      <c r="AX7" s="14">
        <f>STDEV(AD17:AD25)</f>
        <v>0.25619350325703244</v>
      </c>
      <c r="AY7" s="14">
        <f>STDEV(AE17:AE25)</f>
        <v>4.1630651101215208E-2</v>
      </c>
      <c r="AZ7" s="14">
        <f>STDEV(AF17:AF25)</f>
        <v>2.0174241001832016E-2</v>
      </c>
      <c r="BA7" s="14"/>
      <c r="BB7" s="14" t="s">
        <v>1137</v>
      </c>
      <c r="BC7" s="14">
        <v>0</v>
      </c>
      <c r="BD7" s="14"/>
      <c r="BE7" s="14" t="s">
        <v>1137</v>
      </c>
      <c r="BF7" s="14">
        <v>1.1000000000000003E-2</v>
      </c>
      <c r="BG7" s="14"/>
      <c r="BH7" s="14" t="s">
        <v>1137</v>
      </c>
      <c r="BI7" s="14">
        <v>1.6E-2</v>
      </c>
      <c r="BJ7" s="14"/>
      <c r="BK7" s="14"/>
      <c r="BL7" s="14"/>
      <c r="BM7" s="14"/>
    </row>
    <row r="8" spans="1:65">
      <c r="A8" s="10">
        <v>2021</v>
      </c>
      <c r="B8" s="10">
        <v>292</v>
      </c>
      <c r="C8" s="10" t="s">
        <v>437</v>
      </c>
      <c r="D8" s="10">
        <v>3</v>
      </c>
      <c r="E8" s="10">
        <v>4</v>
      </c>
      <c r="F8" s="10">
        <v>81.599999999999994</v>
      </c>
      <c r="G8" s="10">
        <f t="shared" si="4"/>
        <v>60.899999999999991</v>
      </c>
      <c r="H8" s="10">
        <v>30.5</v>
      </c>
      <c r="I8" s="10">
        <f t="shared" si="0"/>
        <v>9.8000000000000007</v>
      </c>
      <c r="J8" s="10">
        <f t="shared" si="5"/>
        <v>51.099999999999994</v>
      </c>
      <c r="K8" s="10">
        <f t="shared" si="6"/>
        <v>83.908045977011497</v>
      </c>
      <c r="L8" s="10">
        <f t="shared" si="7"/>
        <v>98.000000000000014</v>
      </c>
      <c r="M8" s="10">
        <f t="shared" si="8"/>
        <v>113.19000000000001</v>
      </c>
      <c r="N8" s="10">
        <f t="shared" si="9"/>
        <v>9.8000000000000018E-2</v>
      </c>
      <c r="O8" s="10">
        <f t="shared" si="10"/>
        <v>0.11270000000000001</v>
      </c>
      <c r="P8" s="79">
        <v>35.619999999999997</v>
      </c>
      <c r="Q8" s="10">
        <f t="shared" si="11"/>
        <v>3.4907600000000004E-2</v>
      </c>
      <c r="R8" s="79">
        <v>4.76</v>
      </c>
      <c r="S8" s="10">
        <f t="shared" si="12"/>
        <v>4.6648000000000002E-3</v>
      </c>
      <c r="U8" s="153" t="s">
        <v>823</v>
      </c>
      <c r="V8" s="7">
        <f>AVERAGE(N26:N28)</f>
        <v>0.18899999999999997</v>
      </c>
      <c r="W8" s="7">
        <f>AVERAGE(O26:O28)</f>
        <v>0.21734999999999996</v>
      </c>
      <c r="X8" s="7">
        <f>STDEV(O26:O28)</f>
        <v>6.2682912344593625E-2</v>
      </c>
      <c r="Y8" s="10">
        <v>2021</v>
      </c>
      <c r="Z8" s="10">
        <v>292</v>
      </c>
      <c r="AA8" s="10" t="s">
        <v>437</v>
      </c>
      <c r="AB8" s="10">
        <v>3</v>
      </c>
      <c r="AC8" s="10">
        <v>4</v>
      </c>
      <c r="AD8" s="10">
        <v>9.8000000000000018E-2</v>
      </c>
      <c r="AE8" s="10">
        <v>0</v>
      </c>
      <c r="AF8" s="10">
        <v>0</v>
      </c>
      <c r="AG8" s="10">
        <f t="shared" si="13"/>
        <v>9.8000000000000018E-2</v>
      </c>
      <c r="AH8" s="10">
        <f t="shared" si="1"/>
        <v>100</v>
      </c>
      <c r="AI8" s="10">
        <f t="shared" si="14"/>
        <v>0</v>
      </c>
      <c r="AJ8" s="10">
        <f t="shared" si="2"/>
        <v>0</v>
      </c>
      <c r="AL8" s="6">
        <v>2021</v>
      </c>
      <c r="AM8" s="6">
        <v>292</v>
      </c>
      <c r="AN8" s="6" t="s">
        <v>823</v>
      </c>
      <c r="AO8" s="6">
        <f t="shared" ref="AO8:AR8" si="17">AVERAGE(AD26:AD28)</f>
        <v>0.18899999999999997</v>
      </c>
      <c r="AP8" s="6">
        <f t="shared" si="17"/>
        <v>1.6333333333333335E-2</v>
      </c>
      <c r="AQ8" s="6">
        <f t="shared" si="17"/>
        <v>1.6E-2</v>
      </c>
      <c r="AR8" s="6">
        <f t="shared" si="17"/>
        <v>0.2213333333333333</v>
      </c>
      <c r="AS8" s="6">
        <f>STDEV(AG26:AG28)</f>
        <v>7.5048872965110786E-2</v>
      </c>
      <c r="AT8" s="6">
        <f>AVERAGE(AH26:AH28)</f>
        <v>87.982112379263313</v>
      </c>
      <c r="AU8" s="6">
        <f>AVERAGE(AI26:AI28)</f>
        <v>6.0518512161865816</v>
      </c>
      <c r="AV8" s="6">
        <f>AVERAGE(AJ26:AJ28)</f>
        <v>5.9660364045500929</v>
      </c>
      <c r="AX8" s="14">
        <f>STDEV(AD26:AD28)</f>
        <v>5.4506880299646655E-2</v>
      </c>
      <c r="AY8" s="14">
        <f>STDEV(AE26:AE28)</f>
        <v>2.490649179096352E-2</v>
      </c>
      <c r="AZ8" s="14">
        <f>STDEV(AF26:AF28)</f>
        <v>1.9697715603592209E-2</v>
      </c>
      <c r="BA8" s="14"/>
      <c r="BB8" s="14"/>
      <c r="BC8" s="14"/>
      <c r="BD8" s="14"/>
      <c r="BE8" s="14"/>
      <c r="BF8" s="14"/>
      <c r="BG8" s="14"/>
      <c r="BH8" s="14"/>
      <c r="BI8" s="14"/>
      <c r="BJ8" s="14"/>
      <c r="BK8" s="14"/>
      <c r="BL8" s="14"/>
      <c r="BM8" s="14"/>
    </row>
    <row r="9" spans="1:65">
      <c r="A9" s="10">
        <v>2021</v>
      </c>
      <c r="B9" s="10">
        <v>292</v>
      </c>
      <c r="C9" s="10" t="s">
        <v>438</v>
      </c>
      <c r="D9" s="10">
        <v>3</v>
      </c>
      <c r="E9" s="10">
        <v>5</v>
      </c>
      <c r="F9" s="10">
        <v>259.8</v>
      </c>
      <c r="G9" s="10">
        <f t="shared" si="4"/>
        <v>239.10000000000002</v>
      </c>
      <c r="H9" s="10">
        <v>57.4</v>
      </c>
      <c r="I9" s="10">
        <f t="shared" si="0"/>
        <v>36.700000000000003</v>
      </c>
      <c r="J9" s="10">
        <f t="shared" si="5"/>
        <v>202.40000000000003</v>
      </c>
      <c r="K9" s="10">
        <f t="shared" si="6"/>
        <v>84.650773734838992</v>
      </c>
      <c r="L9" s="10">
        <f t="shared" si="7"/>
        <v>367</v>
      </c>
      <c r="M9" s="10">
        <f t="shared" si="8"/>
        <v>423.88499999999999</v>
      </c>
      <c r="N9" s="10">
        <f t="shared" si="9"/>
        <v>0.36699999999999999</v>
      </c>
      <c r="O9" s="10">
        <f t="shared" si="10"/>
        <v>0.42204999999999998</v>
      </c>
      <c r="P9" s="79">
        <v>35.51</v>
      </c>
      <c r="Q9" s="10">
        <f t="shared" si="11"/>
        <v>0.13032169999999998</v>
      </c>
      <c r="R9" s="79">
        <v>4.87</v>
      </c>
      <c r="S9" s="10">
        <f t="shared" si="12"/>
        <v>1.7872900000000001E-2</v>
      </c>
      <c r="Y9" s="10">
        <v>2021</v>
      </c>
      <c r="Z9" s="10">
        <v>292</v>
      </c>
      <c r="AA9" s="10" t="s">
        <v>438</v>
      </c>
      <c r="AB9" s="10">
        <v>3</v>
      </c>
      <c r="AC9" s="10">
        <v>5</v>
      </c>
      <c r="AD9" s="10">
        <v>0.36699999999999999</v>
      </c>
      <c r="AE9" s="10">
        <v>0</v>
      </c>
      <c r="AF9" s="10">
        <v>0</v>
      </c>
      <c r="AG9" s="10">
        <f t="shared" si="13"/>
        <v>0.36699999999999999</v>
      </c>
      <c r="AH9" s="10">
        <f t="shared" si="1"/>
        <v>100</v>
      </c>
      <c r="AI9" s="10">
        <f t="shared" si="14"/>
        <v>0</v>
      </c>
      <c r="AJ9" s="10">
        <f t="shared" si="2"/>
        <v>0</v>
      </c>
      <c r="AX9" s="14"/>
      <c r="AY9" s="14"/>
      <c r="AZ9" s="14"/>
      <c r="BA9" s="14"/>
      <c r="BB9" s="14"/>
      <c r="BC9" s="14"/>
      <c r="BD9" s="14"/>
      <c r="BE9" s="14"/>
      <c r="BF9" s="14"/>
      <c r="BG9" s="14"/>
      <c r="BH9" s="14"/>
      <c r="BI9" s="14"/>
      <c r="BJ9" s="14"/>
      <c r="BK9" s="14"/>
      <c r="BL9" s="14"/>
      <c r="BM9" s="14"/>
    </row>
    <row r="10" spans="1:65">
      <c r="A10" s="10">
        <v>2021</v>
      </c>
      <c r="B10" s="10">
        <v>292</v>
      </c>
      <c r="C10" s="10" t="s">
        <v>439</v>
      </c>
      <c r="D10" s="10">
        <v>3</v>
      </c>
      <c r="E10" s="10">
        <v>6</v>
      </c>
      <c r="F10" s="10">
        <v>81.599999999999994</v>
      </c>
      <c r="G10" s="10">
        <f t="shared" si="4"/>
        <v>60.899999999999991</v>
      </c>
      <c r="H10" s="10">
        <v>36.200000000000003</v>
      </c>
      <c r="I10" s="10">
        <f t="shared" si="0"/>
        <v>15.500000000000004</v>
      </c>
      <c r="J10" s="10">
        <f t="shared" si="5"/>
        <v>45.399999999999991</v>
      </c>
      <c r="K10" s="10">
        <f t="shared" si="6"/>
        <v>74.548440065681447</v>
      </c>
      <c r="L10" s="10">
        <f t="shared" si="7"/>
        <v>155.00000000000003</v>
      </c>
      <c r="M10" s="10">
        <f t="shared" si="8"/>
        <v>179.02500000000003</v>
      </c>
      <c r="N10" s="10">
        <f t="shared" si="9"/>
        <v>0.15500000000000003</v>
      </c>
      <c r="O10" s="10">
        <f t="shared" si="10"/>
        <v>0.17825000000000002</v>
      </c>
      <c r="P10" s="79">
        <v>35.96</v>
      </c>
      <c r="Q10" s="10">
        <f t="shared" si="11"/>
        <v>5.5738000000000017E-2</v>
      </c>
      <c r="R10" s="79">
        <v>4.6500000000000004</v>
      </c>
      <c r="S10" s="10">
        <f t="shared" si="12"/>
        <v>7.2075000000000021E-3</v>
      </c>
      <c r="Y10" s="10">
        <v>2021</v>
      </c>
      <c r="Z10" s="10">
        <v>292</v>
      </c>
      <c r="AA10" s="10" t="s">
        <v>439</v>
      </c>
      <c r="AB10" s="10">
        <v>3</v>
      </c>
      <c r="AC10" s="10">
        <v>6</v>
      </c>
      <c r="AD10" s="10">
        <v>0.15500000000000003</v>
      </c>
      <c r="AE10" s="10">
        <v>0.01</v>
      </c>
      <c r="AF10" s="10">
        <v>0</v>
      </c>
      <c r="AG10" s="10">
        <f t="shared" si="13"/>
        <v>0.16500000000000004</v>
      </c>
      <c r="AH10" s="10">
        <f t="shared" si="1"/>
        <v>93.939393939393938</v>
      </c>
      <c r="AI10" s="10">
        <f t="shared" si="14"/>
        <v>6.0606060606060597</v>
      </c>
      <c r="AJ10" s="10">
        <f t="shared" si="2"/>
        <v>0</v>
      </c>
      <c r="AX10" s="14"/>
      <c r="AY10" s="14"/>
      <c r="AZ10" s="14"/>
      <c r="BA10" s="76" t="s">
        <v>52</v>
      </c>
      <c r="BB10" s="14" t="s">
        <v>683</v>
      </c>
      <c r="BC10" s="14" t="s">
        <v>688</v>
      </c>
      <c r="BD10" s="14"/>
      <c r="BE10" s="14" t="s">
        <v>52</v>
      </c>
      <c r="BF10" s="14" t="s">
        <v>677</v>
      </c>
      <c r="BG10" s="14" t="s">
        <v>678</v>
      </c>
      <c r="BH10" s="14"/>
      <c r="BI10" s="14"/>
      <c r="BJ10" s="14"/>
      <c r="BK10" s="14"/>
      <c r="BL10" s="14"/>
      <c r="BM10" s="14"/>
    </row>
    <row r="11" spans="1:65">
      <c r="A11" s="10">
        <v>2021</v>
      </c>
      <c r="B11" s="10">
        <v>292</v>
      </c>
      <c r="C11" s="10" t="s">
        <v>440</v>
      </c>
      <c r="D11" s="10">
        <v>3</v>
      </c>
      <c r="E11" s="10">
        <v>7</v>
      </c>
      <c r="F11" s="10">
        <v>77.5</v>
      </c>
      <c r="G11" s="10">
        <f t="shared" si="4"/>
        <v>56.8</v>
      </c>
      <c r="H11" s="10">
        <v>28.6</v>
      </c>
      <c r="I11" s="10">
        <f t="shared" si="0"/>
        <v>7.9000000000000021</v>
      </c>
      <c r="J11" s="10">
        <f t="shared" si="5"/>
        <v>48.899999999999991</v>
      </c>
      <c r="K11" s="10">
        <f t="shared" si="6"/>
        <v>86.091549295774641</v>
      </c>
      <c r="L11" s="10">
        <f t="shared" si="7"/>
        <v>79.000000000000014</v>
      </c>
      <c r="M11" s="10">
        <f t="shared" si="8"/>
        <v>91.245000000000019</v>
      </c>
      <c r="N11" s="10">
        <f t="shared" si="9"/>
        <v>7.9000000000000015E-2</v>
      </c>
      <c r="O11" s="10">
        <f t="shared" si="10"/>
        <v>9.0850000000000014E-2</v>
      </c>
      <c r="P11" s="79">
        <v>33.880000000000003</v>
      </c>
      <c r="Q11" s="10">
        <f t="shared" si="11"/>
        <v>2.676520000000001E-2</v>
      </c>
      <c r="R11" s="79">
        <v>4.6399999999999997</v>
      </c>
      <c r="S11" s="10">
        <f t="shared" si="12"/>
        <v>3.6656000000000006E-3</v>
      </c>
      <c r="T11" s="76" t="s">
        <v>52</v>
      </c>
      <c r="U11" s="76" t="s">
        <v>1124</v>
      </c>
      <c r="V11" s="76" t="s">
        <v>586</v>
      </c>
      <c r="W11" s="76" t="s">
        <v>1125</v>
      </c>
      <c r="X11" s="76" t="s">
        <v>586</v>
      </c>
      <c r="Y11" s="10">
        <v>2021</v>
      </c>
      <c r="Z11" s="10">
        <v>292</v>
      </c>
      <c r="AA11" s="10" t="s">
        <v>440</v>
      </c>
      <c r="AB11" s="10">
        <v>3</v>
      </c>
      <c r="AC11" s="10">
        <v>7</v>
      </c>
      <c r="AD11" s="10">
        <v>7.9000000000000015E-2</v>
      </c>
      <c r="AE11" s="10">
        <v>0</v>
      </c>
      <c r="AF11" s="10">
        <v>0</v>
      </c>
      <c r="AG11" s="10">
        <f t="shared" si="13"/>
        <v>7.9000000000000015E-2</v>
      </c>
      <c r="AH11" s="10">
        <f t="shared" si="1"/>
        <v>100</v>
      </c>
      <c r="AI11" s="10">
        <f t="shared" si="14"/>
        <v>0</v>
      </c>
      <c r="AJ11" s="10">
        <f t="shared" si="2"/>
        <v>0</v>
      </c>
      <c r="AX11" s="14"/>
      <c r="AY11" s="14"/>
      <c r="AZ11" s="14"/>
      <c r="BA11" s="10" t="s">
        <v>677</v>
      </c>
      <c r="BB11" s="14">
        <v>0.28255555555555556</v>
      </c>
      <c r="BC11" s="14">
        <v>0.11699999999999999</v>
      </c>
      <c r="BD11" s="14"/>
      <c r="BE11" s="14" t="s">
        <v>1143</v>
      </c>
      <c r="BF11" s="14">
        <v>0.28255555555555556</v>
      </c>
      <c r="BG11" s="14">
        <v>0.30400000000000005</v>
      </c>
      <c r="BH11" s="14"/>
      <c r="BI11" s="14"/>
      <c r="BJ11" s="14"/>
      <c r="BK11" s="14"/>
      <c r="BL11" s="14"/>
      <c r="BM11" s="14"/>
    </row>
    <row r="12" spans="1:65">
      <c r="A12" s="10">
        <v>2021</v>
      </c>
      <c r="B12" s="10">
        <v>292</v>
      </c>
      <c r="C12" s="10" t="s">
        <v>441</v>
      </c>
      <c r="D12" s="10">
        <v>3</v>
      </c>
      <c r="E12" s="10">
        <v>8</v>
      </c>
      <c r="F12" s="10">
        <v>104.6</v>
      </c>
      <c r="G12" s="10">
        <f t="shared" si="4"/>
        <v>83.899999999999991</v>
      </c>
      <c r="H12" s="10">
        <v>32.9</v>
      </c>
      <c r="I12" s="10">
        <f t="shared" si="0"/>
        <v>12.2</v>
      </c>
      <c r="J12" s="10">
        <f t="shared" si="5"/>
        <v>71.699999999999989</v>
      </c>
      <c r="K12" s="10">
        <f t="shared" si="6"/>
        <v>85.458879618593571</v>
      </c>
      <c r="L12" s="10">
        <f t="shared" si="7"/>
        <v>121.99999999999999</v>
      </c>
      <c r="M12" s="10">
        <f t="shared" si="8"/>
        <v>140.91</v>
      </c>
      <c r="N12" s="10">
        <f t="shared" si="9"/>
        <v>0.12199999999999998</v>
      </c>
      <c r="O12" s="10">
        <f t="shared" si="10"/>
        <v>0.14029999999999998</v>
      </c>
      <c r="P12" s="79">
        <v>35.520000000000003</v>
      </c>
      <c r="Q12" s="10">
        <f t="shared" si="11"/>
        <v>4.3334399999999995E-2</v>
      </c>
      <c r="R12" s="79">
        <v>5.03</v>
      </c>
      <c r="S12" s="10">
        <f t="shared" si="12"/>
        <v>6.1365999999999999E-3</v>
      </c>
      <c r="T12" s="10">
        <v>3</v>
      </c>
      <c r="U12" s="10">
        <f>AVERAGE(Q5:Q13)</f>
        <v>8.1639777777777797E-2</v>
      </c>
      <c r="V12" s="10">
        <f>STDEV(Q5:Q13)</f>
        <v>5.984181047212677E-2</v>
      </c>
      <c r="W12" s="10">
        <f>AVERAGE(S5:S13)</f>
        <v>1.0986522222222224E-2</v>
      </c>
      <c r="X12" s="10">
        <f>STDEV(S5:S13)</f>
        <v>7.8607130562019876E-3</v>
      </c>
      <c r="Y12" s="10">
        <v>2021</v>
      </c>
      <c r="Z12" s="10">
        <v>292</v>
      </c>
      <c r="AA12" s="10" t="s">
        <v>441</v>
      </c>
      <c r="AB12" s="10">
        <v>3</v>
      </c>
      <c r="AC12" s="10">
        <v>8</v>
      </c>
      <c r="AD12" s="10">
        <v>0.12199999999999998</v>
      </c>
      <c r="AE12" s="10">
        <v>0</v>
      </c>
      <c r="AF12" s="10">
        <v>0</v>
      </c>
      <c r="AG12" s="10">
        <f t="shared" si="13"/>
        <v>0.12199999999999998</v>
      </c>
      <c r="AH12" s="10">
        <f t="shared" si="1"/>
        <v>100</v>
      </c>
      <c r="AI12" s="10">
        <f t="shared" si="14"/>
        <v>0</v>
      </c>
      <c r="AJ12" s="10">
        <f t="shared" si="2"/>
        <v>0</v>
      </c>
      <c r="AX12" s="14"/>
      <c r="AY12" s="14"/>
      <c r="AZ12" s="14"/>
      <c r="BA12" s="10" t="s">
        <v>1144</v>
      </c>
      <c r="BB12" s="14">
        <v>0.30400000000000005</v>
      </c>
      <c r="BC12" s="14">
        <v>0.2213333333333333</v>
      </c>
      <c r="BD12" s="14"/>
      <c r="BE12" s="14" t="s">
        <v>688</v>
      </c>
      <c r="BF12" s="14">
        <v>0.11699999999999999</v>
      </c>
      <c r="BG12" s="14">
        <v>0.2213333333333333</v>
      </c>
      <c r="BH12" s="14"/>
      <c r="BI12" s="14"/>
      <c r="BJ12" s="14"/>
      <c r="BK12" s="14"/>
      <c r="BL12" s="14"/>
      <c r="BM12" s="14"/>
    </row>
    <row r="13" spans="1:65">
      <c r="A13" s="10">
        <v>2021</v>
      </c>
      <c r="B13" s="10">
        <v>292</v>
      </c>
      <c r="C13" s="10" t="s">
        <v>442</v>
      </c>
      <c r="D13" s="10">
        <v>3</v>
      </c>
      <c r="E13" s="10">
        <v>9</v>
      </c>
      <c r="F13" s="10">
        <v>154.9</v>
      </c>
      <c r="G13" s="10">
        <f t="shared" si="4"/>
        <v>134.20000000000002</v>
      </c>
      <c r="H13" s="10">
        <v>39</v>
      </c>
      <c r="I13" s="10">
        <f t="shared" si="0"/>
        <v>18.3</v>
      </c>
      <c r="J13" s="10">
        <f t="shared" si="5"/>
        <v>115.90000000000002</v>
      </c>
      <c r="K13" s="10">
        <f t="shared" si="6"/>
        <v>86.36363636363636</v>
      </c>
      <c r="L13" s="10">
        <f t="shared" si="7"/>
        <v>183</v>
      </c>
      <c r="M13" s="10">
        <f t="shared" si="8"/>
        <v>211.36500000000001</v>
      </c>
      <c r="N13" s="10">
        <f t="shared" si="9"/>
        <v>0.183</v>
      </c>
      <c r="O13" s="10">
        <f t="shared" si="10"/>
        <v>0.21044999999999997</v>
      </c>
      <c r="P13" s="79">
        <v>35.700000000000003</v>
      </c>
      <c r="Q13" s="10">
        <f t="shared" si="11"/>
        <v>6.5331E-2</v>
      </c>
      <c r="R13" s="79">
        <v>4.99</v>
      </c>
      <c r="S13" s="10">
        <f t="shared" si="12"/>
        <v>9.1316999999999995E-3</v>
      </c>
      <c r="T13" s="10" t="s">
        <v>819</v>
      </c>
      <c r="U13" s="10">
        <f>AVERAGE(Q14:Q16)</f>
        <v>3.9369833333333333E-2</v>
      </c>
      <c r="V13" s="10">
        <f>STDEV(Q14:Q16)</f>
        <v>3.1562398284403756E-2</v>
      </c>
      <c r="W13" s="10">
        <f>AVERAGE(S14:S16)</f>
        <v>5.1421333333333333E-3</v>
      </c>
      <c r="X13" s="10">
        <f>STDEV(S14:S16)</f>
        <v>3.9510104458648724E-3</v>
      </c>
      <c r="Y13" s="10">
        <v>2021</v>
      </c>
      <c r="Z13" s="10">
        <v>292</v>
      </c>
      <c r="AA13" s="10" t="s">
        <v>442</v>
      </c>
      <c r="AB13" s="10">
        <v>3</v>
      </c>
      <c r="AC13" s="10">
        <v>9</v>
      </c>
      <c r="AD13" s="10">
        <v>0.183</v>
      </c>
      <c r="AE13" s="10">
        <v>5.0000000000000001E-3</v>
      </c>
      <c r="AF13" s="10">
        <v>5.7000000000000002E-2</v>
      </c>
      <c r="AG13" s="10">
        <f t="shared" si="13"/>
        <v>0.245</v>
      </c>
      <c r="AH13" s="10">
        <f t="shared" si="1"/>
        <v>74.693877551020407</v>
      </c>
      <c r="AI13" s="10">
        <f t="shared" si="14"/>
        <v>2.0408163265306123</v>
      </c>
      <c r="AJ13" s="10">
        <f t="shared" si="2"/>
        <v>23.26530612244898</v>
      </c>
      <c r="AX13" s="14"/>
      <c r="AY13" s="14"/>
      <c r="AZ13" s="14"/>
      <c r="BA13" s="14"/>
      <c r="BB13" s="14"/>
      <c r="BC13" s="14"/>
      <c r="BD13" s="14"/>
      <c r="BE13" s="14"/>
      <c r="BF13" s="14"/>
      <c r="BG13" s="14"/>
      <c r="BH13" s="14"/>
      <c r="BI13" s="14"/>
      <c r="BJ13" s="14"/>
      <c r="BK13" s="14"/>
      <c r="BL13" s="14"/>
      <c r="BM13" s="14"/>
    </row>
    <row r="14" spans="1:65">
      <c r="A14" s="6">
        <v>2021</v>
      </c>
      <c r="B14" s="6">
        <v>292</v>
      </c>
      <c r="C14" s="6" t="s">
        <v>443</v>
      </c>
      <c r="D14" s="6">
        <v>3</v>
      </c>
      <c r="E14" s="6">
        <v>11</v>
      </c>
      <c r="F14" s="6">
        <v>212.5</v>
      </c>
      <c r="G14" s="6">
        <f t="shared" si="4"/>
        <v>191.8</v>
      </c>
      <c r="H14" s="6">
        <v>41.6</v>
      </c>
      <c r="I14" s="6">
        <f t="shared" si="0"/>
        <v>20.900000000000002</v>
      </c>
      <c r="J14" s="6">
        <f t="shared" si="5"/>
        <v>170.9</v>
      </c>
      <c r="K14" s="6">
        <f t="shared" si="6"/>
        <v>89.103232533889468</v>
      </c>
      <c r="L14" s="6">
        <f t="shared" si="7"/>
        <v>209</v>
      </c>
      <c r="M14" s="6">
        <f t="shared" si="8"/>
        <v>241.39500000000001</v>
      </c>
      <c r="N14" s="6">
        <f t="shared" si="9"/>
        <v>0.20899999999999999</v>
      </c>
      <c r="O14" s="6">
        <f t="shared" si="10"/>
        <v>0.24034999999999998</v>
      </c>
      <c r="P14" s="141">
        <v>35.770000000000003</v>
      </c>
      <c r="Q14" s="6">
        <f t="shared" si="11"/>
        <v>7.4759300000000001E-2</v>
      </c>
      <c r="R14" s="141">
        <v>4.57</v>
      </c>
      <c r="S14" s="6">
        <f t="shared" si="12"/>
        <v>9.5513000000000004E-3</v>
      </c>
      <c r="T14" s="10">
        <v>4</v>
      </c>
      <c r="U14" s="10">
        <f>AVERAGE(Q17:Q25)</f>
        <v>9.5090288888888874E-2</v>
      </c>
      <c r="V14" s="10">
        <f>STDEV(Q17:Q25)</f>
        <v>9.1796171868812795E-2</v>
      </c>
      <c r="W14" s="10">
        <f>AVERAGE(S17:S25)</f>
        <v>1.3147666666666667E-2</v>
      </c>
      <c r="X14" s="10">
        <f>STDEV(S17:S25)</f>
        <v>1.2224775451005226E-2</v>
      </c>
      <c r="Y14" s="6">
        <v>2021</v>
      </c>
      <c r="Z14" s="6">
        <v>292</v>
      </c>
      <c r="AA14" s="6" t="s">
        <v>443</v>
      </c>
      <c r="AB14" s="6">
        <v>3</v>
      </c>
      <c r="AC14" s="6">
        <v>11</v>
      </c>
      <c r="AD14" s="6">
        <v>0.20899999999999999</v>
      </c>
      <c r="AE14" s="6">
        <v>2.9999999999999979E-3</v>
      </c>
      <c r="AF14" s="6">
        <v>0</v>
      </c>
      <c r="AG14" s="6">
        <f t="shared" si="13"/>
        <v>0.21199999999999999</v>
      </c>
      <c r="AH14" s="6">
        <f t="shared" si="1"/>
        <v>98.584905660377359</v>
      </c>
      <c r="AI14" s="6">
        <f t="shared" si="14"/>
        <v>1.4150943396226405</v>
      </c>
      <c r="AJ14" s="6">
        <f t="shared" si="2"/>
        <v>0</v>
      </c>
      <c r="BA14" s="76" t="s">
        <v>52</v>
      </c>
    </row>
    <row r="15" spans="1:65">
      <c r="A15" s="6">
        <v>2021</v>
      </c>
      <c r="B15" s="6">
        <v>292</v>
      </c>
      <c r="C15" s="6" t="s">
        <v>444</v>
      </c>
      <c r="D15" s="6">
        <v>3</v>
      </c>
      <c r="E15" s="6">
        <v>12</v>
      </c>
      <c r="F15" s="6">
        <v>64.2</v>
      </c>
      <c r="G15" s="6">
        <f t="shared" si="4"/>
        <v>43.5</v>
      </c>
      <c r="H15" s="6">
        <v>24.6</v>
      </c>
      <c r="I15" s="6">
        <f t="shared" si="0"/>
        <v>3.9000000000000021</v>
      </c>
      <c r="J15" s="6">
        <f t="shared" si="5"/>
        <v>39.599999999999994</v>
      </c>
      <c r="K15" s="6">
        <f t="shared" si="6"/>
        <v>91.034482758620669</v>
      </c>
      <c r="L15" s="6">
        <f t="shared" si="7"/>
        <v>39.000000000000021</v>
      </c>
      <c r="M15" s="6">
        <f t="shared" si="8"/>
        <v>45.045000000000023</v>
      </c>
      <c r="N15" s="6">
        <f t="shared" si="9"/>
        <v>3.9000000000000021E-2</v>
      </c>
      <c r="O15" s="6">
        <f t="shared" si="10"/>
        <v>4.4850000000000022E-2</v>
      </c>
      <c r="P15" s="141">
        <v>36.24</v>
      </c>
      <c r="Q15" s="6">
        <f t="shared" si="11"/>
        <v>1.4133600000000008E-2</v>
      </c>
      <c r="R15" s="141">
        <v>4.93</v>
      </c>
      <c r="S15" s="6">
        <f t="shared" si="12"/>
        <v>1.9227000000000009E-3</v>
      </c>
      <c r="T15" s="10" t="s">
        <v>823</v>
      </c>
      <c r="U15" s="10">
        <f>AVERAGE(Q26:Q28)</f>
        <v>7.0210800000000004E-2</v>
      </c>
      <c r="V15" s="10">
        <f>STDEV(Q26:Q28)</f>
        <v>2.1457601912608967E-2</v>
      </c>
      <c r="W15" s="10">
        <f>AVERAGE(S26:S28)</f>
        <v>8.3341999999999999E-3</v>
      </c>
      <c r="X15" s="10">
        <f>STDEV(S26:S28)</f>
        <v>1.5404796785417189E-3</v>
      </c>
      <c r="Y15" s="6">
        <v>2021</v>
      </c>
      <c r="Z15" s="6">
        <v>292</v>
      </c>
      <c r="AA15" s="6" t="s">
        <v>444</v>
      </c>
      <c r="AB15" s="6">
        <v>3</v>
      </c>
      <c r="AC15" s="6">
        <v>12</v>
      </c>
      <c r="AD15" s="6">
        <v>3.9000000000000021E-2</v>
      </c>
      <c r="AE15" s="6">
        <v>1.2E-2</v>
      </c>
      <c r="AF15" s="6">
        <v>0</v>
      </c>
      <c r="AG15" s="6">
        <f t="shared" si="13"/>
        <v>5.1000000000000018E-2</v>
      </c>
      <c r="AH15" s="6">
        <f t="shared" si="1"/>
        <v>76.47058823529413</v>
      </c>
      <c r="AI15" s="6">
        <f t="shared" si="14"/>
        <v>23.529411764705873</v>
      </c>
      <c r="AJ15" s="6">
        <f t="shared" si="2"/>
        <v>0</v>
      </c>
      <c r="BA15" s="10" t="s">
        <v>677</v>
      </c>
      <c r="BB15">
        <f>BB11*1000</f>
        <v>282.55555555555554</v>
      </c>
    </row>
    <row r="16" spans="1:65">
      <c r="A16" s="6">
        <v>2021</v>
      </c>
      <c r="B16" s="6">
        <v>292</v>
      </c>
      <c r="C16" s="6" t="s">
        <v>445</v>
      </c>
      <c r="D16" s="6">
        <v>3</v>
      </c>
      <c r="E16" s="6">
        <v>13</v>
      </c>
      <c r="F16" s="6">
        <v>83.6</v>
      </c>
      <c r="G16" s="6">
        <f t="shared" si="4"/>
        <v>62.899999999999991</v>
      </c>
      <c r="H16" s="6">
        <v>28.9</v>
      </c>
      <c r="I16" s="6">
        <f t="shared" si="0"/>
        <v>8.1999999999999993</v>
      </c>
      <c r="J16" s="6">
        <f t="shared" si="5"/>
        <v>54.699999999999989</v>
      </c>
      <c r="K16" s="6">
        <f t="shared" si="6"/>
        <v>86.963434022257545</v>
      </c>
      <c r="L16" s="6">
        <f t="shared" si="7"/>
        <v>81.999999999999986</v>
      </c>
      <c r="M16" s="6">
        <f t="shared" si="8"/>
        <v>94.70999999999998</v>
      </c>
      <c r="N16" s="6">
        <f t="shared" si="9"/>
        <v>8.199999999999999E-2</v>
      </c>
      <c r="O16" s="6">
        <f t="shared" si="10"/>
        <v>9.4299999999999981E-2</v>
      </c>
      <c r="P16" s="141">
        <v>35.630000000000003</v>
      </c>
      <c r="Q16" s="6">
        <f t="shared" si="11"/>
        <v>2.9216599999999995E-2</v>
      </c>
      <c r="R16" s="141">
        <v>4.82</v>
      </c>
      <c r="S16" s="6">
        <f t="shared" si="12"/>
        <v>3.9523999999999991E-3</v>
      </c>
      <c r="Y16" s="6">
        <v>2021</v>
      </c>
      <c r="Z16" s="6">
        <v>292</v>
      </c>
      <c r="AA16" s="6" t="s">
        <v>445</v>
      </c>
      <c r="AB16" s="6">
        <v>3</v>
      </c>
      <c r="AC16" s="6">
        <v>13</v>
      </c>
      <c r="AD16" s="6">
        <v>8.199999999999999E-2</v>
      </c>
      <c r="AE16" s="6">
        <v>6.0000000000000045E-3</v>
      </c>
      <c r="AF16" s="6">
        <v>0</v>
      </c>
      <c r="AG16" s="6">
        <f t="shared" si="13"/>
        <v>8.7999999999999995E-2</v>
      </c>
      <c r="AH16" s="6">
        <f t="shared" si="1"/>
        <v>93.181818181818173</v>
      </c>
      <c r="AI16" s="6">
        <f t="shared" si="14"/>
        <v>6.8181818181818237</v>
      </c>
      <c r="AJ16" s="6">
        <f t="shared" si="2"/>
        <v>0</v>
      </c>
      <c r="BA16" s="10" t="s">
        <v>1144</v>
      </c>
      <c r="BB16">
        <f>BB12*1000</f>
        <v>304.00000000000006</v>
      </c>
    </row>
    <row r="17" spans="1:36">
      <c r="A17" s="10">
        <v>2021</v>
      </c>
      <c r="B17" s="10">
        <v>292</v>
      </c>
      <c r="C17" s="10" t="s">
        <v>459</v>
      </c>
      <c r="D17" s="10">
        <v>4</v>
      </c>
      <c r="E17" s="10">
        <v>1</v>
      </c>
      <c r="F17" s="10">
        <v>97.8</v>
      </c>
      <c r="G17" s="10">
        <f t="shared" si="4"/>
        <v>77.099999999999994</v>
      </c>
      <c r="H17" s="10">
        <v>30</v>
      </c>
      <c r="I17" s="10">
        <f t="shared" si="0"/>
        <v>9.3000000000000007</v>
      </c>
      <c r="J17" s="10">
        <f t="shared" si="5"/>
        <v>67.8</v>
      </c>
      <c r="K17" s="10">
        <f t="shared" si="6"/>
        <v>87.937743190661479</v>
      </c>
      <c r="L17" s="10">
        <f t="shared" si="7"/>
        <v>93</v>
      </c>
      <c r="M17" s="10">
        <f t="shared" si="8"/>
        <v>107.41500000000001</v>
      </c>
      <c r="N17" s="10">
        <f t="shared" si="9"/>
        <v>9.2999999999999999E-2</v>
      </c>
      <c r="O17" s="10">
        <f t="shared" si="10"/>
        <v>0.10694999999999999</v>
      </c>
      <c r="P17" s="79">
        <v>35.85</v>
      </c>
      <c r="Q17" s="10">
        <f t="shared" si="11"/>
        <v>3.3340500000000002E-2</v>
      </c>
      <c r="R17" s="79">
        <v>5.0199999999999996</v>
      </c>
      <c r="S17" s="10">
        <f t="shared" si="12"/>
        <v>4.6685999999999993E-3</v>
      </c>
      <c r="U17">
        <f>U12*1000</f>
        <v>81.639777777777795</v>
      </c>
      <c r="W17">
        <f>W12*1000</f>
        <v>10.986522222222224</v>
      </c>
      <c r="X17">
        <f>X12*1000</f>
        <v>7.8607130562019876</v>
      </c>
      <c r="Y17" s="10">
        <v>2021</v>
      </c>
      <c r="Z17" s="10">
        <v>292</v>
      </c>
      <c r="AA17" s="10" t="s">
        <v>459</v>
      </c>
      <c r="AB17" s="10">
        <v>4</v>
      </c>
      <c r="AC17" s="10">
        <v>1</v>
      </c>
      <c r="AD17" s="10">
        <v>9.2999999999999999E-2</v>
      </c>
      <c r="AE17" s="10">
        <v>0</v>
      </c>
      <c r="AF17" s="10">
        <v>7.0000000000000019E-3</v>
      </c>
      <c r="AG17" s="10">
        <f t="shared" si="13"/>
        <v>0.1</v>
      </c>
      <c r="AH17" s="10">
        <f t="shared" si="1"/>
        <v>93</v>
      </c>
      <c r="AI17" s="10">
        <f t="shared" si="14"/>
        <v>0</v>
      </c>
      <c r="AJ17" s="10">
        <f t="shared" si="2"/>
        <v>7.0000000000000018</v>
      </c>
    </row>
    <row r="18" spans="1:36">
      <c r="A18" s="10">
        <v>2021</v>
      </c>
      <c r="B18" s="10">
        <v>292</v>
      </c>
      <c r="C18" s="10" t="s">
        <v>460</v>
      </c>
      <c r="D18" s="10">
        <v>4</v>
      </c>
      <c r="E18" s="10">
        <v>2</v>
      </c>
      <c r="F18" s="10">
        <v>95.7</v>
      </c>
      <c r="G18" s="10">
        <f t="shared" si="4"/>
        <v>75</v>
      </c>
      <c r="H18" s="10">
        <v>29.7</v>
      </c>
      <c r="I18" s="10">
        <f t="shared" si="0"/>
        <v>9</v>
      </c>
      <c r="J18" s="10">
        <f t="shared" si="5"/>
        <v>66</v>
      </c>
      <c r="K18" s="10">
        <f t="shared" si="6"/>
        <v>88</v>
      </c>
      <c r="L18" s="10">
        <f t="shared" si="7"/>
        <v>89.999999999999986</v>
      </c>
      <c r="M18" s="10">
        <f t="shared" si="8"/>
        <v>103.94999999999999</v>
      </c>
      <c r="N18" s="10">
        <f t="shared" si="9"/>
        <v>8.9999999999999983E-2</v>
      </c>
      <c r="O18" s="10">
        <f t="shared" si="10"/>
        <v>0.10349999999999997</v>
      </c>
      <c r="P18" s="79">
        <v>35.89</v>
      </c>
      <c r="Q18" s="10">
        <f t="shared" si="11"/>
        <v>3.2300999999999996E-2</v>
      </c>
      <c r="R18" s="79">
        <v>5.0999999999999996</v>
      </c>
      <c r="S18" s="10">
        <f t="shared" si="12"/>
        <v>4.5899999999999986E-3</v>
      </c>
      <c r="T18" s="316">
        <f>AVERAGE(P5:P13)</f>
        <v>34.985555555555557</v>
      </c>
      <c r="Y18" s="10">
        <v>2021</v>
      </c>
      <c r="Z18" s="10">
        <v>292</v>
      </c>
      <c r="AA18" s="10" t="s">
        <v>460</v>
      </c>
      <c r="AB18" s="10">
        <v>4</v>
      </c>
      <c r="AC18" s="10">
        <v>2</v>
      </c>
      <c r="AD18" s="10">
        <v>8.9999999999999983E-2</v>
      </c>
      <c r="AE18" s="10">
        <v>6.0000000000000045E-3</v>
      </c>
      <c r="AF18" s="10">
        <v>4.0000000000000036E-3</v>
      </c>
      <c r="AG18" s="10">
        <f t="shared" si="13"/>
        <v>9.9999999999999992E-2</v>
      </c>
      <c r="AH18" s="10">
        <f t="shared" si="1"/>
        <v>89.999999999999986</v>
      </c>
      <c r="AI18" s="10">
        <f t="shared" si="14"/>
        <v>6.0000000000000044</v>
      </c>
      <c r="AJ18" s="10">
        <f t="shared" si="2"/>
        <v>4.0000000000000036</v>
      </c>
    </row>
    <row r="19" spans="1:36">
      <c r="A19" s="10">
        <v>2021</v>
      </c>
      <c r="B19" s="10">
        <v>292</v>
      </c>
      <c r="C19" s="10" t="s">
        <v>461</v>
      </c>
      <c r="D19" s="10">
        <v>4</v>
      </c>
      <c r="E19" s="10">
        <v>3</v>
      </c>
      <c r="F19" s="10">
        <v>78.900000000000006</v>
      </c>
      <c r="G19" s="10">
        <f t="shared" si="4"/>
        <v>58.2</v>
      </c>
      <c r="H19" s="10">
        <v>28.6</v>
      </c>
      <c r="I19" s="10">
        <f t="shared" si="0"/>
        <v>7.9000000000000021</v>
      </c>
      <c r="J19" s="10">
        <f t="shared" si="5"/>
        <v>50.3</v>
      </c>
      <c r="K19" s="10">
        <f t="shared" si="6"/>
        <v>86.426116838487971</v>
      </c>
      <c r="L19" s="10">
        <f t="shared" si="7"/>
        <v>79.000000000000014</v>
      </c>
      <c r="M19" s="10">
        <f t="shared" si="8"/>
        <v>91.245000000000019</v>
      </c>
      <c r="N19" s="10">
        <f t="shared" si="9"/>
        <v>7.9000000000000015E-2</v>
      </c>
      <c r="O19" s="10">
        <f t="shared" si="10"/>
        <v>9.0850000000000014E-2</v>
      </c>
      <c r="P19" s="79">
        <v>35.75</v>
      </c>
      <c r="Q19" s="10">
        <f t="shared" si="11"/>
        <v>2.8242500000000004E-2</v>
      </c>
      <c r="R19" s="79">
        <v>5.05</v>
      </c>
      <c r="S19" s="10">
        <f t="shared" si="12"/>
        <v>3.9895000000000009E-3</v>
      </c>
      <c r="T19" s="316">
        <f>AVERAGE(R5:R13)</f>
        <v>4.7411111111111124</v>
      </c>
      <c r="W19">
        <f>U17/W17</f>
        <v>7.4309027121108997</v>
      </c>
      <c r="Y19" s="10">
        <v>2021</v>
      </c>
      <c r="Z19" s="10">
        <v>292</v>
      </c>
      <c r="AA19" s="10" t="s">
        <v>461</v>
      </c>
      <c r="AB19" s="10">
        <v>4</v>
      </c>
      <c r="AC19" s="10">
        <v>3</v>
      </c>
      <c r="AD19" s="10">
        <v>7.9000000000000015E-2</v>
      </c>
      <c r="AE19" s="10">
        <v>0</v>
      </c>
      <c r="AF19" s="10">
        <v>2.0000000000000018E-3</v>
      </c>
      <c r="AG19" s="10">
        <f t="shared" si="13"/>
        <v>8.1000000000000016E-2</v>
      </c>
      <c r="AH19" s="10">
        <f t="shared" si="1"/>
        <v>97.53086419753086</v>
      </c>
      <c r="AI19" s="10">
        <f t="shared" si="14"/>
        <v>0</v>
      </c>
      <c r="AJ19" s="10">
        <f t="shared" si="2"/>
        <v>2.4691358024691374</v>
      </c>
    </row>
    <row r="20" spans="1:36">
      <c r="A20" s="10">
        <v>2021</v>
      </c>
      <c r="B20" s="10">
        <v>292</v>
      </c>
      <c r="C20" s="10" t="s">
        <v>462</v>
      </c>
      <c r="D20" s="10">
        <v>4</v>
      </c>
      <c r="E20" s="10">
        <v>4</v>
      </c>
      <c r="F20" s="10">
        <v>357.1</v>
      </c>
      <c r="G20" s="10">
        <f t="shared" si="4"/>
        <v>336.40000000000003</v>
      </c>
      <c r="H20" s="10">
        <v>93.7</v>
      </c>
      <c r="I20" s="10">
        <f t="shared" si="0"/>
        <v>73</v>
      </c>
      <c r="J20" s="10">
        <f t="shared" si="5"/>
        <v>263.40000000000003</v>
      </c>
      <c r="K20" s="10">
        <f t="shared" si="6"/>
        <v>78.299643281807377</v>
      </c>
      <c r="L20" s="10">
        <f t="shared" si="7"/>
        <v>729.99999999999989</v>
      </c>
      <c r="M20" s="10">
        <f t="shared" si="8"/>
        <v>843.14999999999986</v>
      </c>
      <c r="N20" s="10">
        <f t="shared" si="9"/>
        <v>0.72999999999999987</v>
      </c>
      <c r="O20" s="10">
        <f t="shared" si="10"/>
        <v>0.8394999999999998</v>
      </c>
      <c r="P20" s="79">
        <v>35.450000000000003</v>
      </c>
      <c r="Q20" s="10">
        <f t="shared" si="11"/>
        <v>0.25878499999999999</v>
      </c>
      <c r="R20" s="79">
        <v>4.67</v>
      </c>
      <c r="S20" s="10">
        <f t="shared" si="12"/>
        <v>3.4090999999999996E-2</v>
      </c>
      <c r="Y20" s="10">
        <v>2021</v>
      </c>
      <c r="Z20" s="10">
        <v>292</v>
      </c>
      <c r="AA20" s="10" t="s">
        <v>462</v>
      </c>
      <c r="AB20" s="10">
        <v>4</v>
      </c>
      <c r="AC20" s="10">
        <v>4</v>
      </c>
      <c r="AD20" s="10">
        <v>0.72999999999999987</v>
      </c>
      <c r="AE20" s="10">
        <v>0</v>
      </c>
      <c r="AF20" s="10">
        <v>0</v>
      </c>
      <c r="AG20" s="10">
        <f t="shared" si="13"/>
        <v>0.72999999999999987</v>
      </c>
      <c r="AH20" s="10">
        <f t="shared" si="1"/>
        <v>100</v>
      </c>
      <c r="AI20" s="10">
        <f t="shared" si="14"/>
        <v>0</v>
      </c>
      <c r="AJ20" s="10">
        <f t="shared" si="2"/>
        <v>0</v>
      </c>
    </row>
    <row r="21" spans="1:36">
      <c r="A21" s="10">
        <v>2021</v>
      </c>
      <c r="B21" s="10">
        <v>292</v>
      </c>
      <c r="C21" s="10" t="s">
        <v>463</v>
      </c>
      <c r="D21" s="10">
        <v>4</v>
      </c>
      <c r="E21" s="10">
        <v>5</v>
      </c>
      <c r="F21" s="10">
        <v>183</v>
      </c>
      <c r="G21" s="10">
        <f t="shared" si="4"/>
        <v>162.30000000000001</v>
      </c>
      <c r="H21" s="10">
        <v>38.6</v>
      </c>
      <c r="I21" s="10">
        <f t="shared" si="0"/>
        <v>17.900000000000002</v>
      </c>
      <c r="J21" s="10">
        <f t="shared" si="5"/>
        <v>144.4</v>
      </c>
      <c r="K21" s="10">
        <f t="shared" si="6"/>
        <v>88.971041281577328</v>
      </c>
      <c r="L21" s="10">
        <f t="shared" si="7"/>
        <v>179.00000000000003</v>
      </c>
      <c r="M21" s="10">
        <f t="shared" si="8"/>
        <v>206.74500000000003</v>
      </c>
      <c r="N21" s="10">
        <f t="shared" si="9"/>
        <v>0.17900000000000002</v>
      </c>
      <c r="O21" s="10">
        <f t="shared" si="10"/>
        <v>0.20585000000000001</v>
      </c>
      <c r="P21" s="79">
        <v>36.159999999999997</v>
      </c>
      <c r="Q21" s="10">
        <f t="shared" si="11"/>
        <v>6.4726400000000003E-2</v>
      </c>
      <c r="R21" s="79">
        <v>5.2</v>
      </c>
      <c r="S21" s="10">
        <f t="shared" si="12"/>
        <v>9.308000000000002E-3</v>
      </c>
      <c r="Y21" s="10">
        <v>2021</v>
      </c>
      <c r="Z21" s="10">
        <v>292</v>
      </c>
      <c r="AA21" s="10" t="s">
        <v>463</v>
      </c>
      <c r="AB21" s="10">
        <v>4</v>
      </c>
      <c r="AC21" s="10">
        <v>5</v>
      </c>
      <c r="AD21" s="10">
        <v>0.17900000000000002</v>
      </c>
      <c r="AE21" s="10">
        <v>0.01</v>
      </c>
      <c r="AF21" s="10">
        <v>0</v>
      </c>
      <c r="AG21" s="10">
        <f t="shared" si="13"/>
        <v>0.18900000000000003</v>
      </c>
      <c r="AH21" s="10">
        <f t="shared" si="1"/>
        <v>94.708994708994709</v>
      </c>
      <c r="AI21" s="10">
        <f t="shared" si="14"/>
        <v>5.2910052910052903</v>
      </c>
      <c r="AJ21" s="10">
        <f t="shared" si="2"/>
        <v>0</v>
      </c>
    </row>
    <row r="22" spans="1:36">
      <c r="A22" s="10">
        <v>2021</v>
      </c>
      <c r="B22" s="10">
        <v>292</v>
      </c>
      <c r="C22" s="10" t="s">
        <v>464</v>
      </c>
      <c r="D22" s="10">
        <v>4</v>
      </c>
      <c r="E22" s="10">
        <v>6</v>
      </c>
      <c r="F22" s="10">
        <v>397</v>
      </c>
      <c r="G22" s="10">
        <f t="shared" si="4"/>
        <v>376.3</v>
      </c>
      <c r="H22" s="10">
        <v>88.7</v>
      </c>
      <c r="I22" s="10">
        <f t="shared" si="0"/>
        <v>68</v>
      </c>
      <c r="J22" s="10">
        <f t="shared" si="5"/>
        <v>308.3</v>
      </c>
      <c r="K22" s="10">
        <f t="shared" si="6"/>
        <v>81.929311719372848</v>
      </c>
      <c r="L22" s="10">
        <f t="shared" si="7"/>
        <v>680</v>
      </c>
      <c r="M22" s="10">
        <f t="shared" si="8"/>
        <v>785.4</v>
      </c>
      <c r="N22" s="10">
        <f t="shared" si="9"/>
        <v>0.68</v>
      </c>
      <c r="O22" s="10">
        <f t="shared" si="10"/>
        <v>0.78200000000000003</v>
      </c>
      <c r="P22" s="79">
        <v>36.380000000000003</v>
      </c>
      <c r="Q22" s="10">
        <f t="shared" si="11"/>
        <v>0.24738400000000002</v>
      </c>
      <c r="R22" s="79">
        <v>5.01</v>
      </c>
      <c r="S22" s="10">
        <f t="shared" si="12"/>
        <v>3.4068000000000001E-2</v>
      </c>
      <c r="T22" s="316">
        <f>AVERAGE(P17:P25)</f>
        <v>36.097777777777779</v>
      </c>
      <c r="Y22" s="10">
        <v>2021</v>
      </c>
      <c r="Z22" s="10">
        <v>292</v>
      </c>
      <c r="AA22" s="10" t="s">
        <v>464</v>
      </c>
      <c r="AB22" s="10">
        <v>4</v>
      </c>
      <c r="AC22" s="10">
        <v>6</v>
      </c>
      <c r="AD22" s="10">
        <v>0.68</v>
      </c>
      <c r="AE22" s="10">
        <v>0</v>
      </c>
      <c r="AF22" s="10">
        <v>6.0000000000000012E-2</v>
      </c>
      <c r="AG22" s="10">
        <f t="shared" si="13"/>
        <v>0.7400000000000001</v>
      </c>
      <c r="AH22" s="10">
        <f t="shared" si="1"/>
        <v>91.891891891891888</v>
      </c>
      <c r="AI22" s="10">
        <f t="shared" si="14"/>
        <v>0</v>
      </c>
      <c r="AJ22" s="10">
        <f t="shared" si="2"/>
        <v>8.1081081081081088</v>
      </c>
    </row>
    <row r="23" spans="1:36">
      <c r="A23" s="10">
        <v>2021</v>
      </c>
      <c r="B23" s="10">
        <v>292</v>
      </c>
      <c r="C23" s="10" t="s">
        <v>465</v>
      </c>
      <c r="D23" s="10">
        <v>4</v>
      </c>
      <c r="E23" s="10">
        <v>7</v>
      </c>
      <c r="F23" s="10">
        <v>228.6</v>
      </c>
      <c r="G23" s="10">
        <f t="shared" si="4"/>
        <v>207.9</v>
      </c>
      <c r="H23" s="10">
        <v>43.2</v>
      </c>
      <c r="I23" s="10">
        <f t="shared" si="0"/>
        <v>22.500000000000004</v>
      </c>
      <c r="J23" s="10">
        <f t="shared" si="5"/>
        <v>185.4</v>
      </c>
      <c r="K23" s="10">
        <f t="shared" si="6"/>
        <v>89.177489177489178</v>
      </c>
      <c r="L23" s="10">
        <f t="shared" si="7"/>
        <v>225.00000000000003</v>
      </c>
      <c r="M23" s="10">
        <f t="shared" si="8"/>
        <v>259.87500000000006</v>
      </c>
      <c r="N23" s="10">
        <f t="shared" si="9"/>
        <v>0.22500000000000003</v>
      </c>
      <c r="O23" s="10">
        <f t="shared" si="10"/>
        <v>0.25875000000000004</v>
      </c>
      <c r="P23" s="79">
        <v>36.28</v>
      </c>
      <c r="Q23" s="10">
        <f t="shared" si="11"/>
        <v>8.1630000000000008E-2</v>
      </c>
      <c r="R23" s="79">
        <v>5.27</v>
      </c>
      <c r="S23" s="10">
        <f t="shared" si="12"/>
        <v>1.1857500000000002E-2</v>
      </c>
      <c r="T23" s="316">
        <f>AVERAGE(R17:R25)</f>
        <v>5.0888888888888877</v>
      </c>
      <c r="Y23" s="10">
        <v>2021</v>
      </c>
      <c r="Z23" s="10">
        <v>292</v>
      </c>
      <c r="AA23" s="10" t="s">
        <v>465</v>
      </c>
      <c r="AB23" s="10">
        <v>4</v>
      </c>
      <c r="AC23" s="10">
        <v>7</v>
      </c>
      <c r="AD23" s="10">
        <v>0.22500000000000003</v>
      </c>
      <c r="AE23" s="10">
        <v>9.8000000000000018E-2</v>
      </c>
      <c r="AF23" s="10">
        <v>2.6000000000000009E-2</v>
      </c>
      <c r="AG23" s="10">
        <f t="shared" si="13"/>
        <v>0.34900000000000009</v>
      </c>
      <c r="AH23" s="10">
        <f t="shared" si="1"/>
        <v>64.469914040114602</v>
      </c>
      <c r="AI23" s="10">
        <f t="shared" si="14"/>
        <v>28.08022922636103</v>
      </c>
      <c r="AJ23" s="10">
        <f t="shared" si="2"/>
        <v>7.4498567335243555</v>
      </c>
    </row>
    <row r="24" spans="1:36">
      <c r="A24" s="10">
        <v>2021</v>
      </c>
      <c r="B24" s="10">
        <v>292</v>
      </c>
      <c r="C24" s="10" t="s">
        <v>466</v>
      </c>
      <c r="D24" s="10">
        <v>4</v>
      </c>
      <c r="E24" s="10">
        <v>8</v>
      </c>
      <c r="F24" s="10">
        <v>109.2</v>
      </c>
      <c r="G24" s="10">
        <f t="shared" si="4"/>
        <v>88.5</v>
      </c>
      <c r="H24" s="10">
        <v>30.1</v>
      </c>
      <c r="I24" s="10">
        <f t="shared" si="0"/>
        <v>9.4000000000000021</v>
      </c>
      <c r="J24" s="10">
        <f t="shared" si="5"/>
        <v>79.099999999999994</v>
      </c>
      <c r="K24" s="10">
        <f t="shared" si="6"/>
        <v>89.378531073446325</v>
      </c>
      <c r="L24" s="10">
        <f t="shared" si="7"/>
        <v>94.000000000000014</v>
      </c>
      <c r="M24" s="10">
        <f t="shared" si="8"/>
        <v>108.57000000000002</v>
      </c>
      <c r="N24" s="10">
        <f t="shared" si="9"/>
        <v>9.4000000000000014E-2</v>
      </c>
      <c r="O24" s="10">
        <f t="shared" si="10"/>
        <v>0.1081</v>
      </c>
      <c r="P24" s="79">
        <v>36.479999999999997</v>
      </c>
      <c r="Q24" s="10">
        <f t="shared" si="11"/>
        <v>3.4291200000000001E-2</v>
      </c>
      <c r="R24" s="79">
        <v>5.16</v>
      </c>
      <c r="S24" s="10">
        <f t="shared" si="12"/>
        <v>4.8504000000000004E-3</v>
      </c>
      <c r="Y24" s="10">
        <v>2021</v>
      </c>
      <c r="Z24" s="10">
        <v>292</v>
      </c>
      <c r="AA24" s="10" t="s">
        <v>466</v>
      </c>
      <c r="AB24" s="10">
        <v>4</v>
      </c>
      <c r="AC24" s="10">
        <v>8</v>
      </c>
      <c r="AD24" s="10">
        <v>9.4000000000000014E-2</v>
      </c>
      <c r="AE24" s="10">
        <v>5.3999999999999992E-2</v>
      </c>
      <c r="AF24" s="10">
        <v>0</v>
      </c>
      <c r="AG24" s="10">
        <f t="shared" si="13"/>
        <v>0.14800000000000002</v>
      </c>
      <c r="AH24" s="10">
        <f t="shared" si="1"/>
        <v>63.513513513513523</v>
      </c>
      <c r="AI24" s="10">
        <f t="shared" si="14"/>
        <v>36.486486486486477</v>
      </c>
      <c r="AJ24" s="10">
        <f t="shared" si="2"/>
        <v>0</v>
      </c>
    </row>
    <row r="25" spans="1:36">
      <c r="A25" s="10">
        <v>2021</v>
      </c>
      <c r="B25" s="10">
        <v>292</v>
      </c>
      <c r="C25" s="10" t="s">
        <v>467</v>
      </c>
      <c r="D25" s="10">
        <v>4</v>
      </c>
      <c r="E25" s="10">
        <v>9</v>
      </c>
      <c r="F25" s="10">
        <v>204.2</v>
      </c>
      <c r="G25" s="10">
        <f t="shared" si="4"/>
        <v>183.5</v>
      </c>
      <c r="H25" s="10">
        <v>41.2</v>
      </c>
      <c r="I25" s="10">
        <f t="shared" si="0"/>
        <v>20.500000000000004</v>
      </c>
      <c r="J25" s="10">
        <f t="shared" si="5"/>
        <v>163</v>
      </c>
      <c r="K25" s="10">
        <f t="shared" si="6"/>
        <v>88.828337874659397</v>
      </c>
      <c r="L25" s="10">
        <f t="shared" si="7"/>
        <v>205.00000000000003</v>
      </c>
      <c r="M25" s="10">
        <f t="shared" si="8"/>
        <v>236.77500000000003</v>
      </c>
      <c r="N25" s="10">
        <f t="shared" si="9"/>
        <v>0.20500000000000004</v>
      </c>
      <c r="O25" s="10">
        <f t="shared" si="10"/>
        <v>0.23575000000000004</v>
      </c>
      <c r="P25" s="79">
        <v>36.64</v>
      </c>
      <c r="Q25" s="10">
        <f t="shared" si="11"/>
        <v>7.5112000000000012E-2</v>
      </c>
      <c r="R25" s="79">
        <v>5.32</v>
      </c>
      <c r="S25" s="10">
        <f t="shared" si="12"/>
        <v>1.0906000000000002E-2</v>
      </c>
      <c r="Y25" s="10">
        <v>2021</v>
      </c>
      <c r="Z25" s="10">
        <v>292</v>
      </c>
      <c r="AA25" s="10" t="s">
        <v>467</v>
      </c>
      <c r="AB25" s="10">
        <v>4</v>
      </c>
      <c r="AC25" s="10">
        <v>9</v>
      </c>
      <c r="AD25" s="10">
        <v>0.20500000000000004</v>
      </c>
      <c r="AE25" s="10">
        <v>9.3999999999999986E-2</v>
      </c>
      <c r="AF25" s="10">
        <v>0</v>
      </c>
      <c r="AG25" s="10">
        <f t="shared" si="13"/>
        <v>0.29900000000000004</v>
      </c>
      <c r="AH25" s="10">
        <f t="shared" si="1"/>
        <v>68.561872909699005</v>
      </c>
      <c r="AI25" s="10">
        <f t="shared" si="14"/>
        <v>31.438127090300995</v>
      </c>
      <c r="AJ25" s="10">
        <f t="shared" si="2"/>
        <v>0</v>
      </c>
    </row>
    <row r="26" spans="1:36">
      <c r="A26" s="6">
        <v>2021</v>
      </c>
      <c r="B26" s="6">
        <v>292</v>
      </c>
      <c r="C26" s="6" t="s">
        <v>468</v>
      </c>
      <c r="D26" s="6">
        <v>4</v>
      </c>
      <c r="E26" s="6">
        <v>11</v>
      </c>
      <c r="F26" s="6">
        <v>148.1</v>
      </c>
      <c r="G26" s="6">
        <f t="shared" si="4"/>
        <v>127.39999999999999</v>
      </c>
      <c r="H26" s="6">
        <v>34.200000000000003</v>
      </c>
      <c r="I26" s="6">
        <f t="shared" si="0"/>
        <v>13.500000000000004</v>
      </c>
      <c r="J26" s="6">
        <f t="shared" si="5"/>
        <v>113.89999999999999</v>
      </c>
      <c r="K26" s="6">
        <f t="shared" si="6"/>
        <v>89.403453689167975</v>
      </c>
      <c r="L26" s="6">
        <f t="shared" si="7"/>
        <v>135.00000000000003</v>
      </c>
      <c r="M26" s="6">
        <f t="shared" si="8"/>
        <v>155.92500000000004</v>
      </c>
      <c r="N26" s="6">
        <f t="shared" si="9"/>
        <v>0.13500000000000004</v>
      </c>
      <c r="O26" s="6">
        <f t="shared" si="10"/>
        <v>0.15525000000000003</v>
      </c>
      <c r="P26" s="141">
        <v>36.72</v>
      </c>
      <c r="Q26" s="6">
        <f t="shared" si="11"/>
        <v>4.9572000000000012E-2</v>
      </c>
      <c r="R26" s="141">
        <v>4.9000000000000004</v>
      </c>
      <c r="S26" s="6">
        <f t="shared" si="12"/>
        <v>6.615000000000002E-3</v>
      </c>
      <c r="Y26" s="6">
        <v>2021</v>
      </c>
      <c r="Z26" s="6">
        <v>292</v>
      </c>
      <c r="AA26" s="6" t="s">
        <v>468</v>
      </c>
      <c r="AB26" s="6">
        <v>4</v>
      </c>
      <c r="AC26" s="6">
        <v>11</v>
      </c>
      <c r="AD26" s="6">
        <v>0.13500000000000004</v>
      </c>
      <c r="AE26" s="6">
        <v>0</v>
      </c>
      <c r="AF26" s="6">
        <v>0</v>
      </c>
      <c r="AG26" s="6">
        <f t="shared" si="13"/>
        <v>0.13500000000000004</v>
      </c>
      <c r="AH26" s="6">
        <f t="shared" si="1"/>
        <v>100</v>
      </c>
      <c r="AI26" s="6">
        <f t="shared" si="14"/>
        <v>0</v>
      </c>
      <c r="AJ26" s="6">
        <f t="shared" si="2"/>
        <v>0</v>
      </c>
    </row>
    <row r="27" spans="1:36">
      <c r="A27" s="6">
        <v>2021</v>
      </c>
      <c r="B27" s="6">
        <v>292</v>
      </c>
      <c r="C27" s="6" t="s">
        <v>469</v>
      </c>
      <c r="D27" s="6">
        <v>4</v>
      </c>
      <c r="E27" s="6">
        <v>12</v>
      </c>
      <c r="F27" s="6">
        <v>233</v>
      </c>
      <c r="G27" s="6">
        <f t="shared" si="4"/>
        <v>212.3</v>
      </c>
      <c r="H27" s="6">
        <v>45.1</v>
      </c>
      <c r="I27" s="6">
        <f t="shared" si="0"/>
        <v>24.400000000000002</v>
      </c>
      <c r="J27" s="6">
        <f t="shared" si="5"/>
        <v>187.9</v>
      </c>
      <c r="K27" s="6">
        <f t="shared" si="6"/>
        <v>88.506829957607152</v>
      </c>
      <c r="L27" s="6">
        <f t="shared" si="7"/>
        <v>244</v>
      </c>
      <c r="M27" s="6">
        <f t="shared" si="8"/>
        <v>281.82</v>
      </c>
      <c r="N27" s="6">
        <f t="shared" si="9"/>
        <v>0.24399999999999999</v>
      </c>
      <c r="O27" s="6">
        <f t="shared" si="10"/>
        <v>0.28059999999999996</v>
      </c>
      <c r="P27" s="141">
        <v>37.869999999999997</v>
      </c>
      <c r="Q27" s="6">
        <f t="shared" si="11"/>
        <v>9.2402799999999993E-2</v>
      </c>
      <c r="R27" s="141">
        <v>3.93</v>
      </c>
      <c r="S27" s="6">
        <f t="shared" si="12"/>
        <v>9.5892000000000008E-3</v>
      </c>
      <c r="Y27" s="6">
        <v>2021</v>
      </c>
      <c r="Z27" s="6">
        <v>292</v>
      </c>
      <c r="AA27" s="6" t="s">
        <v>469</v>
      </c>
      <c r="AB27" s="6">
        <v>4</v>
      </c>
      <c r="AC27" s="6">
        <v>12</v>
      </c>
      <c r="AD27" s="6">
        <v>0.24399999999999999</v>
      </c>
      <c r="AE27" s="6">
        <v>4.0000000000000036E-3</v>
      </c>
      <c r="AF27" s="6">
        <v>0.01</v>
      </c>
      <c r="AG27" s="6">
        <f t="shared" si="13"/>
        <v>0.25800000000000001</v>
      </c>
      <c r="AH27" s="6">
        <f t="shared" si="1"/>
        <v>94.573643410852696</v>
      </c>
      <c r="AI27" s="6">
        <f t="shared" si="14"/>
        <v>1.5503875968992262</v>
      </c>
      <c r="AJ27" s="6">
        <f t="shared" si="2"/>
        <v>3.8759689922480618</v>
      </c>
    </row>
    <row r="28" spans="1:36">
      <c r="A28" s="6">
        <v>2021</v>
      </c>
      <c r="B28" s="6">
        <v>292</v>
      </c>
      <c r="C28" s="6" t="s">
        <v>470</v>
      </c>
      <c r="D28" s="6">
        <v>4</v>
      </c>
      <c r="E28" s="6">
        <v>13</v>
      </c>
      <c r="F28" s="6">
        <v>197.9</v>
      </c>
      <c r="G28" s="6">
        <f t="shared" si="4"/>
        <v>177.20000000000002</v>
      </c>
      <c r="H28" s="6">
        <v>39.5</v>
      </c>
      <c r="I28" s="6">
        <f t="shared" si="0"/>
        <v>18.8</v>
      </c>
      <c r="J28" s="6">
        <f t="shared" si="5"/>
        <v>158.4</v>
      </c>
      <c r="K28" s="6">
        <f t="shared" si="6"/>
        <v>89.390519187358905</v>
      </c>
      <c r="L28" s="6">
        <f t="shared" si="7"/>
        <v>188</v>
      </c>
      <c r="M28" s="6">
        <f t="shared" si="8"/>
        <v>217.14000000000001</v>
      </c>
      <c r="N28" s="6">
        <f t="shared" si="9"/>
        <v>0.188</v>
      </c>
      <c r="O28" s="6">
        <f t="shared" si="10"/>
        <v>0.21619999999999998</v>
      </c>
      <c r="P28" s="141">
        <v>36.520000000000003</v>
      </c>
      <c r="Q28" s="6">
        <f t="shared" si="11"/>
        <v>6.8657599999999999E-2</v>
      </c>
      <c r="R28" s="141">
        <v>4.68</v>
      </c>
      <c r="S28" s="6">
        <f t="shared" si="12"/>
        <v>8.7983999999999996E-3</v>
      </c>
      <c r="Y28" s="6">
        <v>2021</v>
      </c>
      <c r="Z28" s="6">
        <v>292</v>
      </c>
      <c r="AA28" s="6" t="s">
        <v>470</v>
      </c>
      <c r="AB28" s="6">
        <v>4</v>
      </c>
      <c r="AC28" s="6">
        <v>13</v>
      </c>
      <c r="AD28" s="6">
        <v>0.188</v>
      </c>
      <c r="AE28" s="6">
        <v>4.4999999999999998E-2</v>
      </c>
      <c r="AF28" s="6">
        <v>3.7999999999999999E-2</v>
      </c>
      <c r="AG28" s="6">
        <f t="shared" si="13"/>
        <v>0.27099999999999996</v>
      </c>
      <c r="AH28" s="6">
        <f t="shared" si="1"/>
        <v>69.372693726937271</v>
      </c>
      <c r="AI28" s="6">
        <f t="shared" si="14"/>
        <v>16.605166051660518</v>
      </c>
      <c r="AJ28" s="6">
        <f t="shared" si="2"/>
        <v>14.022140221402216</v>
      </c>
    </row>
    <row r="29" spans="1:36">
      <c r="A29" s="14"/>
      <c r="B29" s="14"/>
      <c r="C29" s="14"/>
      <c r="D29" s="14"/>
      <c r="E29" s="14"/>
      <c r="F29" s="14"/>
      <c r="G29" s="14"/>
      <c r="H29" s="14"/>
      <c r="I29" s="14"/>
      <c r="J29" s="14"/>
      <c r="K29" s="14"/>
      <c r="L29" s="14"/>
      <c r="M29" s="14"/>
      <c r="N29" s="14"/>
      <c r="O29" s="14"/>
      <c r="P29" s="14"/>
      <c r="Q29" s="14"/>
      <c r="R29" s="14"/>
      <c r="S29" s="14"/>
    </row>
    <row r="30" spans="1:36" ht="23.5">
      <c r="A30" s="95" t="s">
        <v>1145</v>
      </c>
      <c r="B30" s="14"/>
      <c r="C30" s="14"/>
      <c r="D30" s="14"/>
      <c r="E30" s="14" t="s">
        <v>1146</v>
      </c>
      <c r="F30" s="14"/>
      <c r="G30" s="14">
        <v>5.3</v>
      </c>
      <c r="H30" s="14"/>
      <c r="I30" s="14"/>
      <c r="J30" s="14"/>
      <c r="K30" s="14"/>
      <c r="L30" s="14"/>
      <c r="M30" s="14"/>
      <c r="N30" s="14"/>
      <c r="O30" s="14"/>
      <c r="P30" s="14"/>
      <c r="Q30" s="14"/>
      <c r="R30" s="14"/>
      <c r="S30" s="14"/>
      <c r="AE30" s="76" t="s">
        <v>1147</v>
      </c>
      <c r="AF30" t="s">
        <v>775</v>
      </c>
    </row>
    <row r="31" spans="1:36">
      <c r="A31" s="76" t="s">
        <v>50</v>
      </c>
      <c r="B31" s="76" t="s">
        <v>1148</v>
      </c>
      <c r="C31" s="76" t="s">
        <v>559</v>
      </c>
      <c r="D31" s="76" t="s">
        <v>52</v>
      </c>
      <c r="E31" s="76" t="s">
        <v>785</v>
      </c>
      <c r="F31" s="76" t="s">
        <v>1149</v>
      </c>
      <c r="G31" s="76" t="s">
        <v>1150</v>
      </c>
      <c r="H31" s="76" t="s">
        <v>1151</v>
      </c>
      <c r="I31" s="76" t="s">
        <v>1152</v>
      </c>
      <c r="J31" s="76" t="s">
        <v>904</v>
      </c>
      <c r="K31" s="76" t="s">
        <v>624</v>
      </c>
      <c r="L31" s="76" t="s">
        <v>663</v>
      </c>
      <c r="M31" s="76" t="s">
        <v>1123</v>
      </c>
      <c r="N31" s="76" t="s">
        <v>799</v>
      </c>
      <c r="O31" s="76" t="s">
        <v>911</v>
      </c>
      <c r="P31" s="76" t="s">
        <v>522</v>
      </c>
      <c r="Q31" s="76" t="s">
        <v>1124</v>
      </c>
      <c r="R31" s="76" t="s">
        <v>524</v>
      </c>
      <c r="S31" s="76" t="s">
        <v>1125</v>
      </c>
      <c r="U31" s="76" t="s">
        <v>52</v>
      </c>
      <c r="V31" s="76" t="s">
        <v>1126</v>
      </c>
      <c r="W31" s="76" t="s">
        <v>1127</v>
      </c>
      <c r="X31" s="76" t="s">
        <v>586</v>
      </c>
      <c r="AE31" s="10">
        <f t="shared" ref="AE31:AE54" si="18">AG5*1000</f>
        <v>473</v>
      </c>
      <c r="AF31">
        <v>14.345400000000001</v>
      </c>
    </row>
    <row r="32" spans="1:36">
      <c r="A32" s="10">
        <v>2021</v>
      </c>
      <c r="B32" s="10">
        <v>292</v>
      </c>
      <c r="C32" s="148"/>
      <c r="D32" s="148">
        <v>3</v>
      </c>
      <c r="E32" s="148">
        <v>1</v>
      </c>
      <c r="F32" s="148"/>
      <c r="G32" s="148"/>
      <c r="H32" s="148"/>
      <c r="I32" s="148"/>
      <c r="J32" s="148"/>
      <c r="K32" s="148"/>
      <c r="L32" s="148"/>
      <c r="M32" s="148"/>
      <c r="N32" s="148" t="s">
        <v>694</v>
      </c>
      <c r="O32" s="148" t="s">
        <v>694</v>
      </c>
      <c r="P32" s="148"/>
      <c r="Q32" s="148"/>
      <c r="R32" s="148"/>
      <c r="S32" s="148"/>
      <c r="U32" s="153">
        <v>3</v>
      </c>
      <c r="V32" s="7">
        <f>AVERAGE(N32:N40)</f>
        <v>2.0999999999999998E-2</v>
      </c>
      <c r="W32" s="7">
        <f>AVERAGE(O32:O40)</f>
        <v>2.4149999999999998E-2</v>
      </c>
      <c r="X32" s="7">
        <f>STDEV(O32:O40)</f>
        <v>3.0757573593073507E-2</v>
      </c>
      <c r="AE32" s="10">
        <f t="shared" si="18"/>
        <v>686</v>
      </c>
      <c r="AF32">
        <v>30.6035</v>
      </c>
    </row>
    <row r="33" spans="1:32">
      <c r="A33" s="10">
        <v>2021</v>
      </c>
      <c r="B33" s="10">
        <v>292</v>
      </c>
      <c r="C33" s="10" t="s">
        <v>448</v>
      </c>
      <c r="D33" s="10">
        <v>3</v>
      </c>
      <c r="E33" s="10">
        <v>2</v>
      </c>
      <c r="F33" s="10">
        <v>33.6</v>
      </c>
      <c r="G33" s="10">
        <f>F33-5.3</f>
        <v>28.3</v>
      </c>
      <c r="H33" s="10">
        <v>11.4</v>
      </c>
      <c r="I33" s="10">
        <f>H33-5.3</f>
        <v>6.1000000000000005</v>
      </c>
      <c r="J33" s="10">
        <f>G33-I33</f>
        <v>22.2</v>
      </c>
      <c r="K33" s="10">
        <f>(J33/G33)*100</f>
        <v>78.445229681978788</v>
      </c>
      <c r="L33" s="10">
        <f>(I33/1000)/0.0001</f>
        <v>61</v>
      </c>
      <c r="M33" s="10">
        <f>L33*1.155</f>
        <v>70.454999999999998</v>
      </c>
      <c r="N33" s="10">
        <f t="shared" ref="N33:N55" si="19">L33*(1/1000)</f>
        <v>6.0999999999999999E-2</v>
      </c>
      <c r="O33" s="10">
        <f t="shared" ref="O33:O55" si="20">N33*1.15</f>
        <v>7.014999999999999E-2</v>
      </c>
      <c r="P33" s="79">
        <v>38.67</v>
      </c>
      <c r="Q33" s="10">
        <f>N33*(P33/100)</f>
        <v>2.3588700000000001E-2</v>
      </c>
      <c r="R33" s="79">
        <v>2.75</v>
      </c>
      <c r="S33" s="10">
        <f>N33*(R33/100)</f>
        <v>1.6775E-3</v>
      </c>
      <c r="T33" s="315">
        <f>AVERAGE(P33,P34,P37,P40)</f>
        <v>37.799999999999997</v>
      </c>
      <c r="U33" s="153" t="s">
        <v>819</v>
      </c>
      <c r="V33" s="7">
        <f>AVERAGE(N41:N43)</f>
        <v>7.0000000000000001E-3</v>
      </c>
      <c r="W33" s="7">
        <f>AVERAGE(O41:O43)</f>
        <v>8.0499999999999999E-3</v>
      </c>
      <c r="X33" s="7">
        <f>STDEV(O41:O43)</f>
        <v>5.2699620491992163E-3</v>
      </c>
      <c r="AE33" s="10">
        <f t="shared" si="18"/>
        <v>308</v>
      </c>
      <c r="AF33">
        <v>12.4932</v>
      </c>
    </row>
    <row r="34" spans="1:32">
      <c r="A34" s="10">
        <v>2021</v>
      </c>
      <c r="B34" s="10">
        <v>292</v>
      </c>
      <c r="C34" s="10" t="s">
        <v>451</v>
      </c>
      <c r="D34" s="10">
        <v>3</v>
      </c>
      <c r="E34" s="10">
        <v>3</v>
      </c>
      <c r="F34" s="10">
        <v>7.3</v>
      </c>
      <c r="G34" s="10">
        <f t="shared" ref="G34:G55" si="21">F34-5.3</f>
        <v>2</v>
      </c>
      <c r="H34" s="10">
        <v>6.1</v>
      </c>
      <c r="I34" s="10">
        <f t="shared" ref="I34:I55" si="22">H34-5.3</f>
        <v>0.79999999999999982</v>
      </c>
      <c r="J34" s="10">
        <f t="shared" ref="J34:J55" si="23">G34-I34</f>
        <v>1.2000000000000002</v>
      </c>
      <c r="K34" s="10">
        <f t="shared" ref="K34:K55" si="24">(J34/G34)*100</f>
        <v>60.000000000000007</v>
      </c>
      <c r="L34" s="10">
        <f t="shared" ref="L34:L55" si="25">(I34/1000)/0.0001</f>
        <v>7.9999999999999982</v>
      </c>
      <c r="M34" s="10">
        <f t="shared" ref="M34:M55" si="26">L34*1.155</f>
        <v>9.2399999999999984</v>
      </c>
      <c r="N34" s="10">
        <f t="shared" si="19"/>
        <v>7.9999999999999984E-3</v>
      </c>
      <c r="O34" s="10">
        <f t="shared" si="20"/>
        <v>9.1999999999999981E-3</v>
      </c>
      <c r="P34" s="313" t="s">
        <v>1153</v>
      </c>
      <c r="Q34" s="10">
        <f>N34*(P34/100)</f>
        <v>2.8439999999999993E-3</v>
      </c>
      <c r="R34" s="79">
        <v>2.63</v>
      </c>
      <c r="S34" s="10">
        <f>N34*(R34/100)</f>
        <v>2.1039999999999996E-4</v>
      </c>
      <c r="U34" s="153">
        <v>4</v>
      </c>
      <c r="V34" s="7">
        <f>AVERAGE(N44:N52)</f>
        <v>5.2400000000000002E-2</v>
      </c>
      <c r="W34" s="7">
        <f>AVERAGE(O44:O52)</f>
        <v>6.0260000000000001E-2</v>
      </c>
      <c r="X34" s="7">
        <f>STDEV(O44:O52)</f>
        <v>5.0662688440310778E-2</v>
      </c>
      <c r="AE34" s="10">
        <f t="shared" si="18"/>
        <v>98.000000000000014</v>
      </c>
      <c r="AF34">
        <v>4.6648000000000005</v>
      </c>
    </row>
    <row r="35" spans="1:32">
      <c r="A35" s="10">
        <v>2021</v>
      </c>
      <c r="B35" s="10">
        <v>292</v>
      </c>
      <c r="C35" s="148"/>
      <c r="D35" s="148">
        <v>3</v>
      </c>
      <c r="E35" s="148">
        <v>4</v>
      </c>
      <c r="F35" s="148"/>
      <c r="G35" s="148"/>
      <c r="H35" s="148"/>
      <c r="I35" s="148"/>
      <c r="J35" s="148"/>
      <c r="K35" s="148"/>
      <c r="L35" s="148"/>
      <c r="M35" s="148"/>
      <c r="N35" s="148" t="s">
        <v>694</v>
      </c>
      <c r="O35" s="148" t="s">
        <v>694</v>
      </c>
      <c r="P35" s="314"/>
      <c r="Q35" s="148"/>
      <c r="R35" s="148"/>
      <c r="S35" s="148"/>
      <c r="T35" s="315">
        <f>AVERAGE(R33,R34,R37,R40)</f>
        <v>2.6574999999999998</v>
      </c>
      <c r="U35" s="153" t="s">
        <v>823</v>
      </c>
      <c r="V35" s="7">
        <f>AVERAGE(N53:N55)</f>
        <v>2.4500000000000001E-2</v>
      </c>
      <c r="W35" s="7">
        <f>AVERAGE(O53:O55)</f>
        <v>2.8174999999999999E-2</v>
      </c>
      <c r="X35" s="7">
        <f>STDEV(O53:O55)</f>
        <v>3.3340084732945717E-2</v>
      </c>
      <c r="AE35" s="10">
        <f t="shared" si="18"/>
        <v>367</v>
      </c>
      <c r="AF35">
        <v>17.872900000000001</v>
      </c>
    </row>
    <row r="36" spans="1:32">
      <c r="A36" s="10">
        <v>2021</v>
      </c>
      <c r="B36" s="10">
        <v>292</v>
      </c>
      <c r="C36" s="148"/>
      <c r="D36" s="148">
        <v>3</v>
      </c>
      <c r="E36" s="148">
        <v>5</v>
      </c>
      <c r="F36" s="148"/>
      <c r="G36" s="148"/>
      <c r="H36" s="148"/>
      <c r="I36" s="148"/>
      <c r="J36" s="148"/>
      <c r="K36" s="148"/>
      <c r="L36" s="148"/>
      <c r="M36" s="148"/>
      <c r="N36" s="148" t="s">
        <v>694</v>
      </c>
      <c r="O36" s="148" t="s">
        <v>694</v>
      </c>
      <c r="P36" s="314"/>
      <c r="Q36" s="148"/>
      <c r="R36" s="148"/>
      <c r="S36" s="148"/>
      <c r="AE36" s="10">
        <f t="shared" si="18"/>
        <v>165.00000000000003</v>
      </c>
      <c r="AF36">
        <v>7.4325000000000028</v>
      </c>
    </row>
    <row r="37" spans="1:32">
      <c r="A37" s="10">
        <v>2021</v>
      </c>
      <c r="B37" s="10">
        <v>292</v>
      </c>
      <c r="C37" s="10" t="s">
        <v>453</v>
      </c>
      <c r="D37" s="10">
        <v>3</v>
      </c>
      <c r="E37" s="10">
        <v>6</v>
      </c>
      <c r="F37" s="10">
        <v>7.5</v>
      </c>
      <c r="G37" s="10">
        <f t="shared" si="21"/>
        <v>2.2000000000000002</v>
      </c>
      <c r="H37" s="10">
        <v>6.3</v>
      </c>
      <c r="I37" s="10">
        <f t="shared" si="22"/>
        <v>1</v>
      </c>
      <c r="J37" s="10">
        <f t="shared" si="23"/>
        <v>1.2000000000000002</v>
      </c>
      <c r="K37" s="10">
        <f t="shared" si="24"/>
        <v>54.545454545454554</v>
      </c>
      <c r="L37" s="10">
        <f t="shared" si="25"/>
        <v>10</v>
      </c>
      <c r="M37" s="10">
        <f t="shared" si="26"/>
        <v>11.55</v>
      </c>
      <c r="N37" s="10">
        <f t="shared" si="19"/>
        <v>0.01</v>
      </c>
      <c r="O37" s="10">
        <f t="shared" si="20"/>
        <v>1.15E-2</v>
      </c>
      <c r="P37" s="313" t="s">
        <v>716</v>
      </c>
      <c r="Q37" s="10">
        <f>N37*(P37/100)</f>
        <v>3.9319999999999997E-3</v>
      </c>
      <c r="R37" s="79">
        <v>2.25</v>
      </c>
      <c r="S37" s="10">
        <f>N37*(R37/100)</f>
        <v>2.2499999999999999E-4</v>
      </c>
      <c r="AE37" s="10">
        <f t="shared" si="18"/>
        <v>79.000000000000014</v>
      </c>
      <c r="AF37">
        <v>3.6656000000000004</v>
      </c>
    </row>
    <row r="38" spans="1:32">
      <c r="A38" s="10">
        <v>2021</v>
      </c>
      <c r="B38" s="10">
        <v>292</v>
      </c>
      <c r="C38" s="148"/>
      <c r="D38" s="148">
        <v>3</v>
      </c>
      <c r="E38" s="148">
        <v>7</v>
      </c>
      <c r="F38" s="148"/>
      <c r="G38" s="148"/>
      <c r="H38" s="148"/>
      <c r="I38" s="148"/>
      <c r="J38" s="148"/>
      <c r="K38" s="148"/>
      <c r="L38" s="148"/>
      <c r="M38" s="148"/>
      <c r="N38" s="148" t="s">
        <v>694</v>
      </c>
      <c r="O38" s="148" t="s">
        <v>694</v>
      </c>
      <c r="P38" s="314"/>
      <c r="Q38" s="148"/>
      <c r="R38" s="148"/>
      <c r="S38" s="148"/>
      <c r="U38" s="76" t="s">
        <v>52</v>
      </c>
      <c r="V38" s="76" t="s">
        <v>1124</v>
      </c>
      <c r="W38" s="76" t="s">
        <v>586</v>
      </c>
      <c r="X38" s="76" t="s">
        <v>1125</v>
      </c>
      <c r="Y38" s="76" t="s">
        <v>586</v>
      </c>
      <c r="AE38" s="10">
        <f t="shared" si="18"/>
        <v>121.99999999999999</v>
      </c>
      <c r="AF38">
        <v>6.1365999999999996</v>
      </c>
    </row>
    <row r="39" spans="1:32">
      <c r="A39" s="10">
        <v>2021</v>
      </c>
      <c r="B39" s="10">
        <v>292</v>
      </c>
      <c r="C39" s="148"/>
      <c r="D39" s="148">
        <v>3</v>
      </c>
      <c r="E39" s="148">
        <v>8</v>
      </c>
      <c r="F39" s="148"/>
      <c r="G39" s="148"/>
      <c r="H39" s="148"/>
      <c r="I39" s="148"/>
      <c r="J39" s="148"/>
      <c r="K39" s="148"/>
      <c r="L39" s="148"/>
      <c r="M39" s="148"/>
      <c r="N39" s="148" t="s">
        <v>694</v>
      </c>
      <c r="O39" s="148" t="s">
        <v>694</v>
      </c>
      <c r="P39" s="314"/>
      <c r="Q39" s="148"/>
      <c r="R39" s="148"/>
      <c r="S39" s="148"/>
      <c r="U39" s="10">
        <v>3</v>
      </c>
      <c r="V39" s="10">
        <f>AVERAGE(Q33:Q34,Q37,Q40)</f>
        <v>8.0528000000000006E-3</v>
      </c>
      <c r="W39" s="10">
        <f>STDEV(Q33:Q34,Q37,Q40)</f>
        <v>1.0392223672535153E-2</v>
      </c>
      <c r="X39" s="10">
        <f>AVERAGE(S33:S34,S37,S40)</f>
        <v>5.65725E-4</v>
      </c>
      <c r="Y39" s="10">
        <f>STDEV(S33:S34,S37,S40)</f>
        <v>7.418940417382165E-4</v>
      </c>
      <c r="AE39" s="10">
        <f t="shared" si="18"/>
        <v>245</v>
      </c>
      <c r="AF39">
        <v>10.7067</v>
      </c>
    </row>
    <row r="40" spans="1:32">
      <c r="A40" s="10">
        <v>2021</v>
      </c>
      <c r="B40" s="10">
        <v>292</v>
      </c>
      <c r="C40" s="10" t="s">
        <v>454</v>
      </c>
      <c r="D40" s="10">
        <v>3</v>
      </c>
      <c r="E40" s="10">
        <v>9</v>
      </c>
      <c r="F40" s="10">
        <v>7</v>
      </c>
      <c r="G40" s="10">
        <f t="shared" si="21"/>
        <v>1.7000000000000002</v>
      </c>
      <c r="H40" s="10">
        <v>5.8</v>
      </c>
      <c r="I40" s="10">
        <f t="shared" si="22"/>
        <v>0.5</v>
      </c>
      <c r="J40" s="10">
        <f t="shared" si="23"/>
        <v>1.2000000000000002</v>
      </c>
      <c r="K40" s="10">
        <f t="shared" si="24"/>
        <v>70.588235294117652</v>
      </c>
      <c r="L40" s="10">
        <f t="shared" si="25"/>
        <v>5</v>
      </c>
      <c r="M40" s="10">
        <f t="shared" si="26"/>
        <v>5.7750000000000004</v>
      </c>
      <c r="N40" s="10">
        <f t="shared" si="19"/>
        <v>5.0000000000000001E-3</v>
      </c>
      <c r="O40" s="10">
        <f t="shared" si="20"/>
        <v>5.7499999999999999E-3</v>
      </c>
      <c r="P40" s="79">
        <v>36.93</v>
      </c>
      <c r="Q40" s="10">
        <f t="shared" ref="Q40:Q43" si="27">N40*(P40/100)</f>
        <v>1.8465000000000001E-3</v>
      </c>
      <c r="R40" s="79">
        <v>3</v>
      </c>
      <c r="S40" s="10">
        <f t="shared" ref="S40:S43" si="28">N40*(R40/100)</f>
        <v>1.4999999999999999E-4</v>
      </c>
      <c r="U40" s="10" t="s">
        <v>819</v>
      </c>
      <c r="V40" s="10">
        <f>AVERAGE(Q41:Q43)</f>
        <v>2.5602000000000003E-3</v>
      </c>
      <c r="W40" s="10">
        <f>STDEV(Q41:Q43)</f>
        <v>1.6615423557646677E-3</v>
      </c>
      <c r="X40" s="10">
        <f>AVERAGE(S41:S43)</f>
        <v>2.1280000000000005E-4</v>
      </c>
      <c r="Y40" s="10">
        <f>STDEV(S41:S43)</f>
        <v>1.770328783023086E-4</v>
      </c>
      <c r="AE40" s="10">
        <f t="shared" si="18"/>
        <v>212</v>
      </c>
      <c r="AF40">
        <v>9.6113</v>
      </c>
    </row>
    <row r="41" spans="1:32">
      <c r="A41" s="10">
        <v>2021</v>
      </c>
      <c r="B41" s="10">
        <v>292</v>
      </c>
      <c r="C41" s="10" t="s">
        <v>456</v>
      </c>
      <c r="D41" s="10">
        <v>3</v>
      </c>
      <c r="E41" s="10">
        <v>11</v>
      </c>
      <c r="F41" s="10">
        <v>6.4</v>
      </c>
      <c r="G41" s="10">
        <f t="shared" si="21"/>
        <v>1.1000000000000005</v>
      </c>
      <c r="H41" s="10">
        <v>5.6</v>
      </c>
      <c r="I41" s="10">
        <f t="shared" si="22"/>
        <v>0.29999999999999982</v>
      </c>
      <c r="J41" s="10">
        <f t="shared" si="23"/>
        <v>0.80000000000000071</v>
      </c>
      <c r="K41" s="10">
        <f t="shared" si="24"/>
        <v>72.727272727272748</v>
      </c>
      <c r="L41" s="10">
        <f t="shared" si="25"/>
        <v>2.9999999999999978</v>
      </c>
      <c r="M41" s="10">
        <f t="shared" si="26"/>
        <v>3.4649999999999976</v>
      </c>
      <c r="N41" s="10">
        <f t="shared" si="19"/>
        <v>2.9999999999999979E-3</v>
      </c>
      <c r="O41" s="10">
        <f t="shared" si="20"/>
        <v>3.4499999999999973E-3</v>
      </c>
      <c r="P41" s="79">
        <v>36.74</v>
      </c>
      <c r="Q41" s="10">
        <f t="shared" si="27"/>
        <v>1.1021999999999991E-3</v>
      </c>
      <c r="R41" s="79">
        <v>2</v>
      </c>
      <c r="S41" s="10">
        <f t="shared" si="28"/>
        <v>5.9999999999999961E-5</v>
      </c>
      <c r="U41" s="10">
        <v>4</v>
      </c>
      <c r="V41" s="10">
        <f>AVERAGE(Q45,Q48,Q50:Q52)</f>
        <v>1.852084E-2</v>
      </c>
      <c r="W41" s="10">
        <f>STDEV(Q45,Q48,Q50:Q52)</f>
        <v>1.5889015349227899E-2</v>
      </c>
      <c r="X41" s="10">
        <f>AVERAGE(S45,S48,S50:S52)</f>
        <v>1.4759999999999999E-3</v>
      </c>
      <c r="Y41" s="10">
        <f>STDEV(S45,S48,S50:S52)</f>
        <v>1.3025031976928118E-3</v>
      </c>
      <c r="AE41" s="10">
        <f t="shared" si="18"/>
        <v>51.000000000000014</v>
      </c>
      <c r="AF41">
        <v>2.3295000000000008</v>
      </c>
    </row>
    <row r="42" spans="1:32">
      <c r="A42" s="10">
        <v>2021</v>
      </c>
      <c r="B42" s="10">
        <v>292</v>
      </c>
      <c r="C42" s="10" t="s">
        <v>457</v>
      </c>
      <c r="D42" s="10">
        <v>3</v>
      </c>
      <c r="E42" s="10">
        <v>12</v>
      </c>
      <c r="F42" s="10">
        <v>10.5</v>
      </c>
      <c r="G42" s="10">
        <f t="shared" si="21"/>
        <v>5.2</v>
      </c>
      <c r="H42" s="10">
        <v>6.5</v>
      </c>
      <c r="I42" s="10">
        <f t="shared" si="22"/>
        <v>1.2000000000000002</v>
      </c>
      <c r="J42" s="10">
        <f t="shared" si="23"/>
        <v>4</v>
      </c>
      <c r="K42" s="10">
        <f t="shared" si="24"/>
        <v>76.92307692307692</v>
      </c>
      <c r="L42" s="10">
        <f t="shared" si="25"/>
        <v>12</v>
      </c>
      <c r="M42" s="10">
        <f t="shared" si="26"/>
        <v>13.86</v>
      </c>
      <c r="N42" s="10">
        <f t="shared" si="19"/>
        <v>1.2E-2</v>
      </c>
      <c r="O42" s="10">
        <f t="shared" si="20"/>
        <v>1.38E-2</v>
      </c>
      <c r="P42" s="79">
        <v>36.409999999999997</v>
      </c>
      <c r="Q42" s="10">
        <f t="shared" si="27"/>
        <v>4.3692000000000002E-3</v>
      </c>
      <c r="R42" s="79">
        <v>3.39</v>
      </c>
      <c r="S42" s="10">
        <f t="shared" si="28"/>
        <v>4.0680000000000002E-4</v>
      </c>
      <c r="U42" s="10" t="s">
        <v>823</v>
      </c>
      <c r="V42" s="10">
        <f>AVERAGE(Q54:Q55)</f>
        <v>8.8940499999999988E-3</v>
      </c>
      <c r="W42" s="10">
        <f>STDEV(Q54:Q55)</f>
        <v>1.0338537537050389E-2</v>
      </c>
      <c r="X42" s="10">
        <f>AVERAGE(S54:S55)</f>
        <v>6.0580000000000009E-4</v>
      </c>
      <c r="Y42" s="10">
        <f>STDEV(S54:S55)</f>
        <v>7.7244344776818455E-4</v>
      </c>
      <c r="AE42" s="10">
        <f t="shared" si="18"/>
        <v>88</v>
      </c>
      <c r="AF42">
        <v>4.1239999999999988</v>
      </c>
    </row>
    <row r="43" spans="1:32">
      <c r="A43" s="10">
        <v>2021</v>
      </c>
      <c r="B43" s="10">
        <v>292</v>
      </c>
      <c r="C43" s="10" t="s">
        <v>458</v>
      </c>
      <c r="D43" s="10">
        <v>3</v>
      </c>
      <c r="E43" s="10">
        <v>13</v>
      </c>
      <c r="F43" s="10">
        <v>8.1999999999999993</v>
      </c>
      <c r="G43" s="10">
        <f t="shared" si="21"/>
        <v>2.8999999999999995</v>
      </c>
      <c r="H43" s="10">
        <v>5.9</v>
      </c>
      <c r="I43" s="10">
        <f t="shared" si="22"/>
        <v>0.60000000000000053</v>
      </c>
      <c r="J43" s="10">
        <f t="shared" si="23"/>
        <v>2.2999999999999989</v>
      </c>
      <c r="K43" s="10">
        <f t="shared" si="24"/>
        <v>79.310344827586192</v>
      </c>
      <c r="L43" s="10">
        <f t="shared" si="25"/>
        <v>6.0000000000000044</v>
      </c>
      <c r="M43" s="10">
        <f t="shared" si="26"/>
        <v>6.930000000000005</v>
      </c>
      <c r="N43" s="10">
        <f t="shared" si="19"/>
        <v>6.0000000000000045E-3</v>
      </c>
      <c r="O43" s="10">
        <f t="shared" si="20"/>
        <v>6.9000000000000042E-3</v>
      </c>
      <c r="P43" s="79">
        <v>36.82</v>
      </c>
      <c r="Q43" s="10">
        <f t="shared" si="27"/>
        <v>2.2092000000000019E-3</v>
      </c>
      <c r="R43" s="79">
        <v>2.86</v>
      </c>
      <c r="S43" s="10">
        <f t="shared" si="28"/>
        <v>1.7160000000000013E-4</v>
      </c>
      <c r="AE43" s="10">
        <f t="shared" si="18"/>
        <v>100</v>
      </c>
      <c r="AF43">
        <v>4.8274999999999997</v>
      </c>
    </row>
    <row r="44" spans="1:32">
      <c r="A44" s="10">
        <v>2021</v>
      </c>
      <c r="B44" s="10">
        <v>292</v>
      </c>
      <c r="C44" s="148"/>
      <c r="D44" s="148">
        <v>4</v>
      </c>
      <c r="E44" s="148">
        <v>1</v>
      </c>
      <c r="F44" s="148"/>
      <c r="G44" s="148"/>
      <c r="H44" s="148"/>
      <c r="I44" s="148"/>
      <c r="J44" s="148"/>
      <c r="K44" s="148"/>
      <c r="L44" s="148"/>
      <c r="M44" s="148"/>
      <c r="N44" s="148" t="s">
        <v>694</v>
      </c>
      <c r="O44" s="148" t="s">
        <v>694</v>
      </c>
      <c r="P44" s="148"/>
      <c r="Q44" s="148"/>
      <c r="R44" s="148"/>
      <c r="S44" s="148"/>
      <c r="T44" s="315">
        <f>AVERAGE(P45,P48,P50,P51,P52)</f>
        <v>33.75</v>
      </c>
      <c r="AE44" s="10">
        <f t="shared" si="18"/>
        <v>99.999999999999986</v>
      </c>
      <c r="AF44">
        <v>4.8561999999999985</v>
      </c>
    </row>
    <row r="45" spans="1:32">
      <c r="A45" s="10">
        <v>2021</v>
      </c>
      <c r="B45" s="10">
        <v>292</v>
      </c>
      <c r="C45" s="10" t="s">
        <v>472</v>
      </c>
      <c r="D45" s="10">
        <v>4</v>
      </c>
      <c r="E45" s="10">
        <v>2</v>
      </c>
      <c r="F45" s="10">
        <v>6.8</v>
      </c>
      <c r="G45" s="10">
        <f t="shared" si="21"/>
        <v>1.5</v>
      </c>
      <c r="H45" s="10">
        <v>5.9</v>
      </c>
      <c r="I45" s="10">
        <f t="shared" si="22"/>
        <v>0.60000000000000053</v>
      </c>
      <c r="J45" s="10">
        <f t="shared" si="23"/>
        <v>0.89999999999999947</v>
      </c>
      <c r="K45" s="10">
        <f t="shared" si="24"/>
        <v>59.999999999999964</v>
      </c>
      <c r="L45" s="10">
        <f t="shared" si="25"/>
        <v>6.0000000000000044</v>
      </c>
      <c r="M45" s="10">
        <f t="shared" si="26"/>
        <v>6.930000000000005</v>
      </c>
      <c r="N45" s="10">
        <f t="shared" si="19"/>
        <v>6.0000000000000045E-3</v>
      </c>
      <c r="O45" s="10">
        <f t="shared" si="20"/>
        <v>6.9000000000000042E-3</v>
      </c>
      <c r="P45" s="79">
        <v>37.99</v>
      </c>
      <c r="Q45" s="10">
        <f>N45*(P45/100)</f>
        <v>2.2794000000000017E-3</v>
      </c>
      <c r="R45" s="79">
        <v>2.27</v>
      </c>
      <c r="S45" s="10">
        <f>N45*(R45/100)</f>
        <v>1.3620000000000011E-4</v>
      </c>
      <c r="AE45" s="10">
        <f t="shared" si="18"/>
        <v>81.000000000000014</v>
      </c>
      <c r="AF45">
        <v>4.0607000000000015</v>
      </c>
    </row>
    <row r="46" spans="1:32">
      <c r="A46" s="10">
        <v>2021</v>
      </c>
      <c r="B46" s="10">
        <v>292</v>
      </c>
      <c r="C46" s="148"/>
      <c r="D46" s="148">
        <v>4</v>
      </c>
      <c r="E46" s="148">
        <v>3</v>
      </c>
      <c r="F46" s="148"/>
      <c r="G46" s="148"/>
      <c r="H46" s="148"/>
      <c r="I46" s="148"/>
      <c r="J46" s="148"/>
      <c r="K46" s="148"/>
      <c r="L46" s="148"/>
      <c r="M46" s="148"/>
      <c r="N46" s="148" t="s">
        <v>694</v>
      </c>
      <c r="O46" s="148" t="s">
        <v>694</v>
      </c>
      <c r="P46" s="148"/>
      <c r="Q46" s="148"/>
      <c r="R46" s="148"/>
      <c r="S46" s="148"/>
      <c r="T46" s="315">
        <f>AVERAGE(R45,R48,R50,R51,R52)</f>
        <v>2.54</v>
      </c>
      <c r="AE46" s="10">
        <f t="shared" si="18"/>
        <v>729.99999999999989</v>
      </c>
      <c r="AF46">
        <v>34.090999999999994</v>
      </c>
    </row>
    <row r="47" spans="1:32">
      <c r="A47" s="10">
        <v>2021</v>
      </c>
      <c r="B47" s="10">
        <v>292</v>
      </c>
      <c r="C47" s="148"/>
      <c r="D47" s="148">
        <v>4</v>
      </c>
      <c r="E47" s="148">
        <v>4</v>
      </c>
      <c r="F47" s="148"/>
      <c r="G47" s="148"/>
      <c r="H47" s="148"/>
      <c r="I47" s="148"/>
      <c r="J47" s="148"/>
      <c r="K47" s="148"/>
      <c r="L47" s="148"/>
      <c r="M47" s="148"/>
      <c r="N47" s="148" t="s">
        <v>694</v>
      </c>
      <c r="O47" s="148" t="s">
        <v>694</v>
      </c>
      <c r="P47" s="148"/>
      <c r="Q47" s="148"/>
      <c r="R47" s="148"/>
      <c r="S47" s="148"/>
      <c r="AE47" s="10">
        <f t="shared" si="18"/>
        <v>189.00000000000003</v>
      </c>
      <c r="AF47">
        <v>9.4910000000000032</v>
      </c>
    </row>
    <row r="48" spans="1:32">
      <c r="A48" s="10">
        <v>2021</v>
      </c>
      <c r="B48" s="10">
        <v>292</v>
      </c>
      <c r="C48" s="10" t="s">
        <v>475</v>
      </c>
      <c r="D48" s="10">
        <v>4</v>
      </c>
      <c r="E48" s="10">
        <v>5</v>
      </c>
      <c r="F48" s="10">
        <v>9.3000000000000007</v>
      </c>
      <c r="G48" s="10">
        <f t="shared" si="21"/>
        <v>4.0000000000000009</v>
      </c>
      <c r="H48" s="10">
        <v>6.3</v>
      </c>
      <c r="I48" s="10">
        <f t="shared" si="22"/>
        <v>1</v>
      </c>
      <c r="J48" s="10">
        <f t="shared" si="23"/>
        <v>3.0000000000000009</v>
      </c>
      <c r="K48" s="10">
        <f t="shared" si="24"/>
        <v>75</v>
      </c>
      <c r="L48" s="10">
        <f t="shared" si="25"/>
        <v>10</v>
      </c>
      <c r="M48" s="10">
        <f t="shared" si="26"/>
        <v>11.55</v>
      </c>
      <c r="N48" s="10">
        <f t="shared" si="19"/>
        <v>0.01</v>
      </c>
      <c r="O48" s="10">
        <f t="shared" si="20"/>
        <v>1.15E-2</v>
      </c>
      <c r="P48" s="79">
        <v>22.79</v>
      </c>
      <c r="Q48" s="10">
        <f>N48*(P48/100)</f>
        <v>2.2789999999999998E-3</v>
      </c>
      <c r="R48" s="79">
        <v>1.83</v>
      </c>
      <c r="S48" s="10">
        <f>N48*(R48/100)</f>
        <v>1.83E-4</v>
      </c>
      <c r="AE48" s="10">
        <f t="shared" si="18"/>
        <v>740.00000000000011</v>
      </c>
      <c r="AF48">
        <v>35.562000000000005</v>
      </c>
    </row>
    <row r="49" spans="1:32">
      <c r="A49" s="10">
        <v>2021</v>
      </c>
      <c r="B49" s="10">
        <v>292</v>
      </c>
      <c r="C49" s="148"/>
      <c r="D49" s="148">
        <v>4</v>
      </c>
      <c r="E49" s="148">
        <v>6</v>
      </c>
      <c r="F49" s="148"/>
      <c r="G49" s="148"/>
      <c r="H49" s="148"/>
      <c r="I49" s="148"/>
      <c r="J49" s="148"/>
      <c r="K49" s="148"/>
      <c r="L49" s="148"/>
      <c r="M49" s="148"/>
      <c r="N49" s="148" t="s">
        <v>694</v>
      </c>
      <c r="O49" s="148" t="s">
        <v>694</v>
      </c>
      <c r="P49" s="148"/>
      <c r="Q49" s="148"/>
      <c r="R49" s="148"/>
      <c r="S49" s="148"/>
      <c r="AE49" s="10">
        <f t="shared" si="18"/>
        <v>349.00000000000011</v>
      </c>
      <c r="AF49">
        <v>14.987700000000004</v>
      </c>
    </row>
    <row r="50" spans="1:32">
      <c r="A50" s="10">
        <v>2021</v>
      </c>
      <c r="B50" s="10">
        <v>292</v>
      </c>
      <c r="C50" s="10" t="s">
        <v>477</v>
      </c>
      <c r="D50" s="10">
        <v>4</v>
      </c>
      <c r="E50" s="10">
        <v>7</v>
      </c>
      <c r="F50" s="10">
        <v>45</v>
      </c>
      <c r="G50" s="10">
        <f t="shared" si="21"/>
        <v>39.700000000000003</v>
      </c>
      <c r="H50" s="10">
        <v>15.1</v>
      </c>
      <c r="I50" s="10">
        <f t="shared" si="22"/>
        <v>9.8000000000000007</v>
      </c>
      <c r="J50" s="10">
        <f t="shared" si="23"/>
        <v>29.900000000000002</v>
      </c>
      <c r="K50" s="10">
        <f t="shared" si="24"/>
        <v>75.314861460957189</v>
      </c>
      <c r="L50" s="10">
        <f t="shared" si="25"/>
        <v>98.000000000000014</v>
      </c>
      <c r="M50" s="10">
        <f t="shared" si="26"/>
        <v>113.19000000000001</v>
      </c>
      <c r="N50" s="10">
        <f t="shared" si="19"/>
        <v>9.8000000000000018E-2</v>
      </c>
      <c r="O50" s="10">
        <f t="shared" si="20"/>
        <v>0.11270000000000001</v>
      </c>
      <c r="P50" s="79">
        <v>35.549999999999997</v>
      </c>
      <c r="Q50" s="10">
        <f t="shared" ref="Q50:Q52" si="29">N50*(P50/100)</f>
        <v>3.4839000000000002E-2</v>
      </c>
      <c r="R50" s="79">
        <v>2.82</v>
      </c>
      <c r="S50" s="10">
        <f t="shared" ref="S50:S52" si="30">N50*(R50/100)</f>
        <v>2.7636000000000006E-3</v>
      </c>
      <c r="AE50" s="10">
        <f t="shared" si="18"/>
        <v>148.00000000000003</v>
      </c>
      <c r="AF50">
        <v>6.3840000000000003</v>
      </c>
    </row>
    <row r="51" spans="1:32">
      <c r="A51" s="10">
        <v>2021</v>
      </c>
      <c r="B51" s="10">
        <v>292</v>
      </c>
      <c r="C51" s="10" t="s">
        <v>479</v>
      </c>
      <c r="D51" s="10">
        <v>4</v>
      </c>
      <c r="E51" s="10">
        <v>8</v>
      </c>
      <c r="F51" s="10">
        <v>27.8</v>
      </c>
      <c r="G51" s="10">
        <f t="shared" si="21"/>
        <v>22.5</v>
      </c>
      <c r="H51" s="10">
        <v>10.7</v>
      </c>
      <c r="I51" s="10">
        <f t="shared" si="22"/>
        <v>5.3999999999999995</v>
      </c>
      <c r="J51" s="10">
        <f t="shared" si="23"/>
        <v>17.100000000000001</v>
      </c>
      <c r="K51" s="10">
        <f t="shared" si="24"/>
        <v>76</v>
      </c>
      <c r="L51" s="10">
        <f t="shared" si="25"/>
        <v>53.999999999999993</v>
      </c>
      <c r="M51" s="10">
        <f t="shared" si="26"/>
        <v>62.36999999999999</v>
      </c>
      <c r="N51" s="10">
        <f t="shared" si="19"/>
        <v>5.3999999999999992E-2</v>
      </c>
      <c r="O51" s="10">
        <f t="shared" si="20"/>
        <v>6.2099999999999989E-2</v>
      </c>
      <c r="P51" s="79">
        <v>37.17</v>
      </c>
      <c r="Q51" s="10">
        <f t="shared" si="29"/>
        <v>2.0071799999999997E-2</v>
      </c>
      <c r="R51" s="79">
        <v>2.84</v>
      </c>
      <c r="S51" s="10">
        <f t="shared" si="30"/>
        <v>1.5335999999999998E-3</v>
      </c>
      <c r="AE51" s="10">
        <f t="shared" si="18"/>
        <v>299.00000000000006</v>
      </c>
      <c r="AF51">
        <v>13.669600000000003</v>
      </c>
    </row>
    <row r="52" spans="1:32">
      <c r="A52" s="10">
        <v>2021</v>
      </c>
      <c r="B52" s="10">
        <v>292</v>
      </c>
      <c r="C52" s="10" t="s">
        <v>480</v>
      </c>
      <c r="D52" s="10">
        <v>4</v>
      </c>
      <c r="E52" s="10">
        <v>9</v>
      </c>
      <c r="F52" s="10">
        <v>47.7</v>
      </c>
      <c r="G52" s="10">
        <f t="shared" si="21"/>
        <v>42.400000000000006</v>
      </c>
      <c r="H52" s="10">
        <v>14.7</v>
      </c>
      <c r="I52" s="10">
        <f t="shared" si="22"/>
        <v>9.3999999999999986</v>
      </c>
      <c r="J52" s="10">
        <f t="shared" si="23"/>
        <v>33.000000000000007</v>
      </c>
      <c r="K52" s="10">
        <f t="shared" si="24"/>
        <v>77.830188679245296</v>
      </c>
      <c r="L52" s="10">
        <f t="shared" si="25"/>
        <v>93.999999999999986</v>
      </c>
      <c r="M52" s="10">
        <f t="shared" si="26"/>
        <v>108.57</v>
      </c>
      <c r="N52" s="10">
        <f t="shared" si="19"/>
        <v>9.3999999999999986E-2</v>
      </c>
      <c r="O52" s="10">
        <f t="shared" si="20"/>
        <v>0.10809999999999997</v>
      </c>
      <c r="P52" s="79">
        <v>35.25</v>
      </c>
      <c r="Q52" s="10">
        <f t="shared" si="29"/>
        <v>3.3134999999999991E-2</v>
      </c>
      <c r="R52" s="79">
        <v>2.94</v>
      </c>
      <c r="S52" s="10">
        <f t="shared" si="30"/>
        <v>2.7635999999999993E-3</v>
      </c>
      <c r="AE52" s="10">
        <f t="shared" si="18"/>
        <v>135.00000000000003</v>
      </c>
      <c r="AF52">
        <v>6.615000000000002</v>
      </c>
    </row>
    <row r="53" spans="1:32">
      <c r="A53" s="10">
        <v>2021</v>
      </c>
      <c r="B53" s="10">
        <v>292</v>
      </c>
      <c r="C53" s="148"/>
      <c r="D53" s="148">
        <v>4</v>
      </c>
      <c r="E53" s="148">
        <v>11</v>
      </c>
      <c r="F53" s="148"/>
      <c r="G53" s="148"/>
      <c r="H53" s="148"/>
      <c r="I53" s="148"/>
      <c r="J53" s="148"/>
      <c r="K53" s="148"/>
      <c r="L53" s="148"/>
      <c r="M53" s="148"/>
      <c r="N53" s="148" t="s">
        <v>694</v>
      </c>
      <c r="O53" s="148" t="s">
        <v>694</v>
      </c>
      <c r="P53" s="148"/>
      <c r="Q53" s="148"/>
      <c r="R53" s="148"/>
      <c r="S53" s="148"/>
      <c r="AE53" s="10">
        <f t="shared" si="18"/>
        <v>258</v>
      </c>
      <c r="AF53">
        <v>9.8018000000000018</v>
      </c>
    </row>
    <row r="54" spans="1:32">
      <c r="A54" s="10">
        <v>2021</v>
      </c>
      <c r="B54" s="10">
        <v>292</v>
      </c>
      <c r="C54" s="10" t="s">
        <v>481</v>
      </c>
      <c r="D54" s="10">
        <v>4</v>
      </c>
      <c r="E54" s="10">
        <v>12</v>
      </c>
      <c r="F54" s="10">
        <v>6.1</v>
      </c>
      <c r="G54" s="10">
        <f t="shared" si="21"/>
        <v>0.79999999999999982</v>
      </c>
      <c r="H54" s="10">
        <v>5.7</v>
      </c>
      <c r="I54" s="10">
        <f t="shared" si="22"/>
        <v>0.40000000000000036</v>
      </c>
      <c r="J54" s="10">
        <f t="shared" si="23"/>
        <v>0.39999999999999947</v>
      </c>
      <c r="K54" s="10">
        <f t="shared" si="24"/>
        <v>49.999999999999943</v>
      </c>
      <c r="L54" s="10">
        <f t="shared" si="25"/>
        <v>4.0000000000000036</v>
      </c>
      <c r="M54" s="10">
        <f t="shared" si="26"/>
        <v>4.6200000000000045</v>
      </c>
      <c r="N54" s="10">
        <f t="shared" si="19"/>
        <v>4.0000000000000036E-3</v>
      </c>
      <c r="O54" s="10">
        <f t="shared" si="20"/>
        <v>4.6000000000000034E-3</v>
      </c>
      <c r="P54" s="79">
        <v>39.590000000000003</v>
      </c>
      <c r="Q54" s="10">
        <f t="shared" ref="Q54:Q55" si="31">N54*(P54/100)</f>
        <v>1.5836000000000016E-3</v>
      </c>
      <c r="R54" s="79">
        <v>1.49</v>
      </c>
      <c r="S54" s="10">
        <f t="shared" ref="S54:S55" si="32">N54*(R54/100)</f>
        <v>5.9600000000000053E-5</v>
      </c>
      <c r="AE54" s="10">
        <f t="shared" si="18"/>
        <v>270.99999999999994</v>
      </c>
      <c r="AF54">
        <v>10.554599999999999</v>
      </c>
    </row>
    <row r="55" spans="1:32">
      <c r="A55" s="10">
        <v>2021</v>
      </c>
      <c r="B55" s="10">
        <v>292</v>
      </c>
      <c r="C55" s="10" t="s">
        <v>483</v>
      </c>
      <c r="D55" s="10">
        <v>4</v>
      </c>
      <c r="E55" s="10">
        <v>13</v>
      </c>
      <c r="F55" s="10">
        <v>27.2</v>
      </c>
      <c r="G55" s="10">
        <f t="shared" si="21"/>
        <v>21.9</v>
      </c>
      <c r="H55" s="10">
        <v>9.8000000000000007</v>
      </c>
      <c r="I55" s="10">
        <f t="shared" si="22"/>
        <v>4.5000000000000009</v>
      </c>
      <c r="J55" s="10">
        <f t="shared" si="23"/>
        <v>17.399999999999999</v>
      </c>
      <c r="K55" s="10">
        <f t="shared" si="24"/>
        <v>79.452054794520549</v>
      </c>
      <c r="L55" s="10">
        <f t="shared" si="25"/>
        <v>45</v>
      </c>
      <c r="M55" s="10">
        <f t="shared" si="26"/>
        <v>51.975000000000001</v>
      </c>
      <c r="N55" s="10">
        <f t="shared" si="19"/>
        <v>4.4999999999999998E-2</v>
      </c>
      <c r="O55" s="10">
        <f t="shared" si="20"/>
        <v>5.1749999999999997E-2</v>
      </c>
      <c r="P55" s="79">
        <v>36.01</v>
      </c>
      <c r="Q55" s="10">
        <f t="shared" si="31"/>
        <v>1.6204499999999997E-2</v>
      </c>
      <c r="R55" s="79">
        <v>2.56</v>
      </c>
      <c r="S55" s="10">
        <f t="shared" si="32"/>
        <v>1.152E-3</v>
      </c>
      <c r="AD55" t="s">
        <v>581</v>
      </c>
      <c r="AE55" s="76">
        <f>AVERAGE(AE31:AE54)</f>
        <v>262.25</v>
      </c>
      <c r="AF55">
        <f>AVERAGE(AF31:AF54)</f>
        <v>11.620295833333335</v>
      </c>
    </row>
    <row r="56" spans="1:32">
      <c r="A56" s="14"/>
      <c r="B56" s="14"/>
      <c r="C56" s="14"/>
      <c r="D56" s="14"/>
      <c r="E56" s="14"/>
      <c r="F56" s="14"/>
      <c r="G56" s="14"/>
      <c r="H56" s="14"/>
      <c r="I56" s="14"/>
      <c r="J56" s="14"/>
      <c r="K56" s="14"/>
      <c r="L56" s="14"/>
      <c r="M56" s="14"/>
      <c r="N56" s="14"/>
      <c r="O56" s="14"/>
      <c r="P56" s="14"/>
      <c r="Q56" s="14"/>
      <c r="R56" s="14"/>
      <c r="S56" s="14"/>
      <c r="AD56" t="s">
        <v>586</v>
      </c>
      <c r="AE56" s="76">
        <f>STDEV(AE31:AE54)</f>
        <v>206.48849846904307</v>
      </c>
      <c r="AF56">
        <f>STDEV(AF31:AF54)</f>
        <v>9.3679881628168964</v>
      </c>
    </row>
    <row r="57" spans="1:32" ht="23">
      <c r="A57" s="100" t="s">
        <v>1154</v>
      </c>
      <c r="B57" s="14"/>
      <c r="C57" s="14"/>
      <c r="D57" s="14"/>
      <c r="E57" s="14" t="s">
        <v>1146</v>
      </c>
      <c r="F57" s="14"/>
      <c r="G57" s="14">
        <v>5.3</v>
      </c>
      <c r="H57" s="14"/>
      <c r="I57" s="14"/>
      <c r="J57" s="14"/>
      <c r="K57" s="14"/>
      <c r="L57" s="14"/>
      <c r="M57" s="14"/>
      <c r="N57" s="14"/>
      <c r="O57" s="14"/>
      <c r="P57" s="14"/>
      <c r="Q57" s="14"/>
      <c r="R57" s="14"/>
      <c r="S57" s="14"/>
    </row>
    <row r="58" spans="1:32">
      <c r="A58" s="76" t="s">
        <v>50</v>
      </c>
      <c r="B58" s="76" t="s">
        <v>897</v>
      </c>
      <c r="C58" s="76" t="s">
        <v>559</v>
      </c>
      <c r="D58" s="76" t="s">
        <v>52</v>
      </c>
      <c r="E58" s="76" t="s">
        <v>785</v>
      </c>
      <c r="F58" s="76" t="s">
        <v>1155</v>
      </c>
      <c r="G58" s="76" t="s">
        <v>1156</v>
      </c>
      <c r="H58" s="76" t="s">
        <v>1157</v>
      </c>
      <c r="I58" s="76" t="s">
        <v>1158</v>
      </c>
      <c r="J58" s="76" t="s">
        <v>904</v>
      </c>
      <c r="K58" s="76" t="s">
        <v>624</v>
      </c>
      <c r="L58" s="76" t="s">
        <v>663</v>
      </c>
      <c r="M58" s="76" t="s">
        <v>1123</v>
      </c>
      <c r="N58" s="76" t="s">
        <v>799</v>
      </c>
      <c r="O58" s="76" t="s">
        <v>911</v>
      </c>
      <c r="P58" s="76" t="s">
        <v>522</v>
      </c>
      <c r="Q58" s="76" t="s">
        <v>1124</v>
      </c>
      <c r="R58" s="76" t="s">
        <v>524</v>
      </c>
      <c r="S58" s="76" t="s">
        <v>1125</v>
      </c>
      <c r="U58" s="76" t="s">
        <v>52</v>
      </c>
      <c r="V58" s="76" t="s">
        <v>1126</v>
      </c>
      <c r="W58" s="76" t="s">
        <v>1127</v>
      </c>
      <c r="X58" s="76" t="s">
        <v>586</v>
      </c>
    </row>
    <row r="59" spans="1:32">
      <c r="A59" s="10">
        <v>2021</v>
      </c>
      <c r="B59" s="10">
        <v>292</v>
      </c>
      <c r="C59" s="10" t="s">
        <v>446</v>
      </c>
      <c r="D59" s="10">
        <v>3</v>
      </c>
      <c r="E59" s="10">
        <v>1</v>
      </c>
      <c r="F59" s="10">
        <v>93.9</v>
      </c>
      <c r="G59" s="10">
        <f>F59-5.3</f>
        <v>88.600000000000009</v>
      </c>
      <c r="H59" s="10">
        <v>33</v>
      </c>
      <c r="I59" s="10">
        <f>H59-5.3</f>
        <v>27.7</v>
      </c>
      <c r="J59" s="10">
        <f>G59-I59</f>
        <v>60.900000000000006</v>
      </c>
      <c r="K59" s="10">
        <f>(J59/G59)*100</f>
        <v>68.735891647855524</v>
      </c>
      <c r="L59" s="10">
        <f>(I59/1000)/0.0001</f>
        <v>277</v>
      </c>
      <c r="M59" s="10">
        <f>L59*1.155</f>
        <v>319.935</v>
      </c>
      <c r="N59" s="10">
        <f t="shared" ref="N59:N82" si="33">L59*(1/1000)</f>
        <v>0.27700000000000002</v>
      </c>
      <c r="O59" s="10">
        <f>N59*1.15</f>
        <v>0.31855</v>
      </c>
      <c r="P59" s="79">
        <v>25.89</v>
      </c>
      <c r="Q59" s="10">
        <f>N59*(P59/100)</f>
        <v>7.171530000000001E-2</v>
      </c>
      <c r="R59" s="79">
        <v>1.74</v>
      </c>
      <c r="S59" s="10">
        <f>N59*(R59/100)</f>
        <v>4.8198E-3</v>
      </c>
      <c r="U59" s="153">
        <v>3</v>
      </c>
      <c r="V59" s="7">
        <f>AVERAGE(N59:N67)</f>
        <v>9.0500000000000011E-2</v>
      </c>
      <c r="W59" s="7">
        <f>AVERAGE(O59:O67)</f>
        <v>0.104075</v>
      </c>
      <c r="X59" s="7">
        <f>STDEV(O59:O67)</f>
        <v>0.14498059927682277</v>
      </c>
    </row>
    <row r="60" spans="1:32">
      <c r="A60" s="10">
        <v>2021</v>
      </c>
      <c r="B60" s="10">
        <v>292</v>
      </c>
      <c r="C60" s="10" t="s">
        <v>450</v>
      </c>
      <c r="D60" s="10">
        <v>3</v>
      </c>
      <c r="E60" s="10">
        <v>2</v>
      </c>
      <c r="F60" s="10">
        <v>11.3</v>
      </c>
      <c r="G60" s="10">
        <f t="shared" ref="G60:G82" si="34">F60-5.3</f>
        <v>6.0000000000000009</v>
      </c>
      <c r="H60" s="10">
        <v>7.3</v>
      </c>
      <c r="I60" s="10">
        <f t="shared" ref="I60:I82" si="35">H60-5.3</f>
        <v>2</v>
      </c>
      <c r="J60" s="10">
        <f t="shared" ref="J60:J82" si="36">G60-I60</f>
        <v>4.0000000000000009</v>
      </c>
      <c r="K60" s="10">
        <f t="shared" ref="K60:K82" si="37">(J60/G60)*100</f>
        <v>66.666666666666671</v>
      </c>
      <c r="L60" s="10">
        <f t="shared" ref="L60:L82" si="38">(I60/1000)/0.0001</f>
        <v>20</v>
      </c>
      <c r="M60" s="10">
        <f t="shared" ref="M60:M82" si="39">L60*1.155</f>
        <v>23.1</v>
      </c>
      <c r="N60" s="10">
        <f t="shared" si="33"/>
        <v>0.02</v>
      </c>
      <c r="O60" s="10">
        <f t="shared" ref="O60:O82" si="40">N60*1.15</f>
        <v>2.3E-2</v>
      </c>
      <c r="P60" s="79">
        <v>28.73</v>
      </c>
      <c r="Q60" s="10">
        <f t="shared" ref="Q60:Q61" si="41">N60*(P60/100)</f>
        <v>5.7460000000000002E-3</v>
      </c>
      <c r="R60" s="79">
        <v>1.85</v>
      </c>
      <c r="S60" s="10">
        <f t="shared" ref="S60:S61" si="42">N60*(R60/100)</f>
        <v>3.7000000000000005E-4</v>
      </c>
      <c r="U60" s="153" t="s">
        <v>819</v>
      </c>
      <c r="V60" s="10" t="s">
        <v>694</v>
      </c>
      <c r="W60" s="10" t="s">
        <v>694</v>
      </c>
      <c r="X60" s="10" t="s">
        <v>694</v>
      </c>
      <c r="AC60" t="s">
        <v>1159</v>
      </c>
      <c r="AD60" t="s">
        <v>669</v>
      </c>
      <c r="AE60" t="s">
        <v>1160</v>
      </c>
    </row>
    <row r="61" spans="1:32">
      <c r="A61" s="10">
        <v>2021</v>
      </c>
      <c r="B61" s="10">
        <v>292</v>
      </c>
      <c r="C61" s="10" t="s">
        <v>452</v>
      </c>
      <c r="D61" s="10">
        <v>3</v>
      </c>
      <c r="E61" s="10">
        <v>3</v>
      </c>
      <c r="F61" s="10">
        <v>7.1</v>
      </c>
      <c r="G61" s="10">
        <f t="shared" si="34"/>
        <v>1.7999999999999998</v>
      </c>
      <c r="H61" s="10">
        <v>6.1</v>
      </c>
      <c r="I61" s="10">
        <f t="shared" si="35"/>
        <v>0.79999999999999982</v>
      </c>
      <c r="J61" s="10">
        <f t="shared" si="36"/>
        <v>1</v>
      </c>
      <c r="K61" s="10">
        <f t="shared" si="37"/>
        <v>55.555555555555557</v>
      </c>
      <c r="L61" s="10">
        <f t="shared" si="38"/>
        <v>7.9999999999999982</v>
      </c>
      <c r="M61" s="10">
        <f t="shared" si="39"/>
        <v>9.2399999999999984</v>
      </c>
      <c r="N61" s="10">
        <f t="shared" si="33"/>
        <v>7.9999999999999984E-3</v>
      </c>
      <c r="O61" s="10">
        <f t="shared" si="40"/>
        <v>9.1999999999999981E-3</v>
      </c>
      <c r="P61" s="79">
        <v>31.88</v>
      </c>
      <c r="Q61" s="10">
        <f t="shared" si="41"/>
        <v>2.5503999999999991E-3</v>
      </c>
      <c r="R61" s="79">
        <v>2.06</v>
      </c>
      <c r="S61" s="10">
        <f t="shared" si="42"/>
        <v>1.6479999999999997E-4</v>
      </c>
      <c r="U61" s="153">
        <v>4</v>
      </c>
      <c r="V61" s="7">
        <f>AVERAGE(N71:N79)</f>
        <v>1.9800000000000005E-2</v>
      </c>
      <c r="W61" s="7">
        <f>AVERAGE(O71:O79)</f>
        <v>2.2770000000000006E-2</v>
      </c>
      <c r="X61" s="7">
        <f>STDEV(O71:O79)</f>
        <v>2.8079788104613611E-2</v>
      </c>
      <c r="AC61">
        <f>Q5*1000</f>
        <v>69.266400000000004</v>
      </c>
      <c r="AD61">
        <f>S5*1000</f>
        <v>9.5256000000000007</v>
      </c>
      <c r="AE61">
        <f>AC61/AD61</f>
        <v>7.2716049382716053</v>
      </c>
    </row>
    <row r="62" spans="1:32">
      <c r="A62" s="10">
        <v>2021</v>
      </c>
      <c r="B62" s="10">
        <v>292</v>
      </c>
      <c r="C62" s="148"/>
      <c r="D62" s="148">
        <v>3</v>
      </c>
      <c r="E62" s="148">
        <v>4</v>
      </c>
      <c r="F62" s="148"/>
      <c r="G62" s="148"/>
      <c r="H62" s="148"/>
      <c r="I62" s="148"/>
      <c r="J62" s="148"/>
      <c r="K62" s="148"/>
      <c r="L62" s="148"/>
      <c r="M62" s="148"/>
      <c r="N62" s="148" t="s">
        <v>694</v>
      </c>
      <c r="O62" s="148" t="s">
        <v>694</v>
      </c>
      <c r="P62" s="148"/>
      <c r="Q62" s="148"/>
      <c r="R62" s="148"/>
      <c r="S62" s="148"/>
      <c r="U62" s="153" t="s">
        <v>823</v>
      </c>
      <c r="V62" s="7">
        <f>AVERAGE(N80:N82)</f>
        <v>2.4E-2</v>
      </c>
      <c r="W62" s="7">
        <f>AVERAGE(O80:O82)</f>
        <v>2.76E-2</v>
      </c>
      <c r="X62" s="7">
        <f>STDEV(O80:O82)</f>
        <v>2.2768838354206827E-2</v>
      </c>
      <c r="AC62">
        <f t="shared" ref="AC62:AC84" si="43">Q6*1000</f>
        <v>217.37649999999999</v>
      </c>
      <c r="AD62">
        <f t="shared" ref="AD62:AD84" si="44">S6*1000</f>
        <v>28.555999999999997</v>
      </c>
      <c r="AE62">
        <f t="shared" ref="AE62:AE109" si="45">AC62/AD62</f>
        <v>7.6122881355932206</v>
      </c>
    </row>
    <row r="63" spans="1:32">
      <c r="A63" s="10">
        <v>2021</v>
      </c>
      <c r="B63" s="10">
        <v>292</v>
      </c>
      <c r="C63" s="148"/>
      <c r="D63" s="148">
        <v>3</v>
      </c>
      <c r="E63" s="148">
        <v>5</v>
      </c>
      <c r="F63" s="148"/>
      <c r="G63" s="148"/>
      <c r="H63" s="148"/>
      <c r="I63" s="148"/>
      <c r="J63" s="148"/>
      <c r="K63" s="148"/>
      <c r="L63" s="148"/>
      <c r="M63" s="148"/>
      <c r="N63" s="148" t="s">
        <v>694</v>
      </c>
      <c r="O63" s="148" t="s">
        <v>694</v>
      </c>
      <c r="P63" s="148"/>
      <c r="Q63" s="148"/>
      <c r="R63" s="148"/>
      <c r="S63" s="148"/>
      <c r="AC63">
        <f t="shared" si="43"/>
        <v>91.717199999999991</v>
      </c>
      <c r="AD63">
        <f t="shared" si="44"/>
        <v>12.118</v>
      </c>
      <c r="AE63">
        <f t="shared" si="45"/>
        <v>7.5686746987951796</v>
      </c>
    </row>
    <row r="64" spans="1:32">
      <c r="A64" s="10">
        <v>2021</v>
      </c>
      <c r="B64" s="10">
        <v>292</v>
      </c>
      <c r="C64" s="148"/>
      <c r="D64" s="148">
        <v>3</v>
      </c>
      <c r="E64" s="148">
        <v>6</v>
      </c>
      <c r="F64" s="148"/>
      <c r="G64" s="148"/>
      <c r="H64" s="148"/>
      <c r="I64" s="148"/>
      <c r="J64" s="148"/>
      <c r="K64" s="148"/>
      <c r="L64" s="148"/>
      <c r="M64" s="148"/>
      <c r="N64" s="148" t="s">
        <v>694</v>
      </c>
      <c r="O64" s="148" t="s">
        <v>694</v>
      </c>
      <c r="P64" s="148"/>
      <c r="Q64" s="148"/>
      <c r="R64" s="148"/>
      <c r="S64" s="148"/>
      <c r="AC64">
        <f t="shared" si="43"/>
        <v>34.907600000000002</v>
      </c>
      <c r="AD64">
        <f t="shared" si="44"/>
        <v>4.6648000000000005</v>
      </c>
      <c r="AE64">
        <f t="shared" si="45"/>
        <v>7.4831932773109244</v>
      </c>
    </row>
    <row r="65" spans="1:31">
      <c r="A65" s="10">
        <v>2021</v>
      </c>
      <c r="B65" s="10">
        <v>292</v>
      </c>
      <c r="C65" s="148"/>
      <c r="D65" s="148">
        <v>3</v>
      </c>
      <c r="E65" s="148">
        <v>7</v>
      </c>
      <c r="F65" s="148"/>
      <c r="G65" s="148"/>
      <c r="H65" s="148"/>
      <c r="I65" s="148"/>
      <c r="J65" s="148"/>
      <c r="K65" s="148"/>
      <c r="L65" s="148"/>
      <c r="M65" s="148"/>
      <c r="N65" s="148" t="s">
        <v>694</v>
      </c>
      <c r="O65" s="148" t="s">
        <v>694</v>
      </c>
      <c r="P65" s="148"/>
      <c r="Q65" s="148"/>
      <c r="R65" s="148"/>
      <c r="S65" s="148"/>
      <c r="AC65">
        <f t="shared" si="43"/>
        <v>130.32169999999999</v>
      </c>
      <c r="AD65">
        <f t="shared" si="44"/>
        <v>17.872900000000001</v>
      </c>
      <c r="AE65">
        <f t="shared" si="45"/>
        <v>7.2915811088295674</v>
      </c>
    </row>
    <row r="66" spans="1:31">
      <c r="A66" s="10">
        <v>2021</v>
      </c>
      <c r="B66" s="10">
        <v>292</v>
      </c>
      <c r="C66" s="148"/>
      <c r="D66" s="148">
        <v>3</v>
      </c>
      <c r="E66" s="148">
        <v>8</v>
      </c>
      <c r="F66" s="148"/>
      <c r="G66" s="148"/>
      <c r="H66" s="148"/>
      <c r="I66" s="148"/>
      <c r="J66" s="148"/>
      <c r="K66" s="148"/>
      <c r="L66" s="148"/>
      <c r="M66" s="148"/>
      <c r="N66" s="148" t="s">
        <v>694</v>
      </c>
      <c r="O66" s="148" t="s">
        <v>694</v>
      </c>
      <c r="P66" s="148"/>
      <c r="Q66" s="148"/>
      <c r="R66" s="148"/>
      <c r="S66" s="148"/>
      <c r="U66" s="76" t="s">
        <v>52</v>
      </c>
      <c r="V66" s="76" t="s">
        <v>1124</v>
      </c>
      <c r="W66" s="76" t="s">
        <v>586</v>
      </c>
      <c r="X66" s="76" t="s">
        <v>1125</v>
      </c>
      <c r="Y66" s="76" t="s">
        <v>586</v>
      </c>
      <c r="AC66">
        <f t="shared" si="43"/>
        <v>55.738000000000014</v>
      </c>
      <c r="AD66">
        <f t="shared" si="44"/>
        <v>7.2075000000000022</v>
      </c>
      <c r="AE66">
        <f t="shared" si="45"/>
        <v>7.7333333333333325</v>
      </c>
    </row>
    <row r="67" spans="1:31">
      <c r="A67" s="10">
        <v>2021</v>
      </c>
      <c r="B67" s="10">
        <v>292</v>
      </c>
      <c r="C67" s="10" t="s">
        <v>455</v>
      </c>
      <c r="D67" s="10">
        <v>3</v>
      </c>
      <c r="E67" s="10">
        <v>9</v>
      </c>
      <c r="F67" s="10">
        <v>41</v>
      </c>
      <c r="G67" s="10">
        <f t="shared" si="34"/>
        <v>35.700000000000003</v>
      </c>
      <c r="H67" s="10">
        <v>11</v>
      </c>
      <c r="I67" s="10">
        <f t="shared" si="35"/>
        <v>5.7</v>
      </c>
      <c r="J67" s="10">
        <f t="shared" si="36"/>
        <v>30.000000000000004</v>
      </c>
      <c r="K67" s="10">
        <f t="shared" si="37"/>
        <v>84.033613445378151</v>
      </c>
      <c r="L67" s="10">
        <f t="shared" si="38"/>
        <v>57</v>
      </c>
      <c r="M67" s="10">
        <f t="shared" si="39"/>
        <v>65.835000000000008</v>
      </c>
      <c r="N67" s="10">
        <f t="shared" si="33"/>
        <v>5.7000000000000002E-2</v>
      </c>
      <c r="O67" s="10">
        <f t="shared" si="40"/>
        <v>6.5549999999999997E-2</v>
      </c>
      <c r="P67" s="79">
        <v>35.1</v>
      </c>
      <c r="Q67" s="10">
        <f>N67*(P67/100)</f>
        <v>2.0007000000000004E-2</v>
      </c>
      <c r="R67" s="79">
        <v>2.5</v>
      </c>
      <c r="S67" s="10">
        <f>N67*(R67/100)</f>
        <v>1.4250000000000001E-3</v>
      </c>
      <c r="U67" s="10">
        <v>3</v>
      </c>
      <c r="V67" s="10">
        <f>AVERAGE(Q67,Q59:Q61)</f>
        <v>2.5004675000000001E-2</v>
      </c>
      <c r="W67" s="10">
        <f>STDEV(Q67,Q59:Q61)</f>
        <v>3.2051782435238048E-2</v>
      </c>
      <c r="X67" s="10">
        <f>AVERAGE(S67,S59:S61)</f>
        <v>1.6948999999999998E-3</v>
      </c>
      <c r="Y67" s="10">
        <f>STDEV(S67,S59:S61)</f>
        <v>2.1551807379738093E-3</v>
      </c>
      <c r="AC67">
        <f t="shared" si="43"/>
        <v>26.765200000000011</v>
      </c>
      <c r="AD67">
        <f t="shared" si="44"/>
        <v>3.6656000000000004</v>
      </c>
      <c r="AE67">
        <f t="shared" si="45"/>
        <v>7.3017241379310365</v>
      </c>
    </row>
    <row r="68" spans="1:31">
      <c r="A68" s="10">
        <v>2021</v>
      </c>
      <c r="B68" s="10">
        <v>292</v>
      </c>
      <c r="C68" s="148"/>
      <c r="D68" s="148">
        <v>3</v>
      </c>
      <c r="E68" s="148">
        <v>11</v>
      </c>
      <c r="F68" s="148"/>
      <c r="G68" s="148"/>
      <c r="H68" s="148"/>
      <c r="I68" s="148"/>
      <c r="J68" s="148"/>
      <c r="K68" s="148"/>
      <c r="L68" s="148"/>
      <c r="M68" s="148"/>
      <c r="N68" s="148" t="s">
        <v>694</v>
      </c>
      <c r="O68" s="148" t="s">
        <v>694</v>
      </c>
      <c r="P68" s="148"/>
      <c r="Q68" s="148"/>
      <c r="R68" s="148"/>
      <c r="S68" s="148"/>
      <c r="U68" s="10" t="s">
        <v>819</v>
      </c>
      <c r="V68" s="10">
        <v>0</v>
      </c>
      <c r="W68" s="10">
        <v>0</v>
      </c>
      <c r="X68" s="10">
        <v>0</v>
      </c>
      <c r="Y68" s="10">
        <v>0</v>
      </c>
      <c r="AC68">
        <f t="shared" si="43"/>
        <v>43.334399999999995</v>
      </c>
      <c r="AD68">
        <f t="shared" si="44"/>
        <v>6.1365999999999996</v>
      </c>
      <c r="AE68">
        <f t="shared" si="45"/>
        <v>7.0616302186878723</v>
      </c>
    </row>
    <row r="69" spans="1:31">
      <c r="A69" s="10">
        <v>2021</v>
      </c>
      <c r="B69" s="10">
        <v>292</v>
      </c>
      <c r="C69" s="148"/>
      <c r="D69" s="148">
        <v>3</v>
      </c>
      <c r="E69" s="148">
        <v>12</v>
      </c>
      <c r="F69" s="148"/>
      <c r="G69" s="148"/>
      <c r="H69" s="148"/>
      <c r="I69" s="148"/>
      <c r="J69" s="148"/>
      <c r="K69" s="148"/>
      <c r="L69" s="148"/>
      <c r="M69" s="148"/>
      <c r="N69" s="148" t="s">
        <v>694</v>
      </c>
      <c r="O69" s="148" t="s">
        <v>694</v>
      </c>
      <c r="P69" s="148"/>
      <c r="Q69" s="148"/>
      <c r="R69" s="148"/>
      <c r="S69" s="148"/>
      <c r="U69" s="10">
        <v>4</v>
      </c>
      <c r="V69" s="10">
        <f>AVERAGE(Q71:Q73,Q76:Q77)</f>
        <v>6.4148800000000004E-3</v>
      </c>
      <c r="W69" s="10">
        <f>STDEV(Q71:Q73,Q76:Q77)</f>
        <v>7.7534035398655748E-3</v>
      </c>
      <c r="X69" s="10">
        <f>AVERAGE(S71:S73,S76:S77)</f>
        <v>4.4414000000000015E-4</v>
      </c>
      <c r="Y69" s="10">
        <f>STDEV(S71:S73,S76:S77)</f>
        <v>5.9735845854896885E-4</v>
      </c>
      <c r="AC69">
        <f t="shared" si="43"/>
        <v>65.331000000000003</v>
      </c>
      <c r="AD69">
        <f t="shared" si="44"/>
        <v>9.1317000000000004</v>
      </c>
      <c r="AE69">
        <f t="shared" si="45"/>
        <v>7.1543086172344692</v>
      </c>
    </row>
    <row r="70" spans="1:31">
      <c r="A70" s="10">
        <v>2021</v>
      </c>
      <c r="B70" s="10">
        <v>292</v>
      </c>
      <c r="C70" s="148"/>
      <c r="D70" s="148">
        <v>3</v>
      </c>
      <c r="E70" s="148">
        <v>13</v>
      </c>
      <c r="F70" s="148"/>
      <c r="G70" s="148"/>
      <c r="H70" s="148"/>
      <c r="I70" s="148"/>
      <c r="J70" s="148"/>
      <c r="K70" s="148"/>
      <c r="L70" s="148"/>
      <c r="M70" s="148"/>
      <c r="N70" s="148" t="s">
        <v>694</v>
      </c>
      <c r="O70" s="148" t="s">
        <v>694</v>
      </c>
      <c r="P70" s="148"/>
      <c r="Q70" s="148"/>
      <c r="R70" s="148"/>
      <c r="S70" s="148"/>
      <c r="U70" s="10" t="s">
        <v>823</v>
      </c>
      <c r="V70" s="10">
        <f>AVERAGE(Q81:Q82)</f>
        <v>7.3369000000000004E-3</v>
      </c>
      <c r="W70" s="10">
        <f>STDEV(Q81:Q82)</f>
        <v>5.993295655980938E-3</v>
      </c>
      <c r="X70" s="10">
        <f>AVERAGE(S81:S82)</f>
        <v>3.7860000000000004E-4</v>
      </c>
      <c r="Y70" s="10">
        <f>STDEV(S81:S82)</f>
        <v>3.1904657967137028E-4</v>
      </c>
      <c r="AC70">
        <f t="shared" si="43"/>
        <v>74.759299999999996</v>
      </c>
      <c r="AD70">
        <f t="shared" si="44"/>
        <v>9.5513000000000012</v>
      </c>
      <c r="AE70">
        <f t="shared" si="45"/>
        <v>7.827133479212252</v>
      </c>
    </row>
    <row r="71" spans="1:31">
      <c r="A71" s="10">
        <v>2021</v>
      </c>
      <c r="B71" s="10">
        <v>292</v>
      </c>
      <c r="C71" s="10" t="s">
        <v>471</v>
      </c>
      <c r="D71" s="10">
        <v>4</v>
      </c>
      <c r="E71" s="10">
        <v>1</v>
      </c>
      <c r="F71" s="10">
        <v>7.1</v>
      </c>
      <c r="G71" s="10">
        <f t="shared" si="34"/>
        <v>1.7999999999999998</v>
      </c>
      <c r="H71" s="10">
        <v>6</v>
      </c>
      <c r="I71" s="10">
        <f t="shared" si="35"/>
        <v>0.70000000000000018</v>
      </c>
      <c r="J71" s="10">
        <f t="shared" si="36"/>
        <v>1.0999999999999996</v>
      </c>
      <c r="K71" s="10">
        <f t="shared" si="37"/>
        <v>61.111111111111093</v>
      </c>
      <c r="L71" s="10">
        <f t="shared" si="38"/>
        <v>7.0000000000000018</v>
      </c>
      <c r="M71" s="10">
        <f t="shared" si="39"/>
        <v>8.0850000000000026</v>
      </c>
      <c r="N71" s="10">
        <f t="shared" si="33"/>
        <v>7.0000000000000019E-3</v>
      </c>
      <c r="O71" s="10">
        <f t="shared" si="40"/>
        <v>8.0500000000000016E-3</v>
      </c>
      <c r="P71" s="79">
        <v>36.4</v>
      </c>
      <c r="Q71" s="10">
        <f t="shared" ref="Q71:Q73" si="46">N71*(P71/100)</f>
        <v>2.5480000000000008E-3</v>
      </c>
      <c r="R71" s="79">
        <v>2.27</v>
      </c>
      <c r="S71" s="10">
        <f t="shared" ref="S71:S73" si="47">N71*(R71/100)</f>
        <v>1.5890000000000004E-4</v>
      </c>
      <c r="AC71">
        <f t="shared" si="43"/>
        <v>14.133600000000008</v>
      </c>
      <c r="AD71">
        <f t="shared" si="44"/>
        <v>1.922700000000001</v>
      </c>
      <c r="AE71">
        <f t="shared" si="45"/>
        <v>7.3509127789046662</v>
      </c>
    </row>
    <row r="72" spans="1:31">
      <c r="A72" s="10">
        <v>2021</v>
      </c>
      <c r="B72" s="10">
        <v>292</v>
      </c>
      <c r="C72" s="10" t="s">
        <v>473</v>
      </c>
      <c r="D72" s="10">
        <v>4</v>
      </c>
      <c r="E72" s="10">
        <v>2</v>
      </c>
      <c r="F72" s="10">
        <v>6.6</v>
      </c>
      <c r="G72" s="10">
        <f t="shared" si="34"/>
        <v>1.2999999999999998</v>
      </c>
      <c r="H72" s="10">
        <v>5.7</v>
      </c>
      <c r="I72" s="10">
        <f t="shared" si="35"/>
        <v>0.40000000000000036</v>
      </c>
      <c r="J72" s="10">
        <f t="shared" si="36"/>
        <v>0.89999999999999947</v>
      </c>
      <c r="K72" s="10">
        <f t="shared" si="37"/>
        <v>69.230769230769198</v>
      </c>
      <c r="L72" s="10">
        <f t="shared" si="38"/>
        <v>4.0000000000000036</v>
      </c>
      <c r="M72" s="10">
        <f t="shared" si="39"/>
        <v>4.6200000000000045</v>
      </c>
      <c r="N72" s="10">
        <f t="shared" si="33"/>
        <v>4.0000000000000036E-3</v>
      </c>
      <c r="O72" s="10">
        <f t="shared" si="40"/>
        <v>4.6000000000000034E-3</v>
      </c>
      <c r="P72" s="79">
        <v>36.46</v>
      </c>
      <c r="Q72" s="10">
        <f t="shared" si="46"/>
        <v>1.4584000000000014E-3</v>
      </c>
      <c r="R72" s="79">
        <v>3.25</v>
      </c>
      <c r="S72" s="10">
        <f t="shared" si="47"/>
        <v>1.3000000000000012E-4</v>
      </c>
      <c r="AC72">
        <f t="shared" si="43"/>
        <v>29.216599999999996</v>
      </c>
      <c r="AD72">
        <f t="shared" si="44"/>
        <v>3.952399999999999</v>
      </c>
      <c r="AE72">
        <f t="shared" si="45"/>
        <v>7.3921161825726154</v>
      </c>
    </row>
    <row r="73" spans="1:31">
      <c r="A73" s="10">
        <v>2021</v>
      </c>
      <c r="B73" s="10">
        <v>292</v>
      </c>
      <c r="C73" s="10" t="s">
        <v>474</v>
      </c>
      <c r="D73" s="10">
        <v>4</v>
      </c>
      <c r="E73" s="10">
        <v>3</v>
      </c>
      <c r="F73" s="10">
        <v>5.8</v>
      </c>
      <c r="G73" s="10">
        <f t="shared" si="34"/>
        <v>0.5</v>
      </c>
      <c r="H73" s="10">
        <v>5.5</v>
      </c>
      <c r="I73" s="10">
        <f t="shared" si="35"/>
        <v>0.20000000000000018</v>
      </c>
      <c r="J73" s="10">
        <f t="shared" si="36"/>
        <v>0.29999999999999982</v>
      </c>
      <c r="K73" s="10">
        <f t="shared" si="37"/>
        <v>59.999999999999964</v>
      </c>
      <c r="L73" s="10">
        <f t="shared" si="38"/>
        <v>2.0000000000000018</v>
      </c>
      <c r="M73" s="10">
        <f t="shared" si="39"/>
        <v>2.3100000000000023</v>
      </c>
      <c r="N73" s="10">
        <f t="shared" si="33"/>
        <v>2.0000000000000018E-3</v>
      </c>
      <c r="O73" s="10">
        <f t="shared" si="40"/>
        <v>2.3000000000000017E-3</v>
      </c>
      <c r="P73" s="79">
        <v>39.130000000000003</v>
      </c>
      <c r="Q73" s="10">
        <f t="shared" si="46"/>
        <v>7.8260000000000081E-4</v>
      </c>
      <c r="R73" s="79">
        <v>3.56</v>
      </c>
      <c r="S73" s="10">
        <f t="shared" si="47"/>
        <v>7.1200000000000064E-5</v>
      </c>
      <c r="AC73">
        <f t="shared" si="43"/>
        <v>33.340499999999999</v>
      </c>
      <c r="AD73">
        <f t="shared" si="44"/>
        <v>4.6685999999999996</v>
      </c>
      <c r="AE73">
        <f t="shared" si="45"/>
        <v>7.1414342629482075</v>
      </c>
    </row>
    <row r="74" spans="1:31">
      <c r="A74" s="10">
        <v>2021</v>
      </c>
      <c r="B74" s="10">
        <v>292</v>
      </c>
      <c r="C74" s="148"/>
      <c r="D74" s="148">
        <v>4</v>
      </c>
      <c r="E74" s="148">
        <v>4</v>
      </c>
      <c r="F74" s="148"/>
      <c r="G74" s="148"/>
      <c r="H74" s="148"/>
      <c r="I74" s="148"/>
      <c r="J74" s="148"/>
      <c r="K74" s="148"/>
      <c r="L74" s="148"/>
      <c r="M74" s="148"/>
      <c r="N74" s="148" t="s">
        <v>694</v>
      </c>
      <c r="O74" s="148" t="s">
        <v>694</v>
      </c>
      <c r="P74" s="148"/>
      <c r="Q74" s="148"/>
      <c r="R74" s="148"/>
      <c r="S74" s="148"/>
      <c r="AC74">
        <f t="shared" si="43"/>
        <v>32.300999999999995</v>
      </c>
      <c r="AD74">
        <f t="shared" si="44"/>
        <v>4.589999999999999</v>
      </c>
      <c r="AE74">
        <f t="shared" si="45"/>
        <v>7.0372549019607851</v>
      </c>
    </row>
    <row r="75" spans="1:31">
      <c r="A75" s="10">
        <v>2021</v>
      </c>
      <c r="B75" s="10">
        <v>292</v>
      </c>
      <c r="C75" s="148"/>
      <c r="D75" s="148">
        <v>4</v>
      </c>
      <c r="E75" s="148">
        <v>5</v>
      </c>
      <c r="F75" s="148"/>
      <c r="G75" s="148"/>
      <c r="H75" s="148"/>
      <c r="I75" s="148"/>
      <c r="J75" s="148"/>
      <c r="K75" s="148"/>
      <c r="L75" s="148"/>
      <c r="M75" s="148"/>
      <c r="N75" s="148" t="s">
        <v>694</v>
      </c>
      <c r="O75" s="148" t="s">
        <v>694</v>
      </c>
      <c r="P75" s="148"/>
      <c r="Q75" s="148"/>
      <c r="R75" s="148"/>
      <c r="S75" s="148"/>
      <c r="AC75">
        <f t="shared" si="43"/>
        <v>28.242500000000003</v>
      </c>
      <c r="AD75">
        <f t="shared" si="44"/>
        <v>3.9895000000000009</v>
      </c>
      <c r="AE75">
        <f t="shared" si="45"/>
        <v>7.0792079207920784</v>
      </c>
    </row>
    <row r="76" spans="1:31">
      <c r="A76" s="10">
        <v>2021</v>
      </c>
      <c r="B76" s="10">
        <v>292</v>
      </c>
      <c r="C76" s="10" t="s">
        <v>476</v>
      </c>
      <c r="D76" s="10">
        <v>4</v>
      </c>
      <c r="E76" s="10">
        <v>6</v>
      </c>
      <c r="F76" s="10">
        <v>33.799999999999997</v>
      </c>
      <c r="G76" s="10">
        <f t="shared" si="34"/>
        <v>28.499999999999996</v>
      </c>
      <c r="H76" s="10">
        <v>11.3</v>
      </c>
      <c r="I76" s="10">
        <f t="shared" si="35"/>
        <v>6.0000000000000009</v>
      </c>
      <c r="J76" s="10">
        <f t="shared" si="36"/>
        <v>22.499999999999996</v>
      </c>
      <c r="K76" s="10">
        <f t="shared" si="37"/>
        <v>78.94736842105263</v>
      </c>
      <c r="L76" s="10">
        <f t="shared" si="38"/>
        <v>60.000000000000007</v>
      </c>
      <c r="M76" s="10">
        <f t="shared" si="39"/>
        <v>69.300000000000011</v>
      </c>
      <c r="N76" s="10">
        <f t="shared" si="33"/>
        <v>6.0000000000000012E-2</v>
      </c>
      <c r="O76" s="10">
        <f t="shared" si="40"/>
        <v>6.9000000000000006E-2</v>
      </c>
      <c r="P76" s="79">
        <v>32.22</v>
      </c>
      <c r="Q76" s="10">
        <f t="shared" ref="Q76:Q77" si="48">N76*(P76/100)</f>
        <v>1.9332000000000002E-2</v>
      </c>
      <c r="R76" s="79">
        <v>2.4900000000000002</v>
      </c>
      <c r="S76" s="10">
        <f t="shared" ref="S76:S77" si="49">N76*(R76/100)</f>
        <v>1.4940000000000003E-3</v>
      </c>
      <c r="AC76">
        <f t="shared" si="43"/>
        <v>258.78499999999997</v>
      </c>
      <c r="AD76">
        <f t="shared" si="44"/>
        <v>34.090999999999994</v>
      </c>
      <c r="AE76">
        <f t="shared" si="45"/>
        <v>7.5910064239828694</v>
      </c>
    </row>
    <row r="77" spans="1:31">
      <c r="A77" s="10">
        <v>2021</v>
      </c>
      <c r="B77" s="10">
        <v>292</v>
      </c>
      <c r="C77" s="10" t="s">
        <v>478</v>
      </c>
      <c r="D77" s="10">
        <v>4</v>
      </c>
      <c r="E77" s="10">
        <v>7</v>
      </c>
      <c r="F77" s="10">
        <v>15</v>
      </c>
      <c r="G77" s="10">
        <f t="shared" si="34"/>
        <v>9.6999999999999993</v>
      </c>
      <c r="H77" s="10">
        <v>7.9</v>
      </c>
      <c r="I77" s="10">
        <f t="shared" si="35"/>
        <v>2.6000000000000005</v>
      </c>
      <c r="J77" s="10">
        <f t="shared" si="36"/>
        <v>7.0999999999999988</v>
      </c>
      <c r="K77" s="10">
        <f t="shared" si="37"/>
        <v>73.19587628865979</v>
      </c>
      <c r="L77" s="10">
        <f t="shared" si="38"/>
        <v>26.000000000000007</v>
      </c>
      <c r="M77" s="10">
        <f t="shared" si="39"/>
        <v>30.030000000000008</v>
      </c>
      <c r="N77" s="10">
        <f t="shared" si="33"/>
        <v>2.6000000000000009E-2</v>
      </c>
      <c r="O77" s="10">
        <f t="shared" si="40"/>
        <v>2.990000000000001E-2</v>
      </c>
      <c r="P77" s="79">
        <v>30.59</v>
      </c>
      <c r="Q77" s="10">
        <f t="shared" si="48"/>
        <v>7.9534000000000028E-3</v>
      </c>
      <c r="R77" s="79">
        <v>1.41</v>
      </c>
      <c r="S77" s="10">
        <f t="shared" si="49"/>
        <v>3.6660000000000013E-4</v>
      </c>
      <c r="AC77">
        <f t="shared" si="43"/>
        <v>64.726399999999998</v>
      </c>
      <c r="AD77">
        <f t="shared" si="44"/>
        <v>9.3080000000000016</v>
      </c>
      <c r="AE77">
        <f t="shared" si="45"/>
        <v>6.9538461538461522</v>
      </c>
    </row>
    <row r="78" spans="1:31">
      <c r="A78" s="10">
        <v>2021</v>
      </c>
      <c r="B78" s="10">
        <v>292</v>
      </c>
      <c r="C78" s="148"/>
      <c r="D78" s="148">
        <v>4</v>
      </c>
      <c r="E78" s="148">
        <v>8</v>
      </c>
      <c r="F78" s="148"/>
      <c r="G78" s="148"/>
      <c r="H78" s="148"/>
      <c r="I78" s="148"/>
      <c r="J78" s="148"/>
      <c r="K78" s="148"/>
      <c r="L78" s="148"/>
      <c r="M78" s="148"/>
      <c r="N78" s="148" t="s">
        <v>694</v>
      </c>
      <c r="O78" s="148" t="s">
        <v>694</v>
      </c>
      <c r="P78" s="148"/>
      <c r="Q78" s="148"/>
      <c r="R78" s="148"/>
      <c r="S78" s="148"/>
      <c r="AC78">
        <f t="shared" si="43"/>
        <v>247.38400000000001</v>
      </c>
      <c r="AD78">
        <f t="shared" si="44"/>
        <v>34.067999999999998</v>
      </c>
      <c r="AE78">
        <f t="shared" si="45"/>
        <v>7.2614770459081841</v>
      </c>
    </row>
    <row r="79" spans="1:31">
      <c r="A79" s="10">
        <v>2021</v>
      </c>
      <c r="B79" s="10">
        <v>292</v>
      </c>
      <c r="C79" s="148"/>
      <c r="D79" s="148">
        <v>4</v>
      </c>
      <c r="E79" s="148">
        <v>9</v>
      </c>
      <c r="F79" s="148"/>
      <c r="G79" s="148"/>
      <c r="H79" s="148"/>
      <c r="I79" s="148"/>
      <c r="J79" s="148"/>
      <c r="K79" s="148"/>
      <c r="L79" s="148"/>
      <c r="M79" s="148"/>
      <c r="N79" s="148" t="s">
        <v>694</v>
      </c>
      <c r="O79" s="148" t="s">
        <v>694</v>
      </c>
      <c r="P79" s="148"/>
      <c r="Q79" s="148"/>
      <c r="R79" s="148"/>
      <c r="S79" s="148"/>
      <c r="AC79">
        <f t="shared" si="43"/>
        <v>81.63000000000001</v>
      </c>
      <c r="AD79">
        <f t="shared" si="44"/>
        <v>11.857500000000002</v>
      </c>
      <c r="AE79">
        <f t="shared" si="45"/>
        <v>6.8842504743833013</v>
      </c>
    </row>
    <row r="80" spans="1:31">
      <c r="A80" s="10">
        <v>2021</v>
      </c>
      <c r="B80" s="10">
        <v>292</v>
      </c>
      <c r="C80" s="148"/>
      <c r="D80" s="148">
        <v>4</v>
      </c>
      <c r="E80" s="148">
        <v>11</v>
      </c>
      <c r="F80" s="148"/>
      <c r="G80" s="148"/>
      <c r="H80" s="148"/>
      <c r="I80" s="148"/>
      <c r="J80" s="148"/>
      <c r="K80" s="148"/>
      <c r="L80" s="148"/>
      <c r="M80" s="148"/>
      <c r="N80" s="148" t="s">
        <v>694</v>
      </c>
      <c r="O80" s="148" t="s">
        <v>694</v>
      </c>
      <c r="P80" s="148"/>
      <c r="Q80" s="148"/>
      <c r="R80" s="148"/>
      <c r="S80" s="148"/>
      <c r="AC80">
        <f t="shared" si="43"/>
        <v>34.291200000000003</v>
      </c>
      <c r="AD80">
        <f t="shared" si="44"/>
        <v>4.8504000000000005</v>
      </c>
      <c r="AE80">
        <f t="shared" si="45"/>
        <v>7.0697674418604652</v>
      </c>
    </row>
    <row r="81" spans="1:31">
      <c r="A81" s="10">
        <v>2021</v>
      </c>
      <c r="B81" s="10">
        <v>292</v>
      </c>
      <c r="C81" s="10" t="s">
        <v>482</v>
      </c>
      <c r="D81" s="10">
        <v>4</v>
      </c>
      <c r="E81" s="10">
        <v>12</v>
      </c>
      <c r="F81" s="10">
        <v>9.3000000000000007</v>
      </c>
      <c r="G81" s="10">
        <f t="shared" si="34"/>
        <v>4.0000000000000009</v>
      </c>
      <c r="H81" s="10">
        <v>6.3</v>
      </c>
      <c r="I81" s="10">
        <f t="shared" si="35"/>
        <v>1</v>
      </c>
      <c r="J81" s="10">
        <f t="shared" si="36"/>
        <v>3.0000000000000009</v>
      </c>
      <c r="K81" s="10">
        <f t="shared" si="37"/>
        <v>75</v>
      </c>
      <c r="L81" s="10">
        <f t="shared" si="38"/>
        <v>10</v>
      </c>
      <c r="M81" s="10">
        <f t="shared" si="39"/>
        <v>11.55</v>
      </c>
      <c r="N81" s="10">
        <f t="shared" si="33"/>
        <v>0.01</v>
      </c>
      <c r="O81" s="10">
        <f t="shared" si="40"/>
        <v>1.15E-2</v>
      </c>
      <c r="P81" s="79">
        <v>30.99</v>
      </c>
      <c r="Q81" s="10">
        <f t="shared" ref="Q81:Q82" si="50">N81*(P81/100)</f>
        <v>3.0990000000000002E-3</v>
      </c>
      <c r="R81" s="79">
        <v>1.53</v>
      </c>
      <c r="S81" s="10">
        <f t="shared" ref="S81:S82" si="51">N81*(R81/100)</f>
        <v>1.5300000000000001E-4</v>
      </c>
      <c r="AC81">
        <f t="shared" si="43"/>
        <v>75.112000000000009</v>
      </c>
      <c r="AD81">
        <f t="shared" si="44"/>
        <v>10.906000000000002</v>
      </c>
      <c r="AE81">
        <f t="shared" si="45"/>
        <v>6.8872180451127809</v>
      </c>
    </row>
    <row r="82" spans="1:31">
      <c r="A82" s="10">
        <v>2021</v>
      </c>
      <c r="B82" s="10">
        <v>292</v>
      </c>
      <c r="C82" s="10" t="s">
        <v>484</v>
      </c>
      <c r="D82" s="10">
        <v>4</v>
      </c>
      <c r="E82" s="10">
        <v>13</v>
      </c>
      <c r="F82" s="10">
        <v>19.7</v>
      </c>
      <c r="G82" s="10">
        <f t="shared" si="34"/>
        <v>14.399999999999999</v>
      </c>
      <c r="H82" s="10">
        <v>9.1</v>
      </c>
      <c r="I82" s="10">
        <f t="shared" si="35"/>
        <v>3.8</v>
      </c>
      <c r="J82" s="10">
        <f t="shared" si="36"/>
        <v>10.599999999999998</v>
      </c>
      <c r="K82" s="10">
        <f t="shared" si="37"/>
        <v>73.6111111111111</v>
      </c>
      <c r="L82" s="10">
        <f t="shared" si="38"/>
        <v>38</v>
      </c>
      <c r="M82" s="10">
        <f t="shared" si="39"/>
        <v>43.89</v>
      </c>
      <c r="N82" s="10">
        <f t="shared" si="33"/>
        <v>3.7999999999999999E-2</v>
      </c>
      <c r="O82" s="10">
        <f t="shared" si="40"/>
        <v>4.3699999999999996E-2</v>
      </c>
      <c r="P82" s="79">
        <v>30.46</v>
      </c>
      <c r="Q82" s="10">
        <f t="shared" si="50"/>
        <v>1.15748E-2</v>
      </c>
      <c r="R82" s="79">
        <v>1.59</v>
      </c>
      <c r="S82" s="10">
        <f t="shared" si="51"/>
        <v>6.0420000000000005E-4</v>
      </c>
      <c r="AC82">
        <f t="shared" si="43"/>
        <v>49.57200000000001</v>
      </c>
      <c r="AD82">
        <f t="shared" si="44"/>
        <v>6.615000000000002</v>
      </c>
      <c r="AE82">
        <f t="shared" si="45"/>
        <v>7.4938775510204074</v>
      </c>
    </row>
    <row r="83" spans="1:31">
      <c r="A83" s="14"/>
      <c r="B83" s="14"/>
      <c r="C83" s="14"/>
      <c r="D83" s="14"/>
      <c r="E83" s="14"/>
      <c r="F83" s="14"/>
      <c r="G83" s="14"/>
      <c r="H83" s="14"/>
      <c r="I83" s="14"/>
      <c r="J83" s="14"/>
      <c r="K83" s="14"/>
      <c r="L83" s="14"/>
      <c r="M83" s="14"/>
      <c r="N83" s="14"/>
      <c r="O83" s="14"/>
      <c r="P83" s="14"/>
      <c r="Q83" s="14"/>
      <c r="R83" s="14"/>
      <c r="S83" s="14"/>
      <c r="AC83">
        <f t="shared" si="43"/>
        <v>92.402799999999999</v>
      </c>
      <c r="AD83">
        <f t="shared" si="44"/>
        <v>9.5892000000000017</v>
      </c>
      <c r="AE83">
        <f t="shared" si="45"/>
        <v>9.6361323155216265</v>
      </c>
    </row>
    <row r="84" spans="1:31">
      <c r="AC84">
        <f t="shared" si="43"/>
        <v>68.657600000000002</v>
      </c>
      <c r="AD84">
        <f t="shared" si="44"/>
        <v>8.7983999999999991</v>
      </c>
      <c r="AE84">
        <f t="shared" si="45"/>
        <v>7.8034188034188041</v>
      </c>
    </row>
    <row r="85" spans="1:31">
      <c r="AC85">
        <f>Q33*1000</f>
        <v>23.588699999999999</v>
      </c>
      <c r="AD85">
        <f>S33*1000</f>
        <v>1.6775</v>
      </c>
      <c r="AE85">
        <f t="shared" si="45"/>
        <v>14.061818181818181</v>
      </c>
    </row>
    <row r="86" spans="1:31">
      <c r="AC86">
        <f>Q34*1000</f>
        <v>2.8439999999999994</v>
      </c>
      <c r="AD86">
        <f>S34*1000</f>
        <v>0.21039999999999998</v>
      </c>
      <c r="AE86">
        <f t="shared" si="45"/>
        <v>13.517110266159694</v>
      </c>
    </row>
    <row r="87" spans="1:31">
      <c r="AC87">
        <f>Q37*1000</f>
        <v>3.9319999999999999</v>
      </c>
      <c r="AD87">
        <f>S37*1000</f>
        <v>0.22500000000000001</v>
      </c>
      <c r="AE87">
        <f t="shared" si="45"/>
        <v>17.475555555555555</v>
      </c>
    </row>
    <row r="88" spans="1:31">
      <c r="AC88">
        <f>Q40*1000</f>
        <v>1.8465</v>
      </c>
      <c r="AD88">
        <f>S40*1000</f>
        <v>0.15</v>
      </c>
      <c r="AE88">
        <f t="shared" si="45"/>
        <v>12.31</v>
      </c>
    </row>
    <row r="89" spans="1:31">
      <c r="AC89">
        <f>Q41*1000</f>
        <v>1.1021999999999992</v>
      </c>
      <c r="AD89">
        <f>S41*1000</f>
        <v>5.9999999999999963E-2</v>
      </c>
      <c r="AE89">
        <f t="shared" si="45"/>
        <v>18.369999999999997</v>
      </c>
    </row>
    <row r="90" spans="1:31">
      <c r="AC90">
        <f>Q42*1000</f>
        <v>4.3692000000000002</v>
      </c>
      <c r="AD90">
        <f>S42*1000</f>
        <v>0.40679999999999999</v>
      </c>
      <c r="AE90">
        <f t="shared" si="45"/>
        <v>10.740412979351033</v>
      </c>
    </row>
    <row r="91" spans="1:31">
      <c r="AC91">
        <f>Q43*1000</f>
        <v>2.2092000000000018</v>
      </c>
      <c r="AD91">
        <f>S43*1000</f>
        <v>0.17160000000000014</v>
      </c>
      <c r="AE91">
        <f t="shared" si="45"/>
        <v>12.874125874125875</v>
      </c>
    </row>
    <row r="92" spans="1:31">
      <c r="AC92">
        <f>Q45*1000</f>
        <v>2.2794000000000016</v>
      </c>
      <c r="AD92">
        <f>S45*1000</f>
        <v>0.1362000000000001</v>
      </c>
      <c r="AE92">
        <f t="shared" si="45"/>
        <v>16.735682819383261</v>
      </c>
    </row>
    <row r="93" spans="1:31">
      <c r="AC93">
        <f>Q48*1000</f>
        <v>2.2789999999999999</v>
      </c>
      <c r="AD93">
        <f>S48*1000</f>
        <v>0.183</v>
      </c>
      <c r="AE93">
        <f t="shared" si="45"/>
        <v>12.453551912568306</v>
      </c>
    </row>
    <row r="94" spans="1:31">
      <c r="AC94">
        <f>Q50*1000</f>
        <v>34.838999999999999</v>
      </c>
      <c r="AD94">
        <f>S50*1000</f>
        <v>2.7636000000000007</v>
      </c>
      <c r="AE94">
        <f t="shared" si="45"/>
        <v>12.606382978723401</v>
      </c>
    </row>
    <row r="95" spans="1:31">
      <c r="AC95">
        <f>Q51*1000</f>
        <v>20.071799999999996</v>
      </c>
      <c r="AD95">
        <f>S51*1000</f>
        <v>1.5335999999999999</v>
      </c>
      <c r="AE95">
        <f t="shared" si="45"/>
        <v>13.088028169014084</v>
      </c>
    </row>
    <row r="96" spans="1:31">
      <c r="AC96">
        <f>Q52*1000</f>
        <v>33.134999999999991</v>
      </c>
      <c r="AD96">
        <f>S52*1000</f>
        <v>2.7635999999999994</v>
      </c>
      <c r="AE96">
        <f t="shared" si="45"/>
        <v>11.989795918367346</v>
      </c>
    </row>
    <row r="97" spans="29:31">
      <c r="AC97">
        <f>Q54*1000</f>
        <v>1.5836000000000017</v>
      </c>
      <c r="AD97">
        <f>S54*1000</f>
        <v>5.9600000000000056E-2</v>
      </c>
      <c r="AE97">
        <f t="shared" si="45"/>
        <v>26.570469798657722</v>
      </c>
    </row>
    <row r="98" spans="29:31">
      <c r="AC98">
        <f>Q55*1000</f>
        <v>16.204499999999996</v>
      </c>
      <c r="AD98">
        <f>S55*1000</f>
        <v>1.1520000000000001</v>
      </c>
      <c r="AE98">
        <f t="shared" si="45"/>
        <v>14.066406249999995</v>
      </c>
    </row>
    <row r="99" spans="29:31">
      <c r="AC99">
        <f>Q59*1000</f>
        <v>71.715300000000013</v>
      </c>
      <c r="AD99">
        <f>S59*1000</f>
        <v>4.8197999999999999</v>
      </c>
      <c r="AE99">
        <f t="shared" si="45"/>
        <v>14.879310344827589</v>
      </c>
    </row>
    <row r="100" spans="29:31">
      <c r="AC100">
        <f>Q60*1000</f>
        <v>5.7460000000000004</v>
      </c>
      <c r="AD100">
        <f>S60*1000</f>
        <v>0.37000000000000005</v>
      </c>
      <c r="AE100">
        <f t="shared" si="45"/>
        <v>15.529729729729729</v>
      </c>
    </row>
    <row r="101" spans="29:31">
      <c r="AC101">
        <f>Q61*1000</f>
        <v>2.5503999999999989</v>
      </c>
      <c r="AD101">
        <f>S61*1000</f>
        <v>0.16479999999999997</v>
      </c>
      <c r="AE101">
        <f t="shared" si="45"/>
        <v>15.475728155339802</v>
      </c>
    </row>
    <row r="102" spans="29:31">
      <c r="AC102">
        <f>Q67*1000</f>
        <v>20.007000000000005</v>
      </c>
      <c r="AD102">
        <f>S67*1000</f>
        <v>1.425</v>
      </c>
      <c r="AE102">
        <f t="shared" si="45"/>
        <v>14.040000000000003</v>
      </c>
    </row>
    <row r="103" spans="29:31">
      <c r="AC103">
        <f>Q71*1000</f>
        <v>2.5480000000000009</v>
      </c>
      <c r="AD103">
        <f>S71*1000</f>
        <v>0.15890000000000004</v>
      </c>
      <c r="AE103">
        <f t="shared" si="45"/>
        <v>16.035242290748901</v>
      </c>
    </row>
    <row r="104" spans="29:31">
      <c r="AC104">
        <f>Q72*1000</f>
        <v>1.4584000000000015</v>
      </c>
      <c r="AD104">
        <f>S72*1000</f>
        <v>0.13000000000000012</v>
      </c>
      <c r="AE104">
        <f t="shared" si="45"/>
        <v>11.21846153846154</v>
      </c>
    </row>
    <row r="105" spans="29:31">
      <c r="AC105">
        <f>Q73*1000</f>
        <v>0.78260000000000085</v>
      </c>
      <c r="AD105">
        <f>S73*1000</f>
        <v>7.1200000000000069E-2</v>
      </c>
      <c r="AE105">
        <f t="shared" si="45"/>
        <v>10.991573033707866</v>
      </c>
    </row>
    <row r="106" spans="29:31">
      <c r="AC106">
        <f>Q76*1000</f>
        <v>19.332000000000001</v>
      </c>
      <c r="AD106">
        <f>S76*1000</f>
        <v>1.4940000000000002</v>
      </c>
      <c r="AE106">
        <f t="shared" si="45"/>
        <v>12.939759036144578</v>
      </c>
    </row>
    <row r="107" spans="29:31">
      <c r="AC107">
        <f>Q77*1000</f>
        <v>7.9534000000000029</v>
      </c>
      <c r="AD107">
        <f>S77*1000</f>
        <v>0.36660000000000015</v>
      </c>
      <c r="AE107">
        <f t="shared" si="45"/>
        <v>21.695035460992909</v>
      </c>
    </row>
    <row r="108" spans="29:31">
      <c r="AC108">
        <f>Q81*1000</f>
        <v>3.0990000000000002</v>
      </c>
      <c r="AD108">
        <f>S81*1000</f>
        <v>0.153</v>
      </c>
      <c r="AE108">
        <f t="shared" si="45"/>
        <v>20.254901960784316</v>
      </c>
    </row>
    <row r="109" spans="29:31">
      <c r="AC109">
        <f>Q82*1000</f>
        <v>11.5748</v>
      </c>
      <c r="AD109">
        <f>S82*1000</f>
        <v>0.60420000000000007</v>
      </c>
      <c r="AE109">
        <f t="shared" si="45"/>
        <v>19.157232704402514</v>
      </c>
    </row>
    <row r="110" spans="29:31">
      <c r="AD110" s="15" t="s">
        <v>581</v>
      </c>
      <c r="AE110">
        <f>AVERAGE(AE61:AE109)</f>
        <v>11.366606269516259</v>
      </c>
    </row>
    <row r="111" spans="29:31">
      <c r="AD111" s="15" t="s">
        <v>586</v>
      </c>
      <c r="AE111">
        <f>STDEV(AE61:AE109)</f>
        <v>4.747702324763635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Plant Sample Tracking</vt:lpstr>
      <vt:lpstr>Plant Sample IDs</vt:lpstr>
      <vt:lpstr>29-Jul-2020 - W.Wheat</vt:lpstr>
      <vt:lpstr>17-Sept-2020 - Soybeans</vt:lpstr>
      <vt:lpstr>9 &amp;11-Nov-2020 - CC</vt:lpstr>
      <vt:lpstr>10-May-2021 - CC</vt:lpstr>
      <vt:lpstr>23-Jun-2021 - V6 Corn</vt:lpstr>
      <vt:lpstr>20&amp;21-Jul-2021 - VT Corn</vt:lpstr>
      <vt:lpstr> 2021 Harvest Corn! </vt:lpstr>
      <vt:lpstr>Corn Growth Rate</vt:lpstr>
      <vt:lpstr>2021 Harvest CC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Agustin Olivo</cp:lastModifiedBy>
  <cp:revision/>
  <dcterms:created xsi:type="dcterms:W3CDTF">2021-07-24T22:42:54Z</dcterms:created>
  <dcterms:modified xsi:type="dcterms:W3CDTF">2024-11-22T16:20:01Z</dcterms:modified>
  <cp:category/>
  <cp:contentStatus/>
</cp:coreProperties>
</file>